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29.xml" ContentType="application/vnd.openxmlformats-officedocument.drawingml.chart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charts/chart27.xml" ContentType="application/vnd.openxmlformats-officedocument.drawingml.chart+xml"/>
  <Override PartName="/xl/drawings/drawing13.xml" ContentType="application/vnd.openxmlformats-officedocument.drawing+xml"/>
  <Override PartName="/xl/charts/chart36.xml" ContentType="application/vnd.openxmlformats-officedocument.drawingml.chart+xml"/>
  <Override PartName="/xl/charts/chart38.xml" ContentType="application/vnd.openxmlformats-officedocument.drawingml.chart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drawings/drawing11.xml" ContentType="application/vnd.openxmlformats-officedocument.drawing+xml"/>
  <Override PartName="/xl/charts/chart34.xml" ContentType="application/vnd.openxmlformats-officedocument.drawingml.chart+xml"/>
  <Override PartName="/xl/sharedStrings.xml" ContentType="application/vnd.openxmlformats-officedocument.spreadsheetml.sharedString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chart42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docProps/core.xml" ContentType="application/vnd.openxmlformats-package.core-properties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Default Extension="jpe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39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drawings/drawing14.xml" ContentType="application/vnd.openxmlformats-officedocument.drawing+xml"/>
  <Override PartName="/xl/charts/chart37.xml" ContentType="application/vnd.openxmlformats-officedocument.drawingml.chart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35.xml" ContentType="application/vnd.openxmlformats-officedocument.drawingml.chart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475" yWindow="-15" windowWidth="8535" windowHeight="18015" tabRatio="512" activeTab="14"/>
  </bookViews>
  <sheets>
    <sheet name="ohneReibung" sheetId="1" r:id="rId1"/>
    <sheet name="KonstReibung" sheetId="3" r:id="rId2"/>
    <sheet name="StokesReibung" sheetId="11" r:id="rId3"/>
    <sheet name="Down_00" sheetId="12" r:id="rId4"/>
    <sheet name="Down_05" sheetId="13" r:id="rId5"/>
    <sheet name="Down_10" sheetId="14" r:id="rId6"/>
    <sheet name="Up_00" sheetId="15" r:id="rId7"/>
    <sheet name="Up_05" sheetId="16" r:id="rId8"/>
    <sheet name="Up_10" sheetId="17" r:id="rId9"/>
    <sheet name="Gröber" sheetId="20" r:id="rId10"/>
    <sheet name="Aimpoint" sheetId="19" r:id="rId11"/>
    <sheet name="Auswertung" sheetId="18" r:id="rId12"/>
    <sheet name="Vergleich" sheetId="21" r:id="rId13"/>
    <sheet name="Down_Opt" sheetId="22" r:id="rId14"/>
    <sheet name="Up_Opt" sheetId="23" r:id="rId15"/>
  </sheets>
  <definedNames>
    <definedName name="AEins">StokesReibung!$U$3</definedName>
    <definedName name="alphanull" localSheetId="4">Down_05!$B$9</definedName>
    <definedName name="alphanull" localSheetId="5">Down_10!$B$9</definedName>
    <definedName name="alphanull" localSheetId="13">Down_Opt!$B$10</definedName>
    <definedName name="alphanull" localSheetId="6">Up_00!$B$9</definedName>
    <definedName name="alphanull" localSheetId="7">Up_05!$B$9</definedName>
    <definedName name="alphanull" localSheetId="8">Up_10!$B$9</definedName>
    <definedName name="alphanull" localSheetId="14">Up_Opt!$B$10</definedName>
    <definedName name="alphanull">Down_00!$B$9</definedName>
    <definedName name="ANull">StokesReibung!$U$2</definedName>
    <definedName name="Beta">StokesReibung!$B$7</definedName>
    <definedName name="deltaalpha" localSheetId="4">Down_05!$B$3</definedName>
    <definedName name="deltaalpha" localSheetId="5">Down_10!$B$3</definedName>
    <definedName name="deltaalpha" localSheetId="13">Down_Opt!$B$4</definedName>
    <definedName name="deltaalpha" localSheetId="6">Up_00!$B$3</definedName>
    <definedName name="deltaalpha" localSheetId="7">Up_05!$B$3</definedName>
    <definedName name="deltaalpha" localSheetId="8">Up_10!$B$3</definedName>
    <definedName name="deltaalpha" localSheetId="14">Up_Opt!$B$4</definedName>
    <definedName name="deltaalpha">Down_00!$B$3</definedName>
    <definedName name="deltat">KonstReibung!$F$1</definedName>
    <definedName name="deltattt">StokesReibung!$F$1</definedName>
    <definedName name="deltaX">ohneReibung!$A$7</definedName>
    <definedName name="Konst" localSheetId="4">Down_05!$B$15</definedName>
    <definedName name="Konst" localSheetId="5">Down_10!$B$15</definedName>
    <definedName name="Konst" localSheetId="13">Down_Opt!$B$16</definedName>
    <definedName name="Konst" localSheetId="6">Up_00!$B$15</definedName>
    <definedName name="Konst" localSheetId="7">Up_05!$B$15</definedName>
    <definedName name="Konst" localSheetId="8">Up_10!$B$15</definedName>
    <definedName name="Konst" localSheetId="14">Up_Opt!$B$16</definedName>
    <definedName name="Konst">Down_00!$B$15</definedName>
    <definedName name="Masse">StokesReibung!$B$8</definedName>
    <definedName name="MR" localSheetId="4">Down_05!$H$1</definedName>
    <definedName name="MR" localSheetId="5">Down_10!$H$1</definedName>
    <definedName name="MR" localSheetId="13">Down_Opt!$H$2</definedName>
    <definedName name="MR" localSheetId="6">Up_00!$H$1</definedName>
    <definedName name="MR" localSheetId="7">Up_05!$H$1</definedName>
    <definedName name="MR" localSheetId="8">Up_10!$H$1</definedName>
    <definedName name="MR" localSheetId="14">Up_Opt!$H$2</definedName>
    <definedName name="MR">Down_00!$H$1</definedName>
    <definedName name="MüR">KonstReibung!$B$7</definedName>
    <definedName name="MüRR" localSheetId="4">Down_05!$E$1</definedName>
    <definedName name="MüRR" localSheetId="5">Down_10!$E$1</definedName>
    <definedName name="MüRR" localSheetId="13">Down_Opt!$E$2</definedName>
    <definedName name="MüRR" localSheetId="6">Up_00!$E$1</definedName>
    <definedName name="MüRR" localSheetId="7">Up_05!$E$1</definedName>
    <definedName name="MüRR" localSheetId="8">Up_10!$E$1</definedName>
    <definedName name="MüRR" localSheetId="14">Up_Opt!$E$2</definedName>
    <definedName name="MüRR">Down_00!$E$1</definedName>
    <definedName name="N2null" localSheetId="4">Down_05!$B$13</definedName>
    <definedName name="N2null" localSheetId="5">Down_10!$B$13</definedName>
    <definedName name="N2null" localSheetId="13">Down_Opt!$B$14</definedName>
    <definedName name="N2null" localSheetId="6">Up_00!$B$13</definedName>
    <definedName name="N2null" localSheetId="7">Up_05!$B$13</definedName>
    <definedName name="N2null" localSheetId="8">Up_10!$B$13</definedName>
    <definedName name="N2null" localSheetId="14">Up_Opt!$B$14</definedName>
    <definedName name="N2null">Down_00!$B$13</definedName>
    <definedName name="N3null" localSheetId="4">Down_05!$B$14</definedName>
    <definedName name="N3null" localSheetId="5">Down_10!$B$14</definedName>
    <definedName name="N3null" localSheetId="13">Down_Opt!$B$15</definedName>
    <definedName name="N3null" localSheetId="6">Up_00!$B$14</definedName>
    <definedName name="N3null" localSheetId="7">Up_05!$B$14</definedName>
    <definedName name="N3null" localSheetId="8">Up_10!$B$14</definedName>
    <definedName name="N3null" localSheetId="14">Up_Opt!$B$15</definedName>
    <definedName name="N3null">Down_00!$B$14</definedName>
    <definedName name="ooo" localSheetId="13">Down_Opt!$B$6</definedName>
    <definedName name="ooo">Down_05!$B$5</definedName>
    <definedName name="Phi">ohneReibung!$I$6</definedName>
    <definedName name="Tau">StokesReibung!$U$4</definedName>
    <definedName name="Theta">ohneReibung!$I$5</definedName>
    <definedName name="ThetaKR">KonstReibung!$B$6</definedName>
    <definedName name="ThetaR" localSheetId="4">Down_05!$B$1</definedName>
    <definedName name="ThetaR" localSheetId="5">Down_10!$B$1</definedName>
    <definedName name="ThetaR" localSheetId="13">Down_Opt!$B$2</definedName>
    <definedName name="ThetaR" localSheetId="6">Up_00!$B$1</definedName>
    <definedName name="ThetaR" localSheetId="7">Up_05!$B$1</definedName>
    <definedName name="ThetaR" localSheetId="8">Up_10!$B$1</definedName>
    <definedName name="ThetaR" localSheetId="14">Up_Opt!$B$2</definedName>
    <definedName name="ThetaR">Down_00!$B$1</definedName>
    <definedName name="ThetaS">StokesReibung!$B$6</definedName>
    <definedName name="tmaxx">KonstReibung!$F$18</definedName>
    <definedName name="tmaxy">KonstReibung!$F$9</definedName>
    <definedName name="unull" localSheetId="4">Down_05!$B$11</definedName>
    <definedName name="unull" localSheetId="5">Down_10!$B$11</definedName>
    <definedName name="unull" localSheetId="13">Down_Opt!$B$12</definedName>
    <definedName name="unull" localSheetId="6">Up_00!$B$11</definedName>
    <definedName name="unull" localSheetId="7">Up_05!$B$11</definedName>
    <definedName name="unull" localSheetId="8">Up_10!$B$11</definedName>
    <definedName name="unull" localSheetId="14">Up_Opt!$B$12</definedName>
    <definedName name="unull">Down_00!$B$11</definedName>
    <definedName name="voR" localSheetId="4">Down_05!$B$8</definedName>
    <definedName name="voR" localSheetId="5">Down_10!$B$8</definedName>
    <definedName name="voR" localSheetId="13">Down_Opt!$B$9</definedName>
    <definedName name="voR" localSheetId="6">Up_00!$B$8</definedName>
    <definedName name="voR" localSheetId="7">Up_05!$B$8</definedName>
    <definedName name="voR" localSheetId="8">Up_10!$B$8</definedName>
    <definedName name="voR" localSheetId="14">Up_Opt!$B$9</definedName>
    <definedName name="voR">Down_00!$B$8</definedName>
    <definedName name="vx0">ohneReibung!$I$3</definedName>
    <definedName name="vxd">KonstReibung!$B$14</definedName>
    <definedName name="vxds">StokesReibung!$B$14</definedName>
    <definedName name="vxup">KonstReibung!$B$4</definedName>
    <definedName name="vxupR" localSheetId="4">Down_05!$B$7</definedName>
    <definedName name="vxupR" localSheetId="5">Down_10!$B$7</definedName>
    <definedName name="vxupR" localSheetId="13">Down_Opt!$B$8</definedName>
    <definedName name="vxupR" localSheetId="6">Up_00!$B$7</definedName>
    <definedName name="vxupR" localSheetId="7">Up_05!$B$7</definedName>
    <definedName name="vxupR" localSheetId="8">Up_10!$B$7</definedName>
    <definedName name="vxupR" localSheetId="14">Up_Opt!$B$8</definedName>
    <definedName name="vxupR">Down_00!$B$7</definedName>
    <definedName name="vxups">StokesReibung!$B$4</definedName>
    <definedName name="vy0">ohneReibung!$I$4</definedName>
    <definedName name="vyd">KonstReibung!$B$15</definedName>
    <definedName name="vyds">StokesReibung!$B$15</definedName>
    <definedName name="vyup">KonstReibung!$B$5</definedName>
    <definedName name="vyupR" localSheetId="4">Down_05!$B$6</definedName>
    <definedName name="vyupR" localSheetId="5">Down_10!$B$6</definedName>
    <definedName name="vyupR" localSheetId="13">Down_Opt!$B$7</definedName>
    <definedName name="vyupR" localSheetId="6">Up_00!$B$6</definedName>
    <definedName name="vyupR" localSheetId="7">Up_05!$B$6</definedName>
    <definedName name="vyupR" localSheetId="8">Up_10!$B$6</definedName>
    <definedName name="vyupR" localSheetId="14">Up_Opt!$B$7</definedName>
    <definedName name="vyupR">Down_00!$B$6</definedName>
    <definedName name="vyups">StokesReibung!$B$5</definedName>
    <definedName name="x0Meter">ohneReibung!$I$1</definedName>
    <definedName name="xd">KonstReibung!$B$12</definedName>
    <definedName name="xds">StokesReibung!$B$12</definedName>
    <definedName name="xup">KonstReibung!$B$2</definedName>
    <definedName name="xupR" localSheetId="4">Down_05!$B$5</definedName>
    <definedName name="xupR" localSheetId="5">Down_10!$B$5</definedName>
    <definedName name="xupR" localSheetId="13">Down_Opt!$B$6</definedName>
    <definedName name="xupR" localSheetId="6">Up_00!$B$5</definedName>
    <definedName name="xupR" localSheetId="7">Up_05!$B$5</definedName>
    <definedName name="xupR" localSheetId="8">Up_10!$B$5</definedName>
    <definedName name="xupR" localSheetId="14">Up_Opt!$B$6</definedName>
    <definedName name="xupR">Down_00!$B$5</definedName>
    <definedName name="xups">StokesReibung!$B$2</definedName>
    <definedName name="y0Meter">ohneReibung!$I$2</definedName>
    <definedName name="yd">KonstReibung!$B$13</definedName>
    <definedName name="yds">StokesReibung!$B$13</definedName>
    <definedName name="yup">KonstReibung!$B$3</definedName>
    <definedName name="yupR" localSheetId="4">Down_05!$B$4</definedName>
    <definedName name="yupR" localSheetId="5">Down_10!$B$4</definedName>
    <definedName name="yupR" localSheetId="13">Down_Opt!$B$5</definedName>
    <definedName name="yupR" localSheetId="6">Up_00!$B$4</definedName>
    <definedName name="yupR" localSheetId="7">Up_05!$B$4</definedName>
    <definedName name="yupR" localSheetId="8">Up_10!$B$4</definedName>
    <definedName name="yupR" localSheetId="14">Up_Opt!$B$5</definedName>
    <definedName name="yupR">Down_00!$B$4</definedName>
    <definedName name="yups">StokesReibung!$B$3</definedName>
    <definedName name="ZZ2null" localSheetId="4">Down_05!$B$12</definedName>
    <definedName name="ZZ2null" localSheetId="5">Down_10!$B$12</definedName>
    <definedName name="ZZ2null" localSheetId="13">Down_Opt!$B$13</definedName>
    <definedName name="ZZ2null" localSheetId="6">Up_00!$B$12</definedName>
    <definedName name="ZZ2null" localSheetId="7">Up_05!$B$12</definedName>
    <definedName name="ZZ2null" localSheetId="8">Up_10!$B$12</definedName>
    <definedName name="ZZ2null" localSheetId="14">Up_Opt!$B$13</definedName>
    <definedName name="ZZ2null">Down_00!$B$12</definedName>
  </definedNames>
  <calcPr calcId="125725"/>
</workbook>
</file>

<file path=xl/calcChain.xml><?xml version="1.0" encoding="utf-8"?>
<calcChain xmlns="http://schemas.openxmlformats.org/spreadsheetml/2006/main">
  <c r="U84" i="18"/>
  <c r="U69"/>
  <c r="C10" i="21"/>
  <c r="D10"/>
  <c r="E10"/>
  <c r="F10"/>
  <c r="G10"/>
  <c r="D9"/>
  <c r="E9"/>
  <c r="F9"/>
  <c r="G9"/>
  <c r="C9"/>
  <c r="C8"/>
  <c r="D8"/>
  <c r="E8"/>
  <c r="F8"/>
  <c r="G8"/>
  <c r="D7"/>
  <c r="E7"/>
  <c r="F7"/>
  <c r="G7"/>
  <c r="C7"/>
  <c r="B4" i="23"/>
  <c r="B8"/>
  <c r="B7"/>
  <c r="H2"/>
  <c r="B8" i="22"/>
  <c r="B7"/>
  <c r="H2"/>
  <c r="E5" i="19"/>
  <c r="E3" i="21"/>
  <c r="B13" i="3"/>
  <c r="C8" i="20"/>
  <c r="D8"/>
  <c r="E8"/>
  <c r="F8"/>
  <c r="G8"/>
  <c r="H8"/>
  <c r="C9"/>
  <c r="D9"/>
  <c r="E9"/>
  <c r="F9"/>
  <c r="G9"/>
  <c r="H9"/>
  <c r="C10"/>
  <c r="D10"/>
  <c r="E10"/>
  <c r="F10"/>
  <c r="G10"/>
  <c r="H10"/>
  <c r="C11"/>
  <c r="D11"/>
  <c r="E11"/>
  <c r="F11"/>
  <c r="G11"/>
  <c r="H11"/>
  <c r="D7"/>
  <c r="E7"/>
  <c r="F7"/>
  <c r="G7"/>
  <c r="H7"/>
  <c r="C7"/>
  <c r="J8"/>
  <c r="K8"/>
  <c r="L8"/>
  <c r="M8"/>
  <c r="N8"/>
  <c r="O8"/>
  <c r="J9"/>
  <c r="K9"/>
  <c r="L9"/>
  <c r="M9"/>
  <c r="N9"/>
  <c r="O9"/>
  <c r="J10"/>
  <c r="K10"/>
  <c r="L10"/>
  <c r="M10"/>
  <c r="N10"/>
  <c r="O10"/>
  <c r="J11"/>
  <c r="K11"/>
  <c r="L11"/>
  <c r="M11"/>
  <c r="N11"/>
  <c r="O11"/>
  <c r="K7"/>
  <c r="L7"/>
  <c r="M7"/>
  <c r="N7"/>
  <c r="O7"/>
  <c r="J7"/>
  <c r="D6"/>
  <c r="E6"/>
  <c r="F6"/>
  <c r="G6"/>
  <c r="H6"/>
  <c r="C6"/>
  <c r="AJ29" i="13"/>
  <c r="AK29"/>
  <c r="AL29"/>
  <c r="AM29"/>
  <c r="AN29"/>
  <c r="AO29"/>
  <c r="AJ30"/>
  <c r="AK30"/>
  <c r="AL30"/>
  <c r="AM30"/>
  <c r="AN30"/>
  <c r="AO30"/>
  <c r="AJ31"/>
  <c r="AK31"/>
  <c r="AL31"/>
  <c r="AM31"/>
  <c r="AN31"/>
  <c r="AO31"/>
  <c r="AJ32"/>
  <c r="AK32"/>
  <c r="AL32"/>
  <c r="AM32"/>
  <c r="AN32"/>
  <c r="AO32"/>
  <c r="AJ33"/>
  <c r="AK33"/>
  <c r="AL33"/>
  <c r="AM33"/>
  <c r="AN33"/>
  <c r="AO33"/>
  <c r="AJ34"/>
  <c r="AK34"/>
  <c r="AL34"/>
  <c r="AM34"/>
  <c r="AN34"/>
  <c r="AO34"/>
  <c r="AJ35"/>
  <c r="AK35"/>
  <c r="AL35"/>
  <c r="AM35"/>
  <c r="AN35"/>
  <c r="AO35"/>
  <c r="AJ36"/>
  <c r="AK36"/>
  <c r="AL36"/>
  <c r="AM36"/>
  <c r="AN36"/>
  <c r="AO36"/>
  <c r="AM28"/>
  <c r="AN28"/>
  <c r="AO28"/>
  <c r="AL28"/>
  <c r="AK28"/>
  <c r="AJ28"/>
  <c r="U85" i="18"/>
  <c r="V85"/>
  <c r="W85"/>
  <c r="X85"/>
  <c r="Y85"/>
  <c r="Z85"/>
  <c r="AA85"/>
  <c r="AB85"/>
  <c r="AC85"/>
  <c r="U86"/>
  <c r="V86"/>
  <c r="W86"/>
  <c r="X86"/>
  <c r="Y86"/>
  <c r="Z86"/>
  <c r="AA86"/>
  <c r="AB86"/>
  <c r="AC86"/>
  <c r="U87"/>
  <c r="V87"/>
  <c r="W87"/>
  <c r="X87"/>
  <c r="Y87"/>
  <c r="Z87"/>
  <c r="AA87"/>
  <c r="AB87"/>
  <c r="AC87"/>
  <c r="U88"/>
  <c r="V88"/>
  <c r="W88"/>
  <c r="X88"/>
  <c r="Y88"/>
  <c r="Z88"/>
  <c r="AA88"/>
  <c r="AB88"/>
  <c r="AC88"/>
  <c r="U89"/>
  <c r="V89"/>
  <c r="W89"/>
  <c r="X89"/>
  <c r="Y89"/>
  <c r="Z89"/>
  <c r="AA89"/>
  <c r="AB89"/>
  <c r="AC89"/>
  <c r="V84"/>
  <c r="W84"/>
  <c r="X84"/>
  <c r="Y84"/>
  <c r="Z84"/>
  <c r="AA84"/>
  <c r="AB84"/>
  <c r="AC84"/>
  <c r="AC74"/>
  <c r="AB74"/>
  <c r="AA74"/>
  <c r="Z74"/>
  <c r="Y74"/>
  <c r="X74"/>
  <c r="W74"/>
  <c r="V74"/>
  <c r="U74"/>
  <c r="AC73"/>
  <c r="AB73"/>
  <c r="AA73"/>
  <c r="Z73"/>
  <c r="Y73"/>
  <c r="X73"/>
  <c r="W73"/>
  <c r="V73"/>
  <c r="U73"/>
  <c r="AC72"/>
  <c r="AB72"/>
  <c r="AA72"/>
  <c r="Z72"/>
  <c r="Y72"/>
  <c r="X72"/>
  <c r="W72"/>
  <c r="V72"/>
  <c r="U72"/>
  <c r="AC71"/>
  <c r="AB71"/>
  <c r="AA71"/>
  <c r="Z71"/>
  <c r="Y71"/>
  <c r="X71"/>
  <c r="W71"/>
  <c r="V71"/>
  <c r="U71"/>
  <c r="AC70"/>
  <c r="AB70"/>
  <c r="AA70"/>
  <c r="Z70"/>
  <c r="Y70"/>
  <c r="X70"/>
  <c r="W70"/>
  <c r="V70"/>
  <c r="U70"/>
  <c r="AC69"/>
  <c r="AB69"/>
  <c r="AA69"/>
  <c r="Z69"/>
  <c r="Y69"/>
  <c r="X69"/>
  <c r="W69"/>
  <c r="V69"/>
  <c r="AL35"/>
  <c r="AK35" s="1"/>
  <c r="AA35" s="1"/>
  <c r="Z35" s="1"/>
  <c r="AL34" s="1"/>
  <c r="AK34" s="1"/>
  <c r="AA34" s="1"/>
  <c r="Z34" s="1"/>
  <c r="AL33" s="1"/>
  <c r="AK33" s="1"/>
  <c r="AA33" s="1"/>
  <c r="Z33" s="1"/>
  <c r="AL32" s="1"/>
  <c r="AK32" s="1"/>
  <c r="AA32" s="1"/>
  <c r="Z32" s="1"/>
  <c r="AL31" s="1"/>
  <c r="AK31" s="1"/>
  <c r="AA31" s="1"/>
  <c r="Z31" s="1"/>
  <c r="AL30" s="1"/>
  <c r="AK30" s="1"/>
  <c r="AA30" s="1"/>
  <c r="Z30" s="1"/>
  <c r="AL29" s="1"/>
  <c r="AK29" s="1"/>
  <c r="AA29" s="1"/>
  <c r="Z29" s="1"/>
  <c r="AL28" s="1"/>
  <c r="AK28" s="1"/>
  <c r="AA28" s="1"/>
  <c r="Z28" s="1"/>
  <c r="AL27" s="1"/>
  <c r="AK27" s="1"/>
  <c r="AA27" s="1"/>
  <c r="Z27" s="1"/>
  <c r="AL26" s="1"/>
  <c r="AK26" s="1"/>
  <c r="AA26" s="1"/>
  <c r="Z26" s="1"/>
  <c r="AL24" s="1"/>
  <c r="AK24" s="1"/>
  <c r="AA24"/>
  <c r="Z24"/>
  <c r="AL23"/>
  <c r="AK23"/>
  <c r="AA23" s="1"/>
  <c r="Z23" s="1"/>
  <c r="AL22"/>
  <c r="AK22"/>
  <c r="AA22"/>
  <c r="Z22"/>
  <c r="AL21" s="1"/>
  <c r="AK21" s="1"/>
  <c r="AA21" s="1"/>
  <c r="Z21" s="1"/>
  <c r="AL20" s="1"/>
  <c r="AK20"/>
  <c r="AA20"/>
  <c r="Z20" s="1"/>
  <c r="AL19"/>
  <c r="AK19"/>
  <c r="AA19"/>
  <c r="Z19"/>
  <c r="AL18"/>
  <c r="AK18" s="1"/>
  <c r="AA18"/>
  <c r="Z18" s="1"/>
  <c r="AL17"/>
  <c r="AK17" s="1"/>
  <c r="AA17" s="1"/>
  <c r="Z17" s="1"/>
  <c r="AL16"/>
  <c r="AK16"/>
  <c r="AA16" s="1"/>
  <c r="Z16" s="1"/>
  <c r="AL15"/>
  <c r="AK15"/>
  <c r="AA15"/>
  <c r="Z15"/>
  <c r="AL13"/>
  <c r="AK13"/>
  <c r="AA13"/>
  <c r="Z13" s="1"/>
  <c r="AL12"/>
  <c r="AK12" s="1"/>
  <c r="AA12"/>
  <c r="Z12"/>
  <c r="AL11"/>
  <c r="AK11" s="1"/>
  <c r="AA11"/>
  <c r="Z11" s="1"/>
  <c r="AL10"/>
  <c r="AK10"/>
  <c r="AA10"/>
  <c r="Z10"/>
  <c r="AL9"/>
  <c r="B10" i="23" l="1"/>
  <c r="B9"/>
  <c r="B11"/>
  <c r="B9" i="22"/>
  <c r="B11"/>
  <c r="B10"/>
  <c r="B4" s="1"/>
  <c r="AK9" i="18"/>
  <c r="AA9"/>
  <c r="Z9"/>
  <c r="AL8"/>
  <c r="AK8" s="1"/>
  <c r="AA8"/>
  <c r="Z8" s="1"/>
  <c r="AL7"/>
  <c r="AK7" s="1"/>
  <c r="AA7"/>
  <c r="Z7"/>
  <c r="AL6"/>
  <c r="AK6" s="1"/>
  <c r="AA6"/>
  <c r="Z6"/>
  <c r="AL5"/>
  <c r="AK5" s="1"/>
  <c r="AA5"/>
  <c r="Z5"/>
  <c r="AL4"/>
  <c r="AK4" s="1"/>
  <c r="AA4"/>
  <c r="Z4" s="1"/>
  <c r="W52" i="19"/>
  <c r="Q52"/>
  <c r="X51"/>
  <c r="R51"/>
  <c r="Y50"/>
  <c r="S50"/>
  <c r="M50"/>
  <c r="Z49"/>
  <c r="T49"/>
  <c r="AA48"/>
  <c r="U48"/>
  <c r="W44"/>
  <c r="Q44"/>
  <c r="X43"/>
  <c r="R43"/>
  <c r="Y42"/>
  <c r="S42"/>
  <c r="M42"/>
  <c r="Z41"/>
  <c r="T41"/>
  <c r="AA40"/>
  <c r="U40"/>
  <c r="AA17"/>
  <c r="Z17"/>
  <c r="Y17"/>
  <c r="X17"/>
  <c r="W17"/>
  <c r="U17" s="1"/>
  <c r="T17" s="1"/>
  <c r="S17" s="1"/>
  <c r="R17" s="1"/>
  <c r="Q17" s="1"/>
  <c r="O17"/>
  <c r="N17"/>
  <c r="M17"/>
  <c r="L17"/>
  <c r="K17"/>
  <c r="AA16"/>
  <c r="Z16"/>
  <c r="Y16"/>
  <c r="X16"/>
  <c r="W16"/>
  <c r="U16" s="1"/>
  <c r="T16" s="1"/>
  <c r="S16" s="1"/>
  <c r="R16" s="1"/>
  <c r="Q16" s="1"/>
  <c r="O16"/>
  <c r="N16"/>
  <c r="M16"/>
  <c r="L16"/>
  <c r="K16"/>
  <c r="AA15"/>
  <c r="Z15"/>
  <c r="Y15"/>
  <c r="X15"/>
  <c r="W15"/>
  <c r="U15" s="1"/>
  <c r="T15" s="1"/>
  <c r="S15" s="1"/>
  <c r="R15" s="1"/>
  <c r="Q15" s="1"/>
  <c r="O15"/>
  <c r="N15"/>
  <c r="M15"/>
  <c r="L15"/>
  <c r="K15"/>
  <c r="AA14"/>
  <c r="Z14"/>
  <c r="Y14"/>
  <c r="X14"/>
  <c r="W14"/>
  <c r="U14" s="1"/>
  <c r="T14" s="1"/>
  <c r="S14" s="1"/>
  <c r="R14" s="1"/>
  <c r="Q14" s="1"/>
  <c r="O14"/>
  <c r="N14"/>
  <c r="M14"/>
  <c r="L14"/>
  <c r="K14"/>
  <c r="AA13"/>
  <c r="Z13"/>
  <c r="Y13"/>
  <c r="X13"/>
  <c r="W13"/>
  <c r="U13" s="1"/>
  <c r="T13" s="1"/>
  <c r="S13" s="1"/>
  <c r="R13" s="1"/>
  <c r="Q13"/>
  <c r="O13"/>
  <c r="N13"/>
  <c r="M13"/>
  <c r="L13"/>
  <c r="K13"/>
  <c r="AA9"/>
  <c r="Z9"/>
  <c r="Y9"/>
  <c r="X9"/>
  <c r="W9"/>
  <c r="U9" s="1"/>
  <c r="T9"/>
  <c r="S9" s="1"/>
  <c r="R9" s="1"/>
  <c r="Q9" s="1"/>
  <c r="O9"/>
  <c r="N9"/>
  <c r="M9"/>
  <c r="L9"/>
  <c r="K9"/>
  <c r="AA8"/>
  <c r="Z8"/>
  <c r="Y8"/>
  <c r="X8"/>
  <c r="W8"/>
  <c r="U8" s="1"/>
  <c r="T8" s="1"/>
  <c r="S8" s="1"/>
  <c r="R8" s="1"/>
  <c r="Q8" s="1"/>
  <c r="O8"/>
  <c r="N8"/>
  <c r="M8"/>
  <c r="L8"/>
  <c r="K8"/>
  <c r="AA7"/>
  <c r="Z7"/>
  <c r="Y7"/>
  <c r="X7"/>
  <c r="W7"/>
  <c r="U7" s="1"/>
  <c r="T7" s="1"/>
  <c r="S7" s="1"/>
  <c r="R7" s="1"/>
  <c r="Q7" s="1"/>
  <c r="O7"/>
  <c r="N7"/>
  <c r="M7"/>
  <c r="L7"/>
  <c r="K7"/>
  <c r="AA6"/>
  <c r="Z6"/>
  <c r="Y6"/>
  <c r="X6"/>
  <c r="W6"/>
  <c r="U6" s="1"/>
  <c r="T6" s="1"/>
  <c r="S6"/>
  <c r="R6" s="1"/>
  <c r="Q6" s="1"/>
  <c r="O6"/>
  <c r="N6"/>
  <c r="M6"/>
  <c r="L6"/>
  <c r="K6"/>
  <c r="AA5"/>
  <c r="Z5"/>
  <c r="Y5"/>
  <c r="X5"/>
  <c r="W5"/>
  <c r="U5" s="1"/>
  <c r="T5" s="1"/>
  <c r="S5" s="1"/>
  <c r="R5" s="1"/>
  <c r="Q5" s="1"/>
  <c r="O5"/>
  <c r="N5"/>
  <c r="M5"/>
  <c r="L5"/>
  <c r="K5"/>
  <c r="B2"/>
  <c r="B1"/>
  <c r="B13" i="23" l="1"/>
  <c r="B16"/>
  <c r="B15"/>
  <c r="E4"/>
  <c r="E8" s="1"/>
  <c r="B12"/>
  <c r="B14" s="1"/>
  <c r="B12" i="22"/>
  <c r="B14" s="1"/>
  <c r="B15"/>
  <c r="B13"/>
  <c r="E4"/>
  <c r="E9" s="1"/>
  <c r="B16"/>
  <c r="I48" i="19"/>
  <c r="G15"/>
  <c r="E17"/>
  <c r="I13"/>
  <c r="I16"/>
  <c r="E15"/>
  <c r="G13"/>
  <c r="I14"/>
  <c r="G16"/>
  <c r="F13"/>
  <c r="H14"/>
  <c r="F16"/>
  <c r="I17"/>
  <c r="G14"/>
  <c r="E16"/>
  <c r="H17"/>
  <c r="F14"/>
  <c r="I15"/>
  <c r="G17"/>
  <c r="E14"/>
  <c r="H15"/>
  <c r="F17"/>
  <c r="E13"/>
  <c r="F15"/>
  <c r="H13"/>
  <c r="H16"/>
  <c r="F6"/>
  <c r="H9"/>
  <c r="E7"/>
  <c r="G9"/>
  <c r="G42"/>
  <c r="E8"/>
  <c r="F9"/>
  <c r="G50"/>
  <c r="F7"/>
  <c r="F8"/>
  <c r="E9"/>
  <c r="E44"/>
  <c r="E52"/>
  <c r="G8"/>
  <c r="E6"/>
  <c r="I5"/>
  <c r="H41"/>
  <c r="H5"/>
  <c r="G5" s="1"/>
  <c r="I6"/>
  <c r="I7"/>
  <c r="H49"/>
  <c r="I8"/>
  <c r="F5"/>
  <c r="H6"/>
  <c r="H7"/>
  <c r="F43"/>
  <c r="F51"/>
  <c r="G6"/>
  <c r="G7"/>
  <c r="H8"/>
  <c r="I9"/>
  <c r="I40"/>
  <c r="B10" i="17"/>
  <c r="E6" i="23" l="1"/>
  <c r="E7" s="1"/>
  <c r="E9"/>
  <c r="E12"/>
  <c r="F4"/>
  <c r="F12" s="1"/>
  <c r="E5"/>
  <c r="E13"/>
  <c r="G18" i="22"/>
  <c r="E6"/>
  <c r="E7" s="1"/>
  <c r="E8"/>
  <c r="E5"/>
  <c r="F4"/>
  <c r="F6" s="1"/>
  <c r="F7" s="1"/>
  <c r="E12"/>
  <c r="E13"/>
  <c r="B9" i="17"/>
  <c r="E10" i="23" l="1"/>
  <c r="E15" s="1"/>
  <c r="F5"/>
  <c r="F6"/>
  <c r="F7" s="1"/>
  <c r="F8"/>
  <c r="G4"/>
  <c r="G12" s="1"/>
  <c r="F9"/>
  <c r="F13"/>
  <c r="E18" s="1"/>
  <c r="E10" i="22"/>
  <c r="E14" s="1"/>
  <c r="F12"/>
  <c r="F13"/>
  <c r="G4"/>
  <c r="G13" s="1"/>
  <c r="F8"/>
  <c r="F5"/>
  <c r="F9"/>
  <c r="B11" i="17"/>
  <c r="B12"/>
  <c r="E14" i="23" l="1"/>
  <c r="E17" s="1"/>
  <c r="E11"/>
  <c r="G13"/>
  <c r="G9"/>
  <c r="G8"/>
  <c r="G5"/>
  <c r="G6"/>
  <c r="G7" s="1"/>
  <c r="H4"/>
  <c r="H9" s="1"/>
  <c r="F10"/>
  <c r="F11" s="1"/>
  <c r="G5" i="22"/>
  <c r="E15"/>
  <c r="E16" s="1"/>
  <c r="F10"/>
  <c r="F11" s="1"/>
  <c r="E11"/>
  <c r="E18"/>
  <c r="G6"/>
  <c r="G7" s="1"/>
  <c r="H4"/>
  <c r="I4" s="1"/>
  <c r="G8"/>
  <c r="G9"/>
  <c r="G12"/>
  <c r="B8" i="17"/>
  <c r="E16" i="23" l="1"/>
  <c r="H12"/>
  <c r="H8"/>
  <c r="G10"/>
  <c r="G15" s="1"/>
  <c r="I4"/>
  <c r="I6" s="1"/>
  <c r="I7" s="1"/>
  <c r="H5"/>
  <c r="H6"/>
  <c r="H7" s="1"/>
  <c r="F15"/>
  <c r="H13"/>
  <c r="F14"/>
  <c r="E17" i="22"/>
  <c r="F14"/>
  <c r="F15"/>
  <c r="H8"/>
  <c r="H13"/>
  <c r="G10"/>
  <c r="G11" s="1"/>
  <c r="H6"/>
  <c r="H7" s="1"/>
  <c r="H5"/>
  <c r="H9"/>
  <c r="H12"/>
  <c r="I12"/>
  <c r="I9"/>
  <c r="J4"/>
  <c r="I13"/>
  <c r="I5"/>
  <c r="I6"/>
  <c r="I8"/>
  <c r="E3" i="17"/>
  <c r="B3"/>
  <c r="H1"/>
  <c r="AO49" i="16"/>
  <c r="AN49" s="1"/>
  <c r="AM49" s="1"/>
  <c r="AL49" s="1"/>
  <c r="AK49"/>
  <c r="AJ49" s="1"/>
  <c r="AO47"/>
  <c r="AN47" s="1"/>
  <c r="AM47"/>
  <c r="AL47" s="1"/>
  <c r="AK47" s="1"/>
  <c r="AJ47" s="1"/>
  <c r="AQ45"/>
  <c r="AO45" s="1"/>
  <c r="AN45" s="1"/>
  <c r="AM45" s="1"/>
  <c r="AL45" s="1"/>
  <c r="AK45" s="1"/>
  <c r="AJ45" s="1"/>
  <c r="AO43"/>
  <c r="AN43" s="1"/>
  <c r="AM43"/>
  <c r="AL43" s="1"/>
  <c r="AK43" s="1"/>
  <c r="AJ43" s="1"/>
  <c r="AO41"/>
  <c r="AN41"/>
  <c r="AM41" s="1"/>
  <c r="AL41" s="1"/>
  <c r="AK41" s="1"/>
  <c r="AJ41"/>
  <c r="AO36"/>
  <c r="AN36"/>
  <c r="AM36"/>
  <c r="AL36"/>
  <c r="AK36"/>
  <c r="AJ36"/>
  <c r="AO35"/>
  <c r="AN35"/>
  <c r="AM35"/>
  <c r="AL35"/>
  <c r="AK35"/>
  <c r="AJ35"/>
  <c r="AO34"/>
  <c r="AN34"/>
  <c r="AM34"/>
  <c r="AL34"/>
  <c r="AK34"/>
  <c r="AJ34"/>
  <c r="AO33"/>
  <c r="AN33"/>
  <c r="AM33"/>
  <c r="AL33"/>
  <c r="AK33"/>
  <c r="AJ33"/>
  <c r="AO32"/>
  <c r="AN32"/>
  <c r="AM32"/>
  <c r="AL32"/>
  <c r="AK32"/>
  <c r="AJ32"/>
  <c r="AO31"/>
  <c r="AN31"/>
  <c r="AM31"/>
  <c r="AL31"/>
  <c r="AK31"/>
  <c r="AJ31"/>
  <c r="AO30"/>
  <c r="AN30"/>
  <c r="AM30"/>
  <c r="AL30"/>
  <c r="AK30"/>
  <c r="AJ30"/>
  <c r="AO29"/>
  <c r="AN29"/>
  <c r="AM29"/>
  <c r="AL29"/>
  <c r="AK29"/>
  <c r="AJ29"/>
  <c r="AO28"/>
  <c r="AN28"/>
  <c r="AM28"/>
  <c r="AL28"/>
  <c r="AK28"/>
  <c r="AJ28"/>
  <c r="I9" i="23" l="1"/>
  <c r="G11"/>
  <c r="G14"/>
  <c r="G16" s="1"/>
  <c r="I8"/>
  <c r="H10"/>
  <c r="H11" s="1"/>
  <c r="I5"/>
  <c r="I13"/>
  <c r="J4"/>
  <c r="J9" s="1"/>
  <c r="I12"/>
  <c r="F16"/>
  <c r="F16" i="22"/>
  <c r="H10"/>
  <c r="H11" s="1"/>
  <c r="G15"/>
  <c r="G14"/>
  <c r="K4"/>
  <c r="J6"/>
  <c r="J7" s="1"/>
  <c r="J9"/>
  <c r="J8"/>
  <c r="J5"/>
  <c r="J12"/>
  <c r="J13"/>
  <c r="I7"/>
  <c r="I10" s="1"/>
  <c r="I11" s="1"/>
  <c r="B13" i="17"/>
  <c r="B14"/>
  <c r="E8"/>
  <c r="E4"/>
  <c r="E5"/>
  <c r="E6" s="1"/>
  <c r="F3"/>
  <c r="E7"/>
  <c r="B15"/>
  <c r="H15" i="23" l="1"/>
  <c r="I10"/>
  <c r="I14" s="1"/>
  <c r="H14"/>
  <c r="J5"/>
  <c r="J6"/>
  <c r="J7" s="1"/>
  <c r="K4"/>
  <c r="K9" s="1"/>
  <c r="J8"/>
  <c r="J12"/>
  <c r="J13"/>
  <c r="H15" i="22"/>
  <c r="H14"/>
  <c r="G16"/>
  <c r="J10"/>
  <c r="K13"/>
  <c r="K12"/>
  <c r="K9"/>
  <c r="K6"/>
  <c r="K7" s="1"/>
  <c r="L4"/>
  <c r="K5"/>
  <c r="K8"/>
  <c r="I14"/>
  <c r="I15"/>
  <c r="E9" i="17"/>
  <c r="E14" s="1"/>
  <c r="F8"/>
  <c r="F4"/>
  <c r="G3"/>
  <c r="G11" s="1"/>
  <c r="F7"/>
  <c r="F5"/>
  <c r="E12"/>
  <c r="F12"/>
  <c r="E11"/>
  <c r="F11"/>
  <c r="I11" i="23" l="1"/>
  <c r="H16"/>
  <c r="I15"/>
  <c r="I16" s="1"/>
  <c r="L4"/>
  <c r="L9" s="1"/>
  <c r="K12"/>
  <c r="K8"/>
  <c r="J10"/>
  <c r="J14" s="1"/>
  <c r="K13"/>
  <c r="K5"/>
  <c r="K6"/>
  <c r="K7" s="1"/>
  <c r="G12" i="17"/>
  <c r="H16" i="22"/>
  <c r="J11"/>
  <c r="J15"/>
  <c r="J14"/>
  <c r="K10"/>
  <c r="K11" s="1"/>
  <c r="I16"/>
  <c r="L9"/>
  <c r="L5"/>
  <c r="L12"/>
  <c r="L8"/>
  <c r="L13"/>
  <c r="M4"/>
  <c r="L6"/>
  <c r="L7" s="1"/>
  <c r="E10" i="17"/>
  <c r="E13"/>
  <c r="E16" s="1"/>
  <c r="E17"/>
  <c r="G8"/>
  <c r="G7"/>
  <c r="G4"/>
  <c r="H3"/>
  <c r="G5"/>
  <c r="L5" i="23" l="1"/>
  <c r="M4"/>
  <c r="M9" s="1"/>
  <c r="L13"/>
  <c r="L12"/>
  <c r="L6"/>
  <c r="L7" s="1"/>
  <c r="L8"/>
  <c r="K10"/>
  <c r="K11" s="1"/>
  <c r="J11"/>
  <c r="J15"/>
  <c r="J16" s="1"/>
  <c r="K15" i="22"/>
  <c r="K14"/>
  <c r="J16"/>
  <c r="L10"/>
  <c r="M6"/>
  <c r="N4"/>
  <c r="M9"/>
  <c r="M13"/>
  <c r="M5"/>
  <c r="M12"/>
  <c r="M8"/>
  <c r="E15" i="17"/>
  <c r="H8"/>
  <c r="H7"/>
  <c r="I3"/>
  <c r="H4"/>
  <c r="H5"/>
  <c r="H6" s="1"/>
  <c r="H11"/>
  <c r="H12"/>
  <c r="M8" i="23" l="1"/>
  <c r="M6"/>
  <c r="M7" s="1"/>
  <c r="M12"/>
  <c r="M13"/>
  <c r="M5"/>
  <c r="N4"/>
  <c r="N13" s="1"/>
  <c r="L10"/>
  <c r="L15" s="1"/>
  <c r="K15"/>
  <c r="K14"/>
  <c r="K16" i="22"/>
  <c r="O4"/>
  <c r="N12"/>
  <c r="N8"/>
  <c r="N13"/>
  <c r="N5"/>
  <c r="N9"/>
  <c r="N6"/>
  <c r="L11"/>
  <c r="L14"/>
  <c r="L15"/>
  <c r="M7"/>
  <c r="M10" s="1"/>
  <c r="M11" s="1"/>
  <c r="I8" i="17"/>
  <c r="I7"/>
  <c r="I5"/>
  <c r="J3"/>
  <c r="I4"/>
  <c r="I12"/>
  <c r="I11"/>
  <c r="G6"/>
  <c r="H9"/>
  <c r="H13" s="1"/>
  <c r="M10" i="23" l="1"/>
  <c r="M15" s="1"/>
  <c r="N5"/>
  <c r="N12"/>
  <c r="N9"/>
  <c r="N8"/>
  <c r="L11"/>
  <c r="N6"/>
  <c r="N7" s="1"/>
  <c r="L14"/>
  <c r="L16" s="1"/>
  <c r="O4"/>
  <c r="O13" s="1"/>
  <c r="K16"/>
  <c r="L16" i="22"/>
  <c r="M14"/>
  <c r="O9"/>
  <c r="O5"/>
  <c r="O8"/>
  <c r="P4"/>
  <c r="O12"/>
  <c r="O13"/>
  <c r="O6"/>
  <c r="N7"/>
  <c r="N10" s="1"/>
  <c r="N11" s="1"/>
  <c r="M15"/>
  <c r="F6" i="17"/>
  <c r="F9" s="1"/>
  <c r="G9"/>
  <c r="H10"/>
  <c r="H14"/>
  <c r="H15" s="1"/>
  <c r="J8"/>
  <c r="J5"/>
  <c r="J6" s="1"/>
  <c r="K3"/>
  <c r="J4"/>
  <c r="J11"/>
  <c r="J12"/>
  <c r="B10" i="16"/>
  <c r="M14" i="23" l="1"/>
  <c r="M16" s="1"/>
  <c r="O5"/>
  <c r="O12"/>
  <c r="O6"/>
  <c r="O7" s="1"/>
  <c r="M11"/>
  <c r="N10"/>
  <c r="N11" s="1"/>
  <c r="P4"/>
  <c r="P5" s="1"/>
  <c r="O8"/>
  <c r="O9"/>
  <c r="M16" i="22"/>
  <c r="N15"/>
  <c r="P12"/>
  <c r="P13"/>
  <c r="P8"/>
  <c r="P9"/>
  <c r="P5"/>
  <c r="P6"/>
  <c r="Q4"/>
  <c r="O7"/>
  <c r="O10" s="1"/>
  <c r="O15" s="1"/>
  <c r="N14"/>
  <c r="F10" i="17"/>
  <c r="F14"/>
  <c r="F13"/>
  <c r="K8"/>
  <c r="K5"/>
  <c r="L3"/>
  <c r="K4"/>
  <c r="K11"/>
  <c r="K12"/>
  <c r="G10"/>
  <c r="G14"/>
  <c r="G13"/>
  <c r="I6"/>
  <c r="I9" s="1"/>
  <c r="B9" i="16"/>
  <c r="O10" i="23" l="1"/>
  <c r="O15" s="1"/>
  <c r="Q4"/>
  <c r="Q9" s="1"/>
  <c r="P13"/>
  <c r="N14"/>
  <c r="N15"/>
  <c r="P6"/>
  <c r="P7" s="1"/>
  <c r="P9"/>
  <c r="P12"/>
  <c r="P8"/>
  <c r="N16" i="22"/>
  <c r="P7"/>
  <c r="P10" s="1"/>
  <c r="P15" s="1"/>
  <c r="O11"/>
  <c r="O14"/>
  <c r="O16" s="1"/>
  <c r="Q6"/>
  <c r="R4"/>
  <c r="Q9"/>
  <c r="Q5"/>
  <c r="Q13"/>
  <c r="Q12"/>
  <c r="Q8"/>
  <c r="I10" i="17"/>
  <c r="I14"/>
  <c r="I13"/>
  <c r="F15"/>
  <c r="L8"/>
  <c r="L7"/>
  <c r="K7" s="1"/>
  <c r="J7" s="1"/>
  <c r="J9" s="1"/>
  <c r="M3"/>
  <c r="L5"/>
  <c r="L12"/>
  <c r="L11"/>
  <c r="G15"/>
  <c r="O11" i="23" l="1"/>
  <c r="O14"/>
  <c r="O16" s="1"/>
  <c r="P10"/>
  <c r="P15" s="1"/>
  <c r="Q5"/>
  <c r="Q8"/>
  <c r="Q6"/>
  <c r="Q7" s="1"/>
  <c r="Q13"/>
  <c r="Q12"/>
  <c r="R4"/>
  <c r="S4" s="1"/>
  <c r="N16"/>
  <c r="P11" i="22"/>
  <c r="P14"/>
  <c r="P16" s="1"/>
  <c r="Q7"/>
  <c r="Q10" s="1"/>
  <c r="Q11" s="1"/>
  <c r="R12"/>
  <c r="R6"/>
  <c r="R5"/>
  <c r="R13"/>
  <c r="R9"/>
  <c r="S4"/>
  <c r="R8"/>
  <c r="I15" i="17"/>
  <c r="J10"/>
  <c r="J13"/>
  <c r="J14"/>
  <c r="M8"/>
  <c r="M4"/>
  <c r="L4" s="1"/>
  <c r="M7"/>
  <c r="M5"/>
  <c r="N3"/>
  <c r="M12"/>
  <c r="M11"/>
  <c r="R6" i="23" l="1"/>
  <c r="R7" s="1"/>
  <c r="R13"/>
  <c r="R5"/>
  <c r="R8"/>
  <c r="R9"/>
  <c r="P11"/>
  <c r="Q10"/>
  <c r="Q11" s="1"/>
  <c r="P14"/>
  <c r="P16" s="1"/>
  <c r="R12"/>
  <c r="S9"/>
  <c r="T4"/>
  <c r="S13"/>
  <c r="S5"/>
  <c r="S8"/>
  <c r="S12"/>
  <c r="S6"/>
  <c r="Q15" i="22"/>
  <c r="Q14"/>
  <c r="S5"/>
  <c r="S8"/>
  <c r="S12"/>
  <c r="S6"/>
  <c r="S9"/>
  <c r="S13"/>
  <c r="T4"/>
  <c r="R7"/>
  <c r="R10" s="1"/>
  <c r="R14" s="1"/>
  <c r="J15" i="17"/>
  <c r="N8"/>
  <c r="N4"/>
  <c r="N7"/>
  <c r="O3"/>
  <c r="N5"/>
  <c r="N12"/>
  <c r="N11"/>
  <c r="R10" i="23" l="1"/>
  <c r="R11" s="1"/>
  <c r="Q15"/>
  <c r="Q14"/>
  <c r="S7"/>
  <c r="S10" s="1"/>
  <c r="S11" s="1"/>
  <c r="T9"/>
  <c r="T12"/>
  <c r="T8"/>
  <c r="T13"/>
  <c r="T5"/>
  <c r="U4"/>
  <c r="T6"/>
  <c r="Q16" i="22"/>
  <c r="S7"/>
  <c r="S10" s="1"/>
  <c r="S14" s="1"/>
  <c r="R11"/>
  <c r="R15"/>
  <c r="R16" s="1"/>
  <c r="T6"/>
  <c r="T12"/>
  <c r="T9"/>
  <c r="T5"/>
  <c r="T13"/>
  <c r="U4"/>
  <c r="T8"/>
  <c r="O8" i="17"/>
  <c r="O4"/>
  <c r="O5"/>
  <c r="O7"/>
  <c r="P3"/>
  <c r="O12"/>
  <c r="O11"/>
  <c r="R14" i="23" l="1"/>
  <c r="R15"/>
  <c r="Q16"/>
  <c r="S15"/>
  <c r="T7"/>
  <c r="T10" s="1"/>
  <c r="T11" s="1"/>
  <c r="S14"/>
  <c r="U12"/>
  <c r="U13"/>
  <c r="U5"/>
  <c r="U8"/>
  <c r="U6"/>
  <c r="U7" s="1"/>
  <c r="U9"/>
  <c r="V4"/>
  <c r="S11" i="22"/>
  <c r="S15"/>
  <c r="S16" s="1"/>
  <c r="U8"/>
  <c r="U13"/>
  <c r="U12"/>
  <c r="U6"/>
  <c r="U7" s="1"/>
  <c r="U9"/>
  <c r="U5"/>
  <c r="V4"/>
  <c r="T7"/>
  <c r="T10" s="1"/>
  <c r="P8" i="17"/>
  <c r="P4"/>
  <c r="P5"/>
  <c r="Q3"/>
  <c r="P7"/>
  <c r="P11"/>
  <c r="P12"/>
  <c r="R16" i="23" l="1"/>
  <c r="S16"/>
  <c r="T15"/>
  <c r="V9"/>
  <c r="V13"/>
  <c r="V12"/>
  <c r="V5"/>
  <c r="V8"/>
  <c r="V6"/>
  <c r="W4"/>
  <c r="T14"/>
  <c r="U10"/>
  <c r="U11" s="1"/>
  <c r="V5" i="22"/>
  <c r="V8"/>
  <c r="V6"/>
  <c r="V9"/>
  <c r="W4"/>
  <c r="V13"/>
  <c r="V12"/>
  <c r="T11"/>
  <c r="T14"/>
  <c r="U10"/>
  <c r="T15"/>
  <c r="Q8" i="17"/>
  <c r="Q5"/>
  <c r="R3"/>
  <c r="Q4"/>
  <c r="Q7"/>
  <c r="Q12"/>
  <c r="Q11"/>
  <c r="U15" i="23" l="1"/>
  <c r="W6"/>
  <c r="W7" s="1"/>
  <c r="W9"/>
  <c r="W12"/>
  <c r="W8"/>
  <c r="X4"/>
  <c r="W13"/>
  <c r="W5"/>
  <c r="U14"/>
  <c r="V7"/>
  <c r="V10" s="1"/>
  <c r="V15" s="1"/>
  <c r="T16"/>
  <c r="T16" i="22"/>
  <c r="V7"/>
  <c r="V10" s="1"/>
  <c r="V11" s="1"/>
  <c r="W6"/>
  <c r="W7" s="1"/>
  <c r="W9"/>
  <c r="W12"/>
  <c r="X4"/>
  <c r="W13"/>
  <c r="W5"/>
  <c r="W8"/>
  <c r="U11"/>
  <c r="U14"/>
  <c r="U15"/>
  <c r="R8" i="17"/>
  <c r="R5"/>
  <c r="S3"/>
  <c r="R7"/>
  <c r="R4"/>
  <c r="R12"/>
  <c r="R11"/>
  <c r="U16" i="23" l="1"/>
  <c r="W10"/>
  <c r="W11" s="1"/>
  <c r="V11"/>
  <c r="V14"/>
  <c r="V16" s="1"/>
  <c r="X9"/>
  <c r="X5"/>
  <c r="X8"/>
  <c r="Y4"/>
  <c r="X12"/>
  <c r="X13"/>
  <c r="X6"/>
  <c r="X7" s="1"/>
  <c r="U16" i="22"/>
  <c r="X13"/>
  <c r="X5"/>
  <c r="X12"/>
  <c r="X8"/>
  <c r="X6"/>
  <c r="X7" s="1"/>
  <c r="Y4"/>
  <c r="X9"/>
  <c r="V14"/>
  <c r="W10"/>
  <c r="W11" s="1"/>
  <c r="V15"/>
  <c r="S8" i="17"/>
  <c r="S7"/>
  <c r="T3"/>
  <c r="S5"/>
  <c r="S4"/>
  <c r="S12"/>
  <c r="S11"/>
  <c r="W15" i="23" l="1"/>
  <c r="W14"/>
  <c r="X10"/>
  <c r="X11" s="1"/>
  <c r="Y6"/>
  <c r="Y13"/>
  <c r="Y9"/>
  <c r="Y5"/>
  <c r="Y12"/>
  <c r="Y8"/>
  <c r="V16" i="22"/>
  <c r="W14"/>
  <c r="Y5"/>
  <c r="Y13"/>
  <c r="Y8"/>
  <c r="Y12"/>
  <c r="Y6"/>
  <c r="Y7" s="1"/>
  <c r="Y9"/>
  <c r="W15"/>
  <c r="X10"/>
  <c r="T8" i="17"/>
  <c r="U3"/>
  <c r="T7"/>
  <c r="T4"/>
  <c r="T5"/>
  <c r="T11"/>
  <c r="T12"/>
  <c r="B8" i="16"/>
  <c r="W16" i="23" l="1"/>
  <c r="X15"/>
  <c r="X14"/>
  <c r="Y7"/>
  <c r="Y10" s="1"/>
  <c r="Y15" s="1"/>
  <c r="Z12"/>
  <c r="W16" i="22"/>
  <c r="X11"/>
  <c r="X15"/>
  <c r="X14"/>
  <c r="Y10"/>
  <c r="Z12"/>
  <c r="U8" i="17"/>
  <c r="U7"/>
  <c r="V3"/>
  <c r="U5"/>
  <c r="U4"/>
  <c r="U11"/>
  <c r="U12"/>
  <c r="X16" i="23" l="1"/>
  <c r="Y11"/>
  <c r="Y14"/>
  <c r="Y16" s="1"/>
  <c r="Y11" i="22"/>
  <c r="Y14"/>
  <c r="Y15"/>
  <c r="X16"/>
  <c r="V8" i="17"/>
  <c r="V4"/>
  <c r="W3"/>
  <c r="V7"/>
  <c r="V5"/>
  <c r="V11"/>
  <c r="V12"/>
  <c r="Y16" i="22" l="1"/>
  <c r="W8" i="17"/>
  <c r="X3"/>
  <c r="W4"/>
  <c r="W5"/>
  <c r="W7"/>
  <c r="W11"/>
  <c r="W12"/>
  <c r="X8" l="1"/>
  <c r="X4"/>
  <c r="Y3"/>
  <c r="X5"/>
  <c r="X7"/>
  <c r="X11"/>
  <c r="X12"/>
  <c r="Y8" l="1"/>
  <c r="Y5"/>
  <c r="Y6" s="1"/>
  <c r="Y7"/>
  <c r="Y4"/>
  <c r="Y12"/>
  <c r="Y11"/>
  <c r="Z11" l="1"/>
  <c r="X6"/>
  <c r="Y9"/>
  <c r="Y10" s="1"/>
  <c r="Y13" l="1"/>
  <c r="Y15" s="1"/>
  <c r="W6"/>
  <c r="X9"/>
  <c r="Y14"/>
  <c r="X10" l="1"/>
  <c r="X13"/>
  <c r="X14"/>
  <c r="V6"/>
  <c r="W9"/>
  <c r="X15" l="1"/>
  <c r="U6"/>
  <c r="V9"/>
  <c r="W10"/>
  <c r="W14"/>
  <c r="W13"/>
  <c r="E3" i="16"/>
  <c r="F3" s="1"/>
  <c r="B3"/>
  <c r="H1"/>
  <c r="B10" i="15"/>
  <c r="B9"/>
  <c r="W15" i="17" l="1"/>
  <c r="T6"/>
  <c r="U9"/>
  <c r="B12" i="15"/>
  <c r="V10" i="17"/>
  <c r="V14"/>
  <c r="V13"/>
  <c r="F8" i="16"/>
  <c r="F5"/>
  <c r="F4"/>
  <c r="E4" s="1"/>
  <c r="G3"/>
  <c r="B14"/>
  <c r="B15"/>
  <c r="E8"/>
  <c r="E7"/>
  <c r="E5"/>
  <c r="E6" s="1"/>
  <c r="U10" i="17" l="1"/>
  <c r="U14"/>
  <c r="U13"/>
  <c r="G8" i="16"/>
  <c r="G7"/>
  <c r="F7" s="1"/>
  <c r="G5"/>
  <c r="G4"/>
  <c r="H3"/>
  <c r="S6" i="17"/>
  <c r="T9"/>
  <c r="F12" i="16"/>
  <c r="G12"/>
  <c r="E12"/>
  <c r="H12"/>
  <c r="E11"/>
  <c r="B11" s="1"/>
  <c r="H11"/>
  <c r="G11" s="1"/>
  <c r="F11" s="1"/>
  <c r="V15" i="17"/>
  <c r="H8" i="16" l="1"/>
  <c r="H7"/>
  <c r="H5"/>
  <c r="H4"/>
  <c r="I3"/>
  <c r="B13"/>
  <c r="R6" i="17"/>
  <c r="S9"/>
  <c r="U15"/>
  <c r="T10"/>
  <c r="T14"/>
  <c r="T13"/>
  <c r="B12" i="16"/>
  <c r="E17"/>
  <c r="E9" l="1"/>
  <c r="I8"/>
  <c r="I5"/>
  <c r="I4"/>
  <c r="J3"/>
  <c r="I12"/>
  <c r="I11"/>
  <c r="S10" i="17"/>
  <c r="S13"/>
  <c r="S15" s="1"/>
  <c r="S14"/>
  <c r="Q6"/>
  <c r="R9"/>
  <c r="T15"/>
  <c r="E10" i="16" l="1"/>
  <c r="E13"/>
  <c r="E14"/>
  <c r="P6" i="17"/>
  <c r="Q9"/>
  <c r="R10"/>
  <c r="R13"/>
  <c r="R15" s="1"/>
  <c r="R14"/>
  <c r="J8" i="16"/>
  <c r="J7"/>
  <c r="I7" s="1"/>
  <c r="J5"/>
  <c r="J4"/>
  <c r="K3"/>
  <c r="J12"/>
  <c r="E15" l="1"/>
  <c r="O6" i="17"/>
  <c r="P9"/>
  <c r="Q10"/>
  <c r="Q14"/>
  <c r="Q13"/>
  <c r="K8" i="16"/>
  <c r="K7"/>
  <c r="K5"/>
  <c r="L3"/>
  <c r="K12"/>
  <c r="K11"/>
  <c r="J11" s="1"/>
  <c r="E16"/>
  <c r="P10" i="17" l="1"/>
  <c r="P13"/>
  <c r="P14"/>
  <c r="N6"/>
  <c r="O9"/>
  <c r="L8" i="16"/>
  <c r="L5"/>
  <c r="L7"/>
  <c r="L4"/>
  <c r="K4" s="1"/>
  <c r="M3"/>
  <c r="L12"/>
  <c r="Q15" i="17"/>
  <c r="B8" i="15"/>
  <c r="P15" i="17" l="1"/>
  <c r="M8" i="16"/>
  <c r="M7"/>
  <c r="M5"/>
  <c r="M6" s="1"/>
  <c r="M4"/>
  <c r="N3"/>
  <c r="M11"/>
  <c r="L11" s="1"/>
  <c r="M12"/>
  <c r="M6" i="17"/>
  <c r="N9"/>
  <c r="O10"/>
  <c r="O13"/>
  <c r="O14"/>
  <c r="O15" l="1"/>
  <c r="N10"/>
  <c r="N13"/>
  <c r="N14"/>
  <c r="L6" i="16"/>
  <c r="M9"/>
  <c r="L6" i="17"/>
  <c r="M9"/>
  <c r="N8" i="16"/>
  <c r="N7"/>
  <c r="N5"/>
  <c r="N4"/>
  <c r="O3"/>
  <c r="N11"/>
  <c r="N12"/>
  <c r="E3" i="15"/>
  <c r="E4" s="1"/>
  <c r="B3"/>
  <c r="H1"/>
  <c r="F3" l="1"/>
  <c r="F4" s="1"/>
  <c r="N15" i="17"/>
  <c r="B14" i="15"/>
  <c r="B15"/>
  <c r="K6" i="16"/>
  <c r="L9"/>
  <c r="M10"/>
  <c r="M13"/>
  <c r="M14"/>
  <c r="O8"/>
  <c r="O7"/>
  <c r="O5"/>
  <c r="O4"/>
  <c r="P3"/>
  <c r="O11"/>
  <c r="O12"/>
  <c r="K6" i="17"/>
  <c r="K9" s="1"/>
  <c r="L9"/>
  <c r="M10"/>
  <c r="M14"/>
  <c r="M13"/>
  <c r="F5" i="15" l="1"/>
  <c r="E5" s="1"/>
  <c r="F7"/>
  <c r="E7" s="1"/>
  <c r="F8"/>
  <c r="E8" s="1"/>
  <c r="G3"/>
  <c r="H3" s="1"/>
  <c r="L10" i="16"/>
  <c r="L13"/>
  <c r="L14"/>
  <c r="M15" i="17"/>
  <c r="F6" i="15"/>
  <c r="K10" i="17"/>
  <c r="K14"/>
  <c r="K13"/>
  <c r="J6" i="16"/>
  <c r="K9"/>
  <c r="G8" i="15"/>
  <c r="G7"/>
  <c r="P8" i="16"/>
  <c r="P7"/>
  <c r="P5"/>
  <c r="P4"/>
  <c r="Q3"/>
  <c r="P11"/>
  <c r="P12"/>
  <c r="M15"/>
  <c r="L10" i="17"/>
  <c r="L13"/>
  <c r="L15" s="1"/>
  <c r="L14"/>
  <c r="G12" i="15"/>
  <c r="G17"/>
  <c r="E11"/>
  <c r="B11" s="1"/>
  <c r="E12"/>
  <c r="F12"/>
  <c r="B10" i="14"/>
  <c r="B9"/>
  <c r="B12" s="1"/>
  <c r="G4" i="15" l="1"/>
  <c r="H12"/>
  <c r="H11"/>
  <c r="G11" s="1"/>
  <c r="F11" s="1"/>
  <c r="E17" s="1"/>
  <c r="G5"/>
  <c r="L15" i="16"/>
  <c r="K15" i="17"/>
  <c r="K10" i="16"/>
  <c r="K13"/>
  <c r="K14"/>
  <c r="I6"/>
  <c r="J9"/>
  <c r="B13" i="15"/>
  <c r="F9" s="1"/>
  <c r="F13" s="1"/>
  <c r="E6"/>
  <c r="Q8" i="16"/>
  <c r="Q7"/>
  <c r="Q5"/>
  <c r="Q4"/>
  <c r="R3"/>
  <c r="Q11"/>
  <c r="Q12"/>
  <c r="H8" i="15"/>
  <c r="H4"/>
  <c r="H7"/>
  <c r="H5"/>
  <c r="I3"/>
  <c r="B8" i="14"/>
  <c r="E3"/>
  <c r="E8" s="1"/>
  <c r="B3"/>
  <c r="H1"/>
  <c r="B14" s="1"/>
  <c r="AO49" i="13"/>
  <c r="AN49" s="1"/>
  <c r="AM49" s="1"/>
  <c r="AL49"/>
  <c r="AK49" s="1"/>
  <c r="AJ49" s="1"/>
  <c r="AO47" s="1"/>
  <c r="AN47" s="1"/>
  <c r="AM47" s="1"/>
  <c r="AL47" s="1"/>
  <c r="AK47" s="1"/>
  <c r="AJ47" s="1"/>
  <c r="AO45"/>
  <c r="AN45"/>
  <c r="AM45" s="1"/>
  <c r="AL45" s="1"/>
  <c r="AK45" s="1"/>
  <c r="AJ45" s="1"/>
  <c r="AO43" s="1"/>
  <c r="AN43" s="1"/>
  <c r="AM43" s="1"/>
  <c r="AL43" s="1"/>
  <c r="AK43" s="1"/>
  <c r="AJ43" s="1"/>
  <c r="AO41" s="1"/>
  <c r="AN41" s="1"/>
  <c r="AM41" s="1"/>
  <c r="AL41" s="1"/>
  <c r="AK41" s="1"/>
  <c r="AJ41" s="1"/>
  <c r="K15" i="16" l="1"/>
  <c r="E9" i="15"/>
  <c r="E10" s="1"/>
  <c r="E5" i="14"/>
  <c r="F14" i="15"/>
  <c r="F15" s="1"/>
  <c r="AQ45" i="13"/>
  <c r="R8" i="16"/>
  <c r="R7"/>
  <c r="R5"/>
  <c r="R4"/>
  <c r="S3"/>
  <c r="R12"/>
  <c r="R11"/>
  <c r="F3" i="14"/>
  <c r="F10" i="15"/>
  <c r="I8"/>
  <c r="I7"/>
  <c r="I4"/>
  <c r="I5"/>
  <c r="J3"/>
  <c r="I11"/>
  <c r="I12"/>
  <c r="H6" i="16"/>
  <c r="I9"/>
  <c r="J10"/>
  <c r="J14"/>
  <c r="J13"/>
  <c r="E4" i="14"/>
  <c r="B15"/>
  <c r="E13" i="15" l="1"/>
  <c r="E14"/>
  <c r="J15" i="16"/>
  <c r="F8" i="14"/>
  <c r="F4"/>
  <c r="F5"/>
  <c r="F7"/>
  <c r="E7" s="1"/>
  <c r="G3"/>
  <c r="G12" s="1"/>
  <c r="G6" i="16"/>
  <c r="H9"/>
  <c r="E12" i="14"/>
  <c r="F12"/>
  <c r="E11"/>
  <c r="B11" s="1"/>
  <c r="F11"/>
  <c r="G11"/>
  <c r="I10" i="16"/>
  <c r="I13"/>
  <c r="I14"/>
  <c r="S8"/>
  <c r="S7"/>
  <c r="S4"/>
  <c r="S5"/>
  <c r="T3"/>
  <c r="S12"/>
  <c r="S11"/>
  <c r="J7" i="15"/>
  <c r="J8"/>
  <c r="J4"/>
  <c r="J5"/>
  <c r="K3"/>
  <c r="J12"/>
  <c r="J11"/>
  <c r="E15" l="1"/>
  <c r="E16"/>
  <c r="E17" i="14"/>
  <c r="T8" i="16"/>
  <c r="T7"/>
  <c r="T5"/>
  <c r="T4"/>
  <c r="U3"/>
  <c r="T11"/>
  <c r="T12"/>
  <c r="I15"/>
  <c r="K8" i="15"/>
  <c r="K7"/>
  <c r="K4"/>
  <c r="K5"/>
  <c r="L3"/>
  <c r="K12"/>
  <c r="K11"/>
  <c r="G8" i="14"/>
  <c r="G5"/>
  <c r="G4"/>
  <c r="H3"/>
  <c r="G7"/>
  <c r="F6" i="16"/>
  <c r="F9" s="1"/>
  <c r="G9"/>
  <c r="B13" i="14"/>
  <c r="H10" i="16"/>
  <c r="H13"/>
  <c r="H14"/>
  <c r="H15" l="1"/>
  <c r="U8"/>
  <c r="U7"/>
  <c r="U5"/>
  <c r="U4"/>
  <c r="V3"/>
  <c r="U11"/>
  <c r="U12"/>
  <c r="L8" i="15"/>
  <c r="L7"/>
  <c r="M3"/>
  <c r="L5"/>
  <c r="L4"/>
  <c r="L11"/>
  <c r="L12"/>
  <c r="G14" i="16"/>
  <c r="F14" s="1"/>
  <c r="G13"/>
  <c r="G10"/>
  <c r="H8" i="14"/>
  <c r="I3"/>
  <c r="H5"/>
  <c r="H4"/>
  <c r="H7"/>
  <c r="H11"/>
  <c r="H12"/>
  <c r="F13" i="16"/>
  <c r="F10"/>
  <c r="G15" l="1"/>
  <c r="F15" s="1"/>
  <c r="I8" i="14"/>
  <c r="J3"/>
  <c r="I5"/>
  <c r="I6" s="1"/>
  <c r="I4"/>
  <c r="I7"/>
  <c r="I11"/>
  <c r="I12"/>
  <c r="M8" i="15"/>
  <c r="M7"/>
  <c r="M4"/>
  <c r="M5"/>
  <c r="N3"/>
  <c r="M11"/>
  <c r="M12"/>
  <c r="V8" i="16"/>
  <c r="V7"/>
  <c r="V4"/>
  <c r="V5"/>
  <c r="W3"/>
  <c r="V12"/>
  <c r="V11"/>
  <c r="J8" i="14" l="1"/>
  <c r="J7"/>
  <c r="K3"/>
  <c r="J5"/>
  <c r="J6" s="1"/>
  <c r="J4"/>
  <c r="J12"/>
  <c r="J11"/>
  <c r="H6"/>
  <c r="I9"/>
  <c r="I14" s="1"/>
  <c r="W8" i="16"/>
  <c r="W7"/>
  <c r="W5"/>
  <c r="W4"/>
  <c r="X3"/>
  <c r="W11"/>
  <c r="W12"/>
  <c r="N8" i="15"/>
  <c r="N7"/>
  <c r="N5"/>
  <c r="O3"/>
  <c r="N4"/>
  <c r="N12"/>
  <c r="N11"/>
  <c r="X8" i="16" l="1"/>
  <c r="X7"/>
  <c r="X5"/>
  <c r="X4"/>
  <c r="Y3"/>
  <c r="X11"/>
  <c r="X12"/>
  <c r="G6" i="14"/>
  <c r="H9"/>
  <c r="I10"/>
  <c r="I13"/>
  <c r="I15" s="1"/>
  <c r="K8"/>
  <c r="K7"/>
  <c r="L3"/>
  <c r="K5"/>
  <c r="K6" s="1"/>
  <c r="K4"/>
  <c r="K11"/>
  <c r="K12"/>
  <c r="J9"/>
  <c r="J14" s="1"/>
  <c r="O8" i="15"/>
  <c r="O7"/>
  <c r="O5"/>
  <c r="P3"/>
  <c r="O4"/>
  <c r="O12"/>
  <c r="O11"/>
  <c r="K9" i="14" l="1"/>
  <c r="K10" s="1"/>
  <c r="F6"/>
  <c r="G9"/>
  <c r="L8"/>
  <c r="L4"/>
  <c r="L7"/>
  <c r="M3"/>
  <c r="L5"/>
  <c r="L6" s="1"/>
  <c r="L11"/>
  <c r="L12"/>
  <c r="H10"/>
  <c r="H13"/>
  <c r="H15" s="1"/>
  <c r="H14"/>
  <c r="P8" i="15"/>
  <c r="P7"/>
  <c r="P5"/>
  <c r="Q3"/>
  <c r="P4"/>
  <c r="P12"/>
  <c r="P11"/>
  <c r="J10" i="14"/>
  <c r="J13"/>
  <c r="J15" s="1"/>
  <c r="Y8" i="16"/>
  <c r="Y7"/>
  <c r="Y4"/>
  <c r="Y5"/>
  <c r="Y6" s="1"/>
  <c r="Y11"/>
  <c r="Y12"/>
  <c r="Z11" l="1"/>
  <c r="K13" i="14"/>
  <c r="K14"/>
  <c r="G13"/>
  <c r="G15" s="1"/>
  <c r="G10"/>
  <c r="G14"/>
  <c r="E6"/>
  <c r="F9"/>
  <c r="Q8" i="15"/>
  <c r="Q7"/>
  <c r="Q5"/>
  <c r="R3"/>
  <c r="Q4"/>
  <c r="Q11"/>
  <c r="Q12"/>
  <c r="M8" i="14"/>
  <c r="M4"/>
  <c r="M7"/>
  <c r="M5"/>
  <c r="M6" s="1"/>
  <c r="N3"/>
  <c r="M11"/>
  <c r="M12"/>
  <c r="L9"/>
  <c r="X6" i="16"/>
  <c r="Y9"/>
  <c r="L14" i="14"/>
  <c r="K15" l="1"/>
  <c r="Y10" i="16"/>
  <c r="Y13"/>
  <c r="Y14"/>
  <c r="N8" i="14"/>
  <c r="O3"/>
  <c r="N4"/>
  <c r="N7"/>
  <c r="N5"/>
  <c r="N6" s="1"/>
  <c r="N12"/>
  <c r="N11"/>
  <c r="R8" i="15"/>
  <c r="R7"/>
  <c r="R4"/>
  <c r="R5"/>
  <c r="S3"/>
  <c r="R12"/>
  <c r="R11"/>
  <c r="M9" i="14"/>
  <c r="M10" s="1"/>
  <c r="E9"/>
  <c r="F13"/>
  <c r="F15" s="1"/>
  <c r="F14"/>
  <c r="F10"/>
  <c r="W6" i="16"/>
  <c r="X9"/>
  <c r="L10" i="14"/>
  <c r="L13"/>
  <c r="L15" s="1"/>
  <c r="Y15" i="16" l="1"/>
  <c r="M13" i="14"/>
  <c r="N9"/>
  <c r="N10" s="1"/>
  <c r="E14"/>
  <c r="E10"/>
  <c r="E13"/>
  <c r="O8"/>
  <c r="O5"/>
  <c r="O6" s="1"/>
  <c r="O4"/>
  <c r="P3"/>
  <c r="O7"/>
  <c r="O12"/>
  <c r="O11"/>
  <c r="S8" i="15"/>
  <c r="S7"/>
  <c r="S4"/>
  <c r="S5"/>
  <c r="T3"/>
  <c r="S12"/>
  <c r="S11"/>
  <c r="V6" i="16"/>
  <c r="W9"/>
  <c r="X10"/>
  <c r="X13"/>
  <c r="X14"/>
  <c r="M14" i="14"/>
  <c r="B10" i="13"/>
  <c r="M15" i="14" l="1"/>
  <c r="X15" i="16"/>
  <c r="N14" i="14"/>
  <c r="N13"/>
  <c r="W10" i="16"/>
  <c r="W14"/>
  <c r="W13"/>
  <c r="P8" i="14"/>
  <c r="Q3"/>
  <c r="P5"/>
  <c r="P6" s="1"/>
  <c r="P4"/>
  <c r="P7"/>
  <c r="P11"/>
  <c r="P12"/>
  <c r="E15"/>
  <c r="T8" i="15"/>
  <c r="T7"/>
  <c r="T5"/>
  <c r="T4"/>
  <c r="U3"/>
  <c r="T11"/>
  <c r="T12"/>
  <c r="U6" i="16"/>
  <c r="T6" s="1"/>
  <c r="V9"/>
  <c r="O9" i="14"/>
  <c r="N15" l="1"/>
  <c r="O10"/>
  <c r="O13"/>
  <c r="O14"/>
  <c r="W15" i="16"/>
  <c r="U9"/>
  <c r="V10"/>
  <c r="V13"/>
  <c r="V14"/>
  <c r="U8" i="15"/>
  <c r="U7"/>
  <c r="U4"/>
  <c r="V3"/>
  <c r="U5"/>
  <c r="U11"/>
  <c r="U12"/>
  <c r="Q8" i="14"/>
  <c r="R3"/>
  <c r="Q5"/>
  <c r="Q6" s="1"/>
  <c r="Q7"/>
  <c r="Q4"/>
  <c r="Q12"/>
  <c r="Q11"/>
  <c r="P9"/>
  <c r="S6" i="16"/>
  <c r="T9"/>
  <c r="B9" i="13"/>
  <c r="O15" i="14" l="1"/>
  <c r="V15" i="16"/>
  <c r="P10" i="14"/>
  <c r="P14"/>
  <c r="P13"/>
  <c r="B12" i="13"/>
  <c r="Q9" i="14"/>
  <c r="T10" i="16"/>
  <c r="T13"/>
  <c r="T14"/>
  <c r="U10"/>
  <c r="U14"/>
  <c r="U13"/>
  <c r="R6"/>
  <c r="S9"/>
  <c r="V8" i="15"/>
  <c r="V7"/>
  <c r="V5"/>
  <c r="W3"/>
  <c r="V4"/>
  <c r="V12"/>
  <c r="V11"/>
  <c r="R8" i="14"/>
  <c r="R7"/>
  <c r="R5"/>
  <c r="R6" s="1"/>
  <c r="R4"/>
  <c r="S3"/>
  <c r="R12"/>
  <c r="R11"/>
  <c r="Q14"/>
  <c r="R9" l="1"/>
  <c r="R10" s="1"/>
  <c r="P15"/>
  <c r="S8"/>
  <c r="T3"/>
  <c r="S7"/>
  <c r="S4"/>
  <c r="S5"/>
  <c r="S6" s="1"/>
  <c r="S12"/>
  <c r="S11"/>
  <c r="W8" i="15"/>
  <c r="W7"/>
  <c r="W5"/>
  <c r="X3"/>
  <c r="W4"/>
  <c r="W12"/>
  <c r="W11"/>
  <c r="U15" i="16"/>
  <c r="Q6"/>
  <c r="R9"/>
  <c r="S10"/>
  <c r="S13"/>
  <c r="S15" s="1"/>
  <c r="S14"/>
  <c r="Q10" i="14"/>
  <c r="Q13"/>
  <c r="Q15" s="1"/>
  <c r="T15" i="16"/>
  <c r="X8" i="15" l="1"/>
  <c r="X7"/>
  <c r="X5"/>
  <c r="Y3"/>
  <c r="X4"/>
  <c r="X12"/>
  <c r="X11"/>
  <c r="T8" i="14"/>
  <c r="T4"/>
  <c r="T7"/>
  <c r="U3"/>
  <c r="T5"/>
  <c r="T6" s="1"/>
  <c r="T12"/>
  <c r="T11"/>
  <c r="R14"/>
  <c r="S9"/>
  <c r="S13" s="1"/>
  <c r="P6" i="16"/>
  <c r="Q9"/>
  <c r="R10"/>
  <c r="R14"/>
  <c r="R13"/>
  <c r="R15" s="1"/>
  <c r="R13" i="14"/>
  <c r="R15" s="1"/>
  <c r="B8" i="13"/>
  <c r="S15" i="14" l="1"/>
  <c r="O6" i="16"/>
  <c r="P9"/>
  <c r="U8" i="14"/>
  <c r="U7"/>
  <c r="U4"/>
  <c r="U5"/>
  <c r="U6" s="1"/>
  <c r="V3"/>
  <c r="U11"/>
  <c r="U12"/>
  <c r="Q14" i="16"/>
  <c r="Q13"/>
  <c r="Y8" i="15"/>
  <c r="Y7"/>
  <c r="Y4"/>
  <c r="Y5"/>
  <c r="Y6" s="1"/>
  <c r="Y12"/>
  <c r="Y11"/>
  <c r="T9" i="14"/>
  <c r="T14" s="1"/>
  <c r="Q10" i="16"/>
  <c r="S10" i="14"/>
  <c r="S14"/>
  <c r="P10" i="16" l="1"/>
  <c r="P14"/>
  <c r="P13"/>
  <c r="X6" i="15"/>
  <c r="Y9"/>
  <c r="Z11"/>
  <c r="Q15" i="16"/>
  <c r="N6"/>
  <c r="N9" s="1"/>
  <c r="O9"/>
  <c r="T10" i="14"/>
  <c r="T13"/>
  <c r="T15" s="1"/>
  <c r="U9"/>
  <c r="V8"/>
  <c r="V5"/>
  <c r="V6" s="1"/>
  <c r="W3"/>
  <c r="V4"/>
  <c r="V7"/>
  <c r="V11"/>
  <c r="V12"/>
  <c r="W6" i="15" l="1"/>
  <c r="X9"/>
  <c r="O10" i="16"/>
  <c r="O14"/>
  <c r="O13"/>
  <c r="Y10" i="15"/>
  <c r="Y13"/>
  <c r="Y15" s="1"/>
  <c r="Y14"/>
  <c r="W8" i="14"/>
  <c r="W5"/>
  <c r="W6" s="1"/>
  <c r="X3"/>
  <c r="W4"/>
  <c r="W7"/>
  <c r="W12"/>
  <c r="W11"/>
  <c r="U10"/>
  <c r="U14"/>
  <c r="U13"/>
  <c r="N10" i="16"/>
  <c r="N14"/>
  <c r="N13"/>
  <c r="P15"/>
  <c r="V9" i="14"/>
  <c r="X8" l="1"/>
  <c r="Y3"/>
  <c r="X5"/>
  <c r="X6" s="1"/>
  <c r="X7"/>
  <c r="X4"/>
  <c r="X12"/>
  <c r="X11"/>
  <c r="W9"/>
  <c r="W10" s="1"/>
  <c r="U15"/>
  <c r="O15" i="16"/>
  <c r="V6" i="15"/>
  <c r="W9"/>
  <c r="N15" i="16"/>
  <c r="W14" i="14"/>
  <c r="V10"/>
  <c r="V14"/>
  <c r="V13"/>
  <c r="X10" i="15"/>
  <c r="X14"/>
  <c r="X13"/>
  <c r="X9" i="14" l="1"/>
  <c r="X10" s="1"/>
  <c r="V15"/>
  <c r="W13"/>
  <c r="W15" s="1"/>
  <c r="U6" i="15"/>
  <c r="V9"/>
  <c r="Y8" i="14"/>
  <c r="Y7"/>
  <c r="Y5"/>
  <c r="Y6" s="1"/>
  <c r="Y4"/>
  <c r="Y11"/>
  <c r="Y12"/>
  <c r="W10" i="15"/>
  <c r="W13"/>
  <c r="W14"/>
  <c r="X15"/>
  <c r="Z11" i="14" l="1"/>
  <c r="Y9"/>
  <c r="Y10" s="1"/>
  <c r="T6" i="15"/>
  <c r="U9"/>
  <c r="X13" i="14"/>
  <c r="V10" i="15"/>
  <c r="V14"/>
  <c r="V13"/>
  <c r="X14" i="14"/>
  <c r="W15" i="15"/>
  <c r="X15" i="14" l="1"/>
  <c r="Y13"/>
  <c r="Y15" s="1"/>
  <c r="Y14"/>
  <c r="U10" i="15"/>
  <c r="U14"/>
  <c r="U13"/>
  <c r="S6"/>
  <c r="T9"/>
  <c r="V15"/>
  <c r="T10" l="1"/>
  <c r="T13"/>
  <c r="T14"/>
  <c r="U15"/>
  <c r="R6"/>
  <c r="S9"/>
  <c r="T15" l="1"/>
  <c r="Q6"/>
  <c r="R9"/>
  <c r="S10"/>
  <c r="S14"/>
  <c r="S13"/>
  <c r="P6" l="1"/>
  <c r="Q9"/>
  <c r="R10"/>
  <c r="R14"/>
  <c r="R13"/>
  <c r="S15"/>
  <c r="Q10" l="1"/>
  <c r="Q13"/>
  <c r="Q14"/>
  <c r="O6"/>
  <c r="P9"/>
  <c r="R15"/>
  <c r="Q15" l="1"/>
  <c r="N6"/>
  <c r="O9"/>
  <c r="P10"/>
  <c r="P14"/>
  <c r="P13"/>
  <c r="E3" i="13"/>
  <c r="B3"/>
  <c r="H1"/>
  <c r="AO49" i="12"/>
  <c r="AN49" s="1"/>
  <c r="AM49" s="1"/>
  <c r="AL49" s="1"/>
  <c r="AK49" s="1"/>
  <c r="AJ49" s="1"/>
  <c r="AO47" s="1"/>
  <c r="AN47" s="1"/>
  <c r="AM47" s="1"/>
  <c r="AL47" s="1"/>
  <c r="AK47" s="1"/>
  <c r="AJ47" s="1"/>
  <c r="AQ45"/>
  <c r="AO45" s="1"/>
  <c r="AN45" s="1"/>
  <c r="AM45" s="1"/>
  <c r="AL45" s="1"/>
  <c r="AK45" s="1"/>
  <c r="AJ45" s="1"/>
  <c r="AO43" s="1"/>
  <c r="AN43" s="1"/>
  <c r="AM43" s="1"/>
  <c r="AL43" s="1"/>
  <c r="AK43" s="1"/>
  <c r="AJ43" s="1"/>
  <c r="AO41" s="1"/>
  <c r="AN41" s="1"/>
  <c r="AM41" s="1"/>
  <c r="AL41" s="1"/>
  <c r="AK41" s="1"/>
  <c r="AJ41" s="1"/>
  <c r="AO36"/>
  <c r="AN36"/>
  <c r="AM36"/>
  <c r="AL36"/>
  <c r="AK36"/>
  <c r="AJ36"/>
  <c r="AO35"/>
  <c r="AN35"/>
  <c r="AM35"/>
  <c r="AL35"/>
  <c r="AK35"/>
  <c r="AJ35"/>
  <c r="AO34"/>
  <c r="AN34"/>
  <c r="AM34"/>
  <c r="AL34"/>
  <c r="AK34"/>
  <c r="AJ34"/>
  <c r="AO33"/>
  <c r="AN33"/>
  <c r="AM33"/>
  <c r="AL33"/>
  <c r="AK33"/>
  <c r="AJ33"/>
  <c r="AO32"/>
  <c r="AN32"/>
  <c r="AM32"/>
  <c r="AL32"/>
  <c r="AK32"/>
  <c r="AJ32"/>
  <c r="AO31"/>
  <c r="AN31"/>
  <c r="AM31"/>
  <c r="AL31"/>
  <c r="AK31"/>
  <c r="AJ31"/>
  <c r="AO30"/>
  <c r="AN30"/>
  <c r="AM30"/>
  <c r="AL30"/>
  <c r="AK30"/>
  <c r="AJ30"/>
  <c r="AO29"/>
  <c r="AN29"/>
  <c r="AM29"/>
  <c r="AL29"/>
  <c r="AK29"/>
  <c r="AJ29"/>
  <c r="AO28"/>
  <c r="AN28"/>
  <c r="AM28"/>
  <c r="AL28"/>
  <c r="AK28"/>
  <c r="AJ28"/>
  <c r="O10" i="15" l="1"/>
  <c r="O14"/>
  <c r="O13"/>
  <c r="M6"/>
  <c r="N9"/>
  <c r="E8" i="13"/>
  <c r="E7"/>
  <c r="E5"/>
  <c r="E6" s="1"/>
  <c r="E4"/>
  <c r="F3"/>
  <c r="P15" i="15"/>
  <c r="B14" i="13"/>
  <c r="B15"/>
  <c r="O15" i="15" l="1"/>
  <c r="F8" i="13"/>
  <c r="F5"/>
  <c r="F4"/>
  <c r="G3"/>
  <c r="G11" s="1"/>
  <c r="F11" s="1"/>
  <c r="L6" i="15"/>
  <c r="M9"/>
  <c r="N10"/>
  <c r="N14"/>
  <c r="N13"/>
  <c r="G17" i="13"/>
  <c r="E11"/>
  <c r="B11" s="1"/>
  <c r="E12"/>
  <c r="F12"/>
  <c r="G12" l="1"/>
  <c r="N15" i="15"/>
  <c r="M10"/>
  <c r="M14"/>
  <c r="M13"/>
  <c r="B13" i="13"/>
  <c r="E9" s="1"/>
  <c r="E10" s="1"/>
  <c r="G8"/>
  <c r="G7"/>
  <c r="F7" s="1"/>
  <c r="G5"/>
  <c r="G4"/>
  <c r="E17"/>
  <c r="K6" i="15"/>
  <c r="L9"/>
  <c r="E14" i="13" l="1"/>
  <c r="J6" i="15"/>
  <c r="K9"/>
  <c r="L10"/>
  <c r="L13"/>
  <c r="L14"/>
  <c r="M15"/>
  <c r="E13" i="13"/>
  <c r="E16" l="1"/>
  <c r="E15"/>
  <c r="L15" i="15"/>
  <c r="I6"/>
  <c r="J9"/>
  <c r="K10"/>
  <c r="K14"/>
  <c r="K13"/>
  <c r="H6" l="1"/>
  <c r="I9"/>
  <c r="K15"/>
  <c r="J10"/>
  <c r="J13"/>
  <c r="J14"/>
  <c r="B10" i="12"/>
  <c r="J15" i="15" l="1"/>
  <c r="I10"/>
  <c r="I13"/>
  <c r="I14"/>
  <c r="G6"/>
  <c r="G9" s="1"/>
  <c r="H9"/>
  <c r="B9" i="12"/>
  <c r="I15" i="15" l="1"/>
  <c r="G14"/>
  <c r="G10"/>
  <c r="G13"/>
  <c r="H10"/>
  <c r="H14"/>
  <c r="H13"/>
  <c r="B12" i="12"/>
  <c r="B8"/>
  <c r="H15" i="15" l="1"/>
  <c r="G15"/>
  <c r="E3" i="12" l="1"/>
  <c r="E5" s="1"/>
  <c r="B3"/>
  <c r="H1"/>
  <c r="AK77" i="11"/>
  <c r="AJ77" s="1"/>
  <c r="AI77"/>
  <c r="AH77" s="1"/>
  <c r="AG77"/>
  <c r="AF77"/>
  <c r="AK76"/>
  <c r="AJ76"/>
  <c r="AI76" s="1"/>
  <c r="AH76"/>
  <c r="AG76"/>
  <c r="AF76"/>
  <c r="AK75"/>
  <c r="AJ75" s="1"/>
  <c r="AI75"/>
  <c r="AH75" s="1"/>
  <c r="AG75" s="1"/>
  <c r="AF75" s="1"/>
  <c r="AK74" s="1"/>
  <c r="AJ74"/>
  <c r="AI74"/>
  <c r="AH74" s="1"/>
  <c r="AG74" s="1"/>
  <c r="AF74"/>
  <c r="AK73"/>
  <c r="AJ73"/>
  <c r="AI73" s="1"/>
  <c r="AH73" s="1"/>
  <c r="AG73"/>
  <c r="AF73"/>
  <c r="AK72"/>
  <c r="AJ72" s="1"/>
  <c r="AI72" s="1"/>
  <c r="AH72"/>
  <c r="AG72"/>
  <c r="AF72"/>
  <c r="AK71"/>
  <c r="AJ71" s="1"/>
  <c r="AI71"/>
  <c r="AH71"/>
  <c r="AG71"/>
  <c r="AF71" s="1"/>
  <c r="AK70" s="1"/>
  <c r="AJ70"/>
  <c r="AI70"/>
  <c r="AH70" s="1"/>
  <c r="AG70" s="1"/>
  <c r="AF70"/>
  <c r="AK69"/>
  <c r="AJ69"/>
  <c r="AI69"/>
  <c r="AH69" s="1"/>
  <c r="AG69"/>
  <c r="AF69"/>
  <c r="AK68" s="1"/>
  <c r="AJ68"/>
  <c r="AI68" s="1"/>
  <c r="AH68" s="1"/>
  <c r="AG68"/>
  <c r="AF68" s="1"/>
  <c r="AK64"/>
  <c r="AJ64"/>
  <c r="AI64"/>
  <c r="AH64"/>
  <c r="AG64"/>
  <c r="AF64"/>
  <c r="AK63"/>
  <c r="AJ63"/>
  <c r="AI63"/>
  <c r="AH63"/>
  <c r="AG63"/>
  <c r="AF63"/>
  <c r="AK62"/>
  <c r="AJ62"/>
  <c r="AI62"/>
  <c r="AH62"/>
  <c r="AG62"/>
  <c r="AF62"/>
  <c r="AK61"/>
  <c r="AJ61"/>
  <c r="AI61"/>
  <c r="AH61"/>
  <c r="AG61"/>
  <c r="AF61"/>
  <c r="AK60"/>
  <c r="AJ60"/>
  <c r="AI60"/>
  <c r="AH60"/>
  <c r="AG60"/>
  <c r="AF60"/>
  <c r="AK59"/>
  <c r="AJ59"/>
  <c r="AI59"/>
  <c r="AH59"/>
  <c r="AG59"/>
  <c r="AF59"/>
  <c r="AK58"/>
  <c r="AJ58"/>
  <c r="AI58"/>
  <c r="AH58"/>
  <c r="AG58"/>
  <c r="AF58"/>
  <c r="AK57"/>
  <c r="AJ57"/>
  <c r="AI57"/>
  <c r="AH57"/>
  <c r="AG57"/>
  <c r="AF57"/>
  <c r="AK56"/>
  <c r="AJ56"/>
  <c r="AI56"/>
  <c r="AH56"/>
  <c r="AG56"/>
  <c r="AF56"/>
  <c r="AK55"/>
  <c r="AJ55"/>
  <c r="AI55"/>
  <c r="AH55"/>
  <c r="AG55"/>
  <c r="AF55"/>
  <c r="B13"/>
  <c r="B12"/>
  <c r="AC3"/>
  <c r="AC5" s="1"/>
  <c r="AC1"/>
  <c r="AB41" i="3"/>
  <c r="AB28"/>
  <c r="E6" i="12" l="1"/>
  <c r="AC7" i="11"/>
  <c r="AC9" s="1"/>
  <c r="AC8"/>
  <c r="B14" i="12"/>
  <c r="B15"/>
  <c r="E4"/>
  <c r="E8"/>
  <c r="E7"/>
  <c r="F3"/>
  <c r="AB15" i="3"/>
  <c r="F12" i="12" l="1"/>
  <c r="E11"/>
  <c r="B11" s="1"/>
  <c r="E12"/>
  <c r="F11"/>
  <c r="AC11" i="11"/>
  <c r="AC13" s="1"/>
  <c r="AC12"/>
  <c r="F7" i="12"/>
  <c r="G3"/>
  <c r="G12" s="1"/>
  <c r="F5"/>
  <c r="F4"/>
  <c r="B12" i="3"/>
  <c r="F12" s="1"/>
  <c r="M9"/>
  <c r="B5" s="1"/>
  <c r="F9" s="1"/>
  <c r="J9"/>
  <c r="J19" s="1"/>
  <c r="F4"/>
  <c r="F3"/>
  <c r="D17" i="1"/>
  <c r="C17"/>
  <c r="G8" i="12" l="1"/>
  <c r="F8" s="1"/>
  <c r="G7"/>
  <c r="G4"/>
  <c r="H3"/>
  <c r="G5"/>
  <c r="G6" s="1"/>
  <c r="AC16" i="11"/>
  <c r="AC15"/>
  <c r="AC17" s="1"/>
  <c r="M19" i="3"/>
  <c r="F6"/>
  <c r="E17" i="12"/>
  <c r="P19" i="3"/>
  <c r="J18"/>
  <c r="B13" i="12"/>
  <c r="E17" i="1"/>
  <c r="F13" i="3"/>
  <c r="G11" i="12"/>
  <c r="F6" l="1"/>
  <c r="F9" s="1"/>
  <c r="G9"/>
  <c r="G14" s="1"/>
  <c r="F17" i="1"/>
  <c r="H8" i="12"/>
  <c r="H7"/>
  <c r="I3"/>
  <c r="H4"/>
  <c r="H5"/>
  <c r="H6" s="1"/>
  <c r="H11"/>
  <c r="H12"/>
  <c r="S19" i="3"/>
  <c r="AC19" i="11"/>
  <c r="AC21" s="1"/>
  <c r="AC20"/>
  <c r="H9" i="12" l="1"/>
  <c r="H14" s="1"/>
  <c r="G13"/>
  <c r="G15" s="1"/>
  <c r="E9"/>
  <c r="E13" s="1"/>
  <c r="F13"/>
  <c r="F15" s="1"/>
  <c r="F10"/>
  <c r="F14"/>
  <c r="I8"/>
  <c r="I7"/>
  <c r="I4"/>
  <c r="J3"/>
  <c r="I5"/>
  <c r="I12"/>
  <c r="I11"/>
  <c r="G17" i="1"/>
  <c r="AC23" i="11"/>
  <c r="AC25" s="1"/>
  <c r="AC24"/>
  <c r="H13" i="12" l="1"/>
  <c r="H15" s="1"/>
  <c r="E10"/>
  <c r="E14"/>
  <c r="E16" s="1"/>
  <c r="AC28" i="11"/>
  <c r="AC27"/>
  <c r="AC29" s="1"/>
  <c r="J8" i="12"/>
  <c r="J7"/>
  <c r="J4"/>
  <c r="J5"/>
  <c r="J6" s="1"/>
  <c r="K3"/>
  <c r="J12"/>
  <c r="J11"/>
  <c r="H17" i="1"/>
  <c r="E15" i="12" l="1"/>
  <c r="I6"/>
  <c r="I9" s="1"/>
  <c r="J9"/>
  <c r="J14" s="1"/>
  <c r="K8"/>
  <c r="K7"/>
  <c r="K5"/>
  <c r="K6" s="1"/>
  <c r="K4"/>
  <c r="L3"/>
  <c r="K12"/>
  <c r="K11"/>
  <c r="AC31" i="11"/>
  <c r="AC33" s="1"/>
  <c r="AC32"/>
  <c r="I17" i="1"/>
  <c r="I10" i="12" l="1"/>
  <c r="H10" s="1"/>
  <c r="G10" s="1"/>
  <c r="I13"/>
  <c r="I14"/>
  <c r="L8"/>
  <c r="L7"/>
  <c r="L5"/>
  <c r="L6" s="1"/>
  <c r="L4"/>
  <c r="M3"/>
  <c r="L11"/>
  <c r="L12"/>
  <c r="J13"/>
  <c r="J15" s="1"/>
  <c r="K9"/>
  <c r="AC35" i="11"/>
  <c r="AC37" s="1"/>
  <c r="AC36"/>
  <c r="J17" i="1"/>
  <c r="M8" i="12" l="1"/>
  <c r="M7"/>
  <c r="N3"/>
  <c r="M5"/>
  <c r="M6" s="1"/>
  <c r="M4"/>
  <c r="M11"/>
  <c r="M12"/>
  <c r="K17" i="1"/>
  <c r="K10" i="12"/>
  <c r="J10" s="1"/>
  <c r="K14"/>
  <c r="K13"/>
  <c r="AC40" i="11"/>
  <c r="AC39"/>
  <c r="AC41" s="1"/>
  <c r="I15" i="12"/>
  <c r="L9"/>
  <c r="AC43" i="11" l="1"/>
  <c r="AC44"/>
  <c r="P9" s="1"/>
  <c r="B4" s="1"/>
  <c r="N8" i="12"/>
  <c r="N7"/>
  <c r="O3"/>
  <c r="N5"/>
  <c r="N4"/>
  <c r="N12"/>
  <c r="N11"/>
  <c r="L10"/>
  <c r="L14"/>
  <c r="L13"/>
  <c r="M9"/>
  <c r="L17" i="1"/>
  <c r="K15" i="12"/>
  <c r="F5" i="11" l="1"/>
  <c r="F3"/>
  <c r="AC45"/>
  <c r="J9" s="1"/>
  <c r="M9"/>
  <c r="M17" i="1"/>
  <c r="O8" i="12"/>
  <c r="O7"/>
  <c r="O4"/>
  <c r="P3"/>
  <c r="O5"/>
  <c r="O11"/>
  <c r="O12"/>
  <c r="M13"/>
  <c r="M14"/>
  <c r="M15" l="1"/>
  <c r="L15" s="1"/>
  <c r="J18" i="11"/>
  <c r="F1"/>
  <c r="G2" s="1"/>
  <c r="B5"/>
  <c r="S9"/>
  <c r="P8" i="12"/>
  <c r="P7"/>
  <c r="P4"/>
  <c r="Q3"/>
  <c r="P5"/>
  <c r="P6" s="1"/>
  <c r="P12"/>
  <c r="P11"/>
  <c r="N17" i="1"/>
  <c r="H2" i="11" l="1"/>
  <c r="H4" s="1"/>
  <c r="G3"/>
  <c r="G5"/>
  <c r="G7" s="1"/>
  <c r="P18"/>
  <c r="B14" s="1"/>
  <c r="M18"/>
  <c r="Q8" i="12"/>
  <c r="Q7"/>
  <c r="Q4"/>
  <c r="R3"/>
  <c r="Q5"/>
  <c r="Q11"/>
  <c r="Q12"/>
  <c r="O6"/>
  <c r="P9"/>
  <c r="P14" s="1"/>
  <c r="AC4" i="11"/>
  <c r="G6"/>
  <c r="F4"/>
  <c r="G4"/>
  <c r="F6"/>
  <c r="O17" i="1"/>
  <c r="I2" i="11" l="1"/>
  <c r="H5"/>
  <c r="H3"/>
  <c r="R8" i="12"/>
  <c r="R7"/>
  <c r="R4"/>
  <c r="R5"/>
  <c r="R6" s="1"/>
  <c r="S3"/>
  <c r="R12"/>
  <c r="R11"/>
  <c r="P13"/>
  <c r="P15" s="1"/>
  <c r="F14" i="11"/>
  <c r="G14"/>
  <c r="H14"/>
  <c r="G12"/>
  <c r="F12"/>
  <c r="H12"/>
  <c r="H6"/>
  <c r="S18"/>
  <c r="B15"/>
  <c r="P17" i="1"/>
  <c r="F8" i="11"/>
  <c r="F7"/>
  <c r="N6" i="12"/>
  <c r="N9" s="1"/>
  <c r="O9"/>
  <c r="H7" i="11" l="1"/>
  <c r="J2"/>
  <c r="I3"/>
  <c r="I5"/>
  <c r="I6"/>
  <c r="I4"/>
  <c r="Q17" i="1"/>
  <c r="I12" i="11"/>
  <c r="O10" i="12"/>
  <c r="O14"/>
  <c r="O13"/>
  <c r="O15" s="1"/>
  <c r="Q6"/>
  <c r="Q9" s="1"/>
  <c r="R9"/>
  <c r="R14" s="1"/>
  <c r="H15" i="11"/>
  <c r="H16" s="1"/>
  <c r="I15"/>
  <c r="H13"/>
  <c r="G15"/>
  <c r="G16" s="1"/>
  <c r="F15"/>
  <c r="I13"/>
  <c r="F13"/>
  <c r="G13"/>
  <c r="S8" i="12"/>
  <c r="S7"/>
  <c r="T3"/>
  <c r="S4"/>
  <c r="S5"/>
  <c r="S6" s="1"/>
  <c r="S11"/>
  <c r="S12"/>
  <c r="I14" i="11"/>
  <c r="N10" i="12"/>
  <c r="M10" s="1"/>
  <c r="N14"/>
  <c r="N13"/>
  <c r="H8" i="11"/>
  <c r="F16"/>
  <c r="C10" i="1"/>
  <c r="S9" i="12" l="1"/>
  <c r="S10" s="1"/>
  <c r="F17" i="11"/>
  <c r="I7"/>
  <c r="I16"/>
  <c r="K2"/>
  <c r="J3"/>
  <c r="J5"/>
  <c r="J4"/>
  <c r="J6"/>
  <c r="J12"/>
  <c r="J14"/>
  <c r="R10" i="12"/>
  <c r="T8"/>
  <c r="T7"/>
  <c r="T5"/>
  <c r="T6" s="1"/>
  <c r="U3"/>
  <c r="T4"/>
  <c r="T11"/>
  <c r="T12"/>
  <c r="J13" i="11"/>
  <c r="R13" i="12"/>
  <c r="J15" i="11"/>
  <c r="R17" i="1"/>
  <c r="Q10" i="12"/>
  <c r="P10" s="1"/>
  <c r="Q14"/>
  <c r="Q13"/>
  <c r="N15"/>
  <c r="S14" l="1"/>
  <c r="J7" i="11"/>
  <c r="S13" i="12"/>
  <c r="L2" i="11"/>
  <c r="K3"/>
  <c r="K5"/>
  <c r="K7" s="1"/>
  <c r="K6"/>
  <c r="K4"/>
  <c r="K14"/>
  <c r="K12"/>
  <c r="K13"/>
  <c r="K15"/>
  <c r="S17" i="1"/>
  <c r="U8" i="12"/>
  <c r="U7"/>
  <c r="V3"/>
  <c r="U5"/>
  <c r="U6" s="1"/>
  <c r="U9" s="1"/>
  <c r="U4"/>
  <c r="U11"/>
  <c r="U12"/>
  <c r="T9"/>
  <c r="J16" i="11"/>
  <c r="D8" i="1"/>
  <c r="E8" s="1"/>
  <c r="F8" s="1"/>
  <c r="M6"/>
  <c r="I4"/>
  <c r="I3" s="1"/>
  <c r="M3"/>
  <c r="M2"/>
  <c r="M1"/>
  <c r="R21" l="1"/>
  <c r="J21"/>
  <c r="C20"/>
  <c r="P21"/>
  <c r="S21"/>
  <c r="K21"/>
  <c r="C21"/>
  <c r="L21"/>
  <c r="D21"/>
  <c r="M21"/>
  <c r="E21"/>
  <c r="Q21"/>
  <c r="N21"/>
  <c r="F21"/>
  <c r="H21"/>
  <c r="O21"/>
  <c r="G21"/>
  <c r="I21"/>
  <c r="D20"/>
  <c r="E20"/>
  <c r="Q12"/>
  <c r="I12"/>
  <c r="J12"/>
  <c r="K12"/>
  <c r="O12"/>
  <c r="R12"/>
  <c r="S12"/>
  <c r="C12"/>
  <c r="D12"/>
  <c r="F12"/>
  <c r="H12"/>
  <c r="G12"/>
  <c r="P12"/>
  <c r="L12"/>
  <c r="M12"/>
  <c r="E12"/>
  <c r="N12"/>
  <c r="F20"/>
  <c r="G20"/>
  <c r="H20"/>
  <c r="C11"/>
  <c r="C13" s="1"/>
  <c r="I20"/>
  <c r="J20"/>
  <c r="K20"/>
  <c r="L20"/>
  <c r="M20"/>
  <c r="N20"/>
  <c r="O20"/>
  <c r="P20"/>
  <c r="C9"/>
  <c r="Q20"/>
  <c r="R20"/>
  <c r="V8" i="12"/>
  <c r="V7"/>
  <c r="W3"/>
  <c r="V5"/>
  <c r="V6" s="1"/>
  <c r="V4"/>
  <c r="V11"/>
  <c r="V12"/>
  <c r="S20" i="1"/>
  <c r="L19"/>
  <c r="C19"/>
  <c r="J19"/>
  <c r="M19"/>
  <c r="E19"/>
  <c r="D19" s="1"/>
  <c r="K19"/>
  <c r="N19"/>
  <c r="F19"/>
  <c r="S19"/>
  <c r="O19"/>
  <c r="G19"/>
  <c r="R19"/>
  <c r="P19"/>
  <c r="H19"/>
  <c r="Q19"/>
  <c r="I19"/>
  <c r="E11"/>
  <c r="D11" s="1"/>
  <c r="K16" i="11"/>
  <c r="T10" i="12"/>
  <c r="T13"/>
  <c r="T14"/>
  <c r="U14"/>
  <c r="M2" i="11"/>
  <c r="L3"/>
  <c r="L5"/>
  <c r="L6"/>
  <c r="L4"/>
  <c r="L14"/>
  <c r="L12"/>
  <c r="L15"/>
  <c r="L13"/>
  <c r="F11" i="1"/>
  <c r="F9"/>
  <c r="E9" s="1"/>
  <c r="D9" s="1"/>
  <c r="F10"/>
  <c r="E10" s="1"/>
  <c r="D10" s="1"/>
  <c r="U13" i="12"/>
  <c r="C15" i="1" l="1"/>
  <c r="T15" i="12"/>
  <c r="S15" s="1"/>
  <c r="R15" s="1"/>
  <c r="Q15" s="1"/>
  <c r="V9"/>
  <c r="V10" s="1"/>
  <c r="U10" s="1"/>
  <c r="W8"/>
  <c r="W7"/>
  <c r="X3"/>
  <c r="W4"/>
  <c r="W5"/>
  <c r="W12"/>
  <c r="W11"/>
  <c r="L16" i="11"/>
  <c r="C14" i="1"/>
  <c r="N2" i="11"/>
  <c r="M5"/>
  <c r="M3"/>
  <c r="M6"/>
  <c r="M4"/>
  <c r="M14"/>
  <c r="M12"/>
  <c r="M13"/>
  <c r="M15"/>
  <c r="L7"/>
  <c r="V14" i="12" l="1"/>
  <c r="V13"/>
  <c r="M7" i="11"/>
  <c r="O2"/>
  <c r="N5"/>
  <c r="N3"/>
  <c r="N6"/>
  <c r="N4"/>
  <c r="N14"/>
  <c r="N12"/>
  <c r="N13"/>
  <c r="N15"/>
  <c r="X8" i="12"/>
  <c r="X7"/>
  <c r="Y3"/>
  <c r="X5"/>
  <c r="X6" s="1"/>
  <c r="X4"/>
  <c r="X12"/>
  <c r="X11"/>
  <c r="M16" i="11"/>
  <c r="V15" i="12" l="1"/>
  <c r="U15" s="1"/>
  <c r="N7" i="11"/>
  <c r="P2"/>
  <c r="O5"/>
  <c r="O7" s="1"/>
  <c r="O3"/>
  <c r="O4"/>
  <c r="O6"/>
  <c r="O12"/>
  <c r="O14"/>
  <c r="O13"/>
  <c r="O15"/>
  <c r="N16"/>
  <c r="Y8" i="12"/>
  <c r="Y7"/>
  <c r="Y4"/>
  <c r="Y5"/>
  <c r="Y6" s="1"/>
  <c r="Y12"/>
  <c r="Y11"/>
  <c r="W6"/>
  <c r="W9" s="1"/>
  <c r="X9"/>
  <c r="Q2" i="11" l="1"/>
  <c r="P3"/>
  <c r="P5"/>
  <c r="P4"/>
  <c r="P6"/>
  <c r="P14"/>
  <c r="P12"/>
  <c r="P15"/>
  <c r="P13"/>
  <c r="Z11" i="12"/>
  <c r="W10"/>
  <c r="W13"/>
  <c r="W14"/>
  <c r="X14"/>
  <c r="X13"/>
  <c r="O16" i="11"/>
  <c r="Y9" i="12"/>
  <c r="P16" i="11" l="1"/>
  <c r="P7"/>
  <c r="X15" i="12"/>
  <c r="W15" s="1"/>
  <c r="Y10"/>
  <c r="X10" s="1"/>
  <c r="Y13"/>
  <c r="Y15" s="1"/>
  <c r="Y14"/>
  <c r="R2" i="11"/>
  <c r="Q5"/>
  <c r="Q3"/>
  <c r="Q4"/>
  <c r="Q6"/>
  <c r="Q12"/>
  <c r="Q14"/>
  <c r="Q15"/>
  <c r="Q13"/>
  <c r="Q16" l="1"/>
  <c r="Q7"/>
  <c r="S2"/>
  <c r="R5"/>
  <c r="R3"/>
  <c r="R6"/>
  <c r="R4"/>
  <c r="R12"/>
  <c r="R14"/>
  <c r="R13"/>
  <c r="R15"/>
  <c r="R7" l="1"/>
  <c r="T2"/>
  <c r="S3"/>
  <c r="S5"/>
  <c r="S6"/>
  <c r="S4"/>
  <c r="S14"/>
  <c r="S12"/>
  <c r="S13"/>
  <c r="S15"/>
  <c r="R16"/>
  <c r="U2" l="1"/>
  <c r="T3"/>
  <c r="T5"/>
  <c r="T6"/>
  <c r="T4"/>
  <c r="T14"/>
  <c r="T16" s="1"/>
  <c r="T12"/>
  <c r="T15"/>
  <c r="T13"/>
  <c r="S7"/>
  <c r="S16"/>
  <c r="V2" l="1"/>
  <c r="U5"/>
  <c r="U7" s="1"/>
  <c r="U3"/>
  <c r="U4"/>
  <c r="U6"/>
  <c r="U14"/>
  <c r="U12"/>
  <c r="U13"/>
  <c r="U15"/>
  <c r="T7"/>
  <c r="W2" l="1"/>
  <c r="V5"/>
  <c r="V3"/>
  <c r="V6"/>
  <c r="V4"/>
  <c r="V12"/>
  <c r="V14"/>
  <c r="V16" s="1"/>
  <c r="V15"/>
  <c r="V13"/>
  <c r="U16"/>
  <c r="V7" l="1"/>
  <c r="X2"/>
  <c r="W3"/>
  <c r="W5"/>
  <c r="W6"/>
  <c r="W4"/>
  <c r="W12"/>
  <c r="W14"/>
  <c r="W13"/>
  <c r="W15"/>
  <c r="Y2" l="1"/>
  <c r="X5"/>
  <c r="X3"/>
  <c r="X4"/>
  <c r="X6"/>
  <c r="X12"/>
  <c r="X14"/>
  <c r="X13"/>
  <c r="X15"/>
  <c r="W16"/>
  <c r="W7"/>
  <c r="X7" l="1"/>
  <c r="Z2"/>
  <c r="Y5"/>
  <c r="Y3"/>
  <c r="Y4"/>
  <c r="Y6"/>
  <c r="Y12"/>
  <c r="Y14"/>
  <c r="Y15"/>
  <c r="Y13"/>
  <c r="X16"/>
  <c r="Y16" l="1"/>
  <c r="Z5"/>
  <c r="Z3"/>
  <c r="Z4"/>
  <c r="Z6"/>
  <c r="Z14"/>
  <c r="Z12"/>
  <c r="Z15"/>
  <c r="Z13"/>
  <c r="Y7"/>
  <c r="G8" i="1"/>
  <c r="H8" s="1"/>
  <c r="M4"/>
  <c r="O22" s="1"/>
  <c r="O23" s="1"/>
  <c r="D13"/>
  <c r="D14" s="1"/>
  <c r="F13"/>
  <c r="F14" s="1"/>
  <c r="E13"/>
  <c r="E14" s="1"/>
  <c r="I5"/>
  <c r="P9" i="3"/>
  <c r="S9" s="1"/>
  <c r="P18"/>
  <c r="B14" s="1"/>
  <c r="M18"/>
  <c r="H3" i="13"/>
  <c r="I3" s="1"/>
  <c r="F6"/>
  <c r="F9" s="1"/>
  <c r="G6"/>
  <c r="G9" s="1"/>
  <c r="G13" s="1"/>
  <c r="H11"/>
  <c r="H12"/>
  <c r="H7" l="1"/>
  <c r="H8"/>
  <c r="Z16" i="11"/>
  <c r="R18" i="1"/>
  <c r="Z7" i="11"/>
  <c r="N18" i="1"/>
  <c r="H4" i="13"/>
  <c r="N22" i="1"/>
  <c r="N23" s="1"/>
  <c r="G9"/>
  <c r="G11"/>
  <c r="G13" s="1"/>
  <c r="G14" s="1"/>
  <c r="H5" i="13"/>
  <c r="H6" s="1"/>
  <c r="H9" s="1"/>
  <c r="H10" s="1"/>
  <c r="G10" i="1"/>
  <c r="S18" i="3"/>
  <c r="B15"/>
  <c r="F15" s="1"/>
  <c r="F18"/>
  <c r="F1" s="1"/>
  <c r="G2" s="1"/>
  <c r="G14" s="1"/>
  <c r="F14"/>
  <c r="H11" i="1"/>
  <c r="H13" s="1"/>
  <c r="H14" s="1"/>
  <c r="I8"/>
  <c r="H10"/>
  <c r="H9"/>
  <c r="I5" i="13"/>
  <c r="I6" s="1"/>
  <c r="J3"/>
  <c r="I4"/>
  <c r="I12"/>
  <c r="I11"/>
  <c r="I8"/>
  <c r="I7"/>
  <c r="H13"/>
  <c r="F14"/>
  <c r="F13"/>
  <c r="F15" s="1"/>
  <c r="F10"/>
  <c r="K18" i="1"/>
  <c r="K22"/>
  <c r="K23" s="1"/>
  <c r="G18"/>
  <c r="L18"/>
  <c r="M22"/>
  <c r="M23" s="1"/>
  <c r="D22"/>
  <c r="D23" s="1"/>
  <c r="Q22"/>
  <c r="Q23" s="1"/>
  <c r="G10" i="13"/>
  <c r="G14"/>
  <c r="G15" s="1"/>
  <c r="I18" i="1"/>
  <c r="D18"/>
  <c r="J22"/>
  <c r="J23" s="1"/>
  <c r="S22"/>
  <c r="S23" s="1"/>
  <c r="L22"/>
  <c r="L23" s="1"/>
  <c r="B4" i="3"/>
  <c r="P18" i="1"/>
  <c r="M18"/>
  <c r="F22"/>
  <c r="F23" s="1"/>
  <c r="P22"/>
  <c r="P23" s="1"/>
  <c r="O18"/>
  <c r="H18"/>
  <c r="E18"/>
  <c r="C22"/>
  <c r="R22"/>
  <c r="R23" s="1"/>
  <c r="S18"/>
  <c r="F18"/>
  <c r="J18"/>
  <c r="G22"/>
  <c r="G23" s="1"/>
  <c r="E22"/>
  <c r="E23" s="1"/>
  <c r="H22"/>
  <c r="H23" s="1"/>
  <c r="M5"/>
  <c r="Q18"/>
  <c r="C18"/>
  <c r="I22"/>
  <c r="I23" s="1"/>
  <c r="H14" i="13" l="1"/>
  <c r="H15" s="1"/>
  <c r="I9"/>
  <c r="I10" s="1"/>
  <c r="G12" i="3"/>
  <c r="F16"/>
  <c r="J8" i="13"/>
  <c r="K3"/>
  <c r="J7"/>
  <c r="J11"/>
  <c r="J5"/>
  <c r="J6" s="1"/>
  <c r="J4"/>
  <c r="J12"/>
  <c r="I11" i="1"/>
  <c r="I13" s="1"/>
  <c r="I14" s="1"/>
  <c r="J8"/>
  <c r="I10"/>
  <c r="I9"/>
  <c r="G13" i="3"/>
  <c r="G15"/>
  <c r="G16" s="1"/>
  <c r="G4"/>
  <c r="H2"/>
  <c r="G6"/>
  <c r="C24" i="1"/>
  <c r="C23"/>
  <c r="F5" i="3"/>
  <c r="G3"/>
  <c r="G5"/>
  <c r="F17"/>
  <c r="I13" i="13" l="1"/>
  <c r="I15" s="1"/>
  <c r="I14"/>
  <c r="H4" i="3"/>
  <c r="H15"/>
  <c r="I2"/>
  <c r="H13"/>
  <c r="H6"/>
  <c r="H12"/>
  <c r="H14"/>
  <c r="L3" i="13"/>
  <c r="K5"/>
  <c r="K6" s="1"/>
  <c r="K7"/>
  <c r="K12"/>
  <c r="K8"/>
  <c r="K4"/>
  <c r="K11"/>
  <c r="J9" i="1"/>
  <c r="K8"/>
  <c r="J10"/>
  <c r="J11"/>
  <c r="J13" s="1"/>
  <c r="J14" s="1"/>
  <c r="F7" i="3"/>
  <c r="F8"/>
  <c r="H5"/>
  <c r="J9" i="13"/>
  <c r="J10" s="1"/>
  <c r="G7" i="3"/>
  <c r="H3"/>
  <c r="K9" i="13" l="1"/>
  <c r="K10" s="1"/>
  <c r="H7" i="3"/>
  <c r="L8" i="1"/>
  <c r="K10"/>
  <c r="K9"/>
  <c r="K11"/>
  <c r="K13" s="1"/>
  <c r="K14" s="1"/>
  <c r="J2" i="3"/>
  <c r="I15"/>
  <c r="I4"/>
  <c r="I13"/>
  <c r="I6"/>
  <c r="I12"/>
  <c r="I14"/>
  <c r="I5"/>
  <c r="I3"/>
  <c r="J14" i="13"/>
  <c r="K14"/>
  <c r="H8" i="3"/>
  <c r="K13" i="13"/>
  <c r="J13"/>
  <c r="H16" i="3"/>
  <c r="L7" i="13"/>
  <c r="L12"/>
  <c r="L4"/>
  <c r="L11"/>
  <c r="L5"/>
  <c r="L6" s="1"/>
  <c r="M3"/>
  <c r="L8"/>
  <c r="J15" l="1"/>
  <c r="K15"/>
  <c r="I16" i="3"/>
  <c r="I7"/>
  <c r="M4" i="13"/>
  <c r="M8"/>
  <c r="M11"/>
  <c r="M7"/>
  <c r="M12"/>
  <c r="N3"/>
  <c r="M5"/>
  <c r="M6" s="1"/>
  <c r="L11" i="1"/>
  <c r="L13" s="1"/>
  <c r="L14" s="1"/>
  <c r="L10"/>
  <c r="M8"/>
  <c r="L9"/>
  <c r="J4" i="3"/>
  <c r="K2"/>
  <c r="J13"/>
  <c r="J6"/>
  <c r="J15"/>
  <c r="J12"/>
  <c r="J14"/>
  <c r="J3"/>
  <c r="J5"/>
  <c r="L9" i="13"/>
  <c r="M9" l="1"/>
  <c r="N8" i="1"/>
  <c r="M9"/>
  <c r="M11"/>
  <c r="M13" s="1"/>
  <c r="M14" s="1"/>
  <c r="M10"/>
  <c r="J16" i="3"/>
  <c r="L10" i="13"/>
  <c r="L13"/>
  <c r="L14"/>
  <c r="L2" i="3"/>
  <c r="K6"/>
  <c r="K15"/>
  <c r="K13"/>
  <c r="K4"/>
  <c r="K14"/>
  <c r="K12"/>
  <c r="K5"/>
  <c r="K7" s="1"/>
  <c r="K3"/>
  <c r="N7" i="13"/>
  <c r="N4"/>
  <c r="N11"/>
  <c r="N5"/>
  <c r="N6" s="1"/>
  <c r="N12"/>
  <c r="N8"/>
  <c r="O3"/>
  <c r="J7" i="3"/>
  <c r="M10" i="13" l="1"/>
  <c r="M13"/>
  <c r="M14"/>
  <c r="L15"/>
  <c r="K16" i="3"/>
  <c r="O12" i="13"/>
  <c r="O5"/>
  <c r="O6" s="1"/>
  <c r="O8"/>
  <c r="O7"/>
  <c r="O11"/>
  <c r="P3"/>
  <c r="O4"/>
  <c r="N11" i="1"/>
  <c r="N13" s="1"/>
  <c r="N14" s="1"/>
  <c r="N10"/>
  <c r="N9"/>
  <c r="O8"/>
  <c r="L15" i="3"/>
  <c r="M2"/>
  <c r="L6"/>
  <c r="L4"/>
  <c r="L13"/>
  <c r="L12"/>
  <c r="L14"/>
  <c r="L5"/>
  <c r="L3"/>
  <c r="N9" i="13"/>
  <c r="M15" l="1"/>
  <c r="O9"/>
  <c r="O10" s="1"/>
  <c r="L7" i="3"/>
  <c r="L16"/>
  <c r="P5" i="13"/>
  <c r="P6" s="1"/>
  <c r="P4"/>
  <c r="P11"/>
  <c r="P7"/>
  <c r="Q3"/>
  <c r="P12"/>
  <c r="P8"/>
  <c r="O9" i="1"/>
  <c r="O11"/>
  <c r="O13" s="1"/>
  <c r="O14" s="1"/>
  <c r="P8"/>
  <c r="O10"/>
  <c r="N10" i="13"/>
  <c r="N13"/>
  <c r="N14"/>
  <c r="M4" i="3"/>
  <c r="M15"/>
  <c r="M6"/>
  <c r="N2"/>
  <c r="M13"/>
  <c r="M12"/>
  <c r="M14"/>
  <c r="M3"/>
  <c r="M5"/>
  <c r="M7" s="1"/>
  <c r="O13" i="13" l="1"/>
  <c r="O14"/>
  <c r="N15"/>
  <c r="P9"/>
  <c r="M16" i="3"/>
  <c r="N6"/>
  <c r="N4"/>
  <c r="N13"/>
  <c r="O2"/>
  <c r="N15"/>
  <c r="N14"/>
  <c r="N12"/>
  <c r="N5"/>
  <c r="N3"/>
  <c r="P11" i="1"/>
  <c r="P13" s="1"/>
  <c r="P14" s="1"/>
  <c r="Q8"/>
  <c r="P10"/>
  <c r="P9"/>
  <c r="P13" i="13"/>
  <c r="Q12"/>
  <c r="Q5"/>
  <c r="Q6" s="1"/>
  <c r="Q11"/>
  <c r="R3"/>
  <c r="Q8"/>
  <c r="Q4"/>
  <c r="Q7"/>
  <c r="O15" l="1"/>
  <c r="Q9"/>
  <c r="Q10" s="1"/>
  <c r="P10"/>
  <c r="P14"/>
  <c r="P15" s="1"/>
  <c r="N16" i="3"/>
  <c r="R12" i="13"/>
  <c r="S3"/>
  <c r="R8"/>
  <c r="R7"/>
  <c r="R4"/>
  <c r="R11"/>
  <c r="R5"/>
  <c r="R6" s="1"/>
  <c r="Q11" i="1"/>
  <c r="Q13" s="1"/>
  <c r="Q14" s="1"/>
  <c r="Q10"/>
  <c r="R8"/>
  <c r="Q9"/>
  <c r="O15" i="3"/>
  <c r="O4"/>
  <c r="O6"/>
  <c r="P2"/>
  <c r="O13"/>
  <c r="O14"/>
  <c r="O12"/>
  <c r="O3"/>
  <c r="O5"/>
  <c r="Q13" i="13"/>
  <c r="Q14"/>
  <c r="N7" i="3"/>
  <c r="Q15" i="13" l="1"/>
  <c r="O7" i="3"/>
  <c r="O16"/>
  <c r="T3" i="13"/>
  <c r="S5"/>
  <c r="S6" s="1"/>
  <c r="S8"/>
  <c r="S4"/>
  <c r="S7"/>
  <c r="S11"/>
  <c r="S12"/>
  <c r="P15" i="3"/>
  <c r="P6"/>
  <c r="P13"/>
  <c r="Q2"/>
  <c r="P4"/>
  <c r="P12"/>
  <c r="P14"/>
  <c r="P5"/>
  <c r="P3"/>
  <c r="S8" i="1"/>
  <c r="R9"/>
  <c r="R11"/>
  <c r="R13" s="1"/>
  <c r="R14" s="1"/>
  <c r="R10"/>
  <c r="R9" i="13"/>
  <c r="S9" l="1"/>
  <c r="P7" i="3"/>
  <c r="S13" i="13"/>
  <c r="R2" i="3"/>
  <c r="Q6"/>
  <c r="Q15"/>
  <c r="Q4"/>
  <c r="Q13"/>
  <c r="Q14"/>
  <c r="Q12"/>
  <c r="Q3"/>
  <c r="Q5"/>
  <c r="S11" i="1"/>
  <c r="S13" s="1"/>
  <c r="S14" s="1"/>
  <c r="S9"/>
  <c r="S10"/>
  <c r="T4" i="13"/>
  <c r="T8"/>
  <c r="T12"/>
  <c r="T7"/>
  <c r="T5"/>
  <c r="T6" s="1"/>
  <c r="U3"/>
  <c r="T11"/>
  <c r="R10"/>
  <c r="R13"/>
  <c r="R14"/>
  <c r="P16" i="3"/>
  <c r="S10" i="13" l="1"/>
  <c r="S14"/>
  <c r="S15" s="1"/>
  <c r="Q7" i="3"/>
  <c r="R6"/>
  <c r="R13"/>
  <c r="R4"/>
  <c r="S2"/>
  <c r="R15"/>
  <c r="R14"/>
  <c r="R12"/>
  <c r="R5"/>
  <c r="R3"/>
  <c r="U5" i="13"/>
  <c r="U6" s="1"/>
  <c r="U4"/>
  <c r="U11"/>
  <c r="U12"/>
  <c r="U7"/>
  <c r="V3"/>
  <c r="U8"/>
  <c r="T9"/>
  <c r="Q16" i="3"/>
  <c r="R15" i="13"/>
  <c r="U9" l="1"/>
  <c r="U10" s="1"/>
  <c r="R16" i="3"/>
  <c r="T10" i="13"/>
  <c r="T13"/>
  <c r="T15" s="1"/>
  <c r="T14"/>
  <c r="T2" i="3"/>
  <c r="S4"/>
  <c r="S15"/>
  <c r="S13"/>
  <c r="S6"/>
  <c r="S14"/>
  <c r="S12"/>
  <c r="S3"/>
  <c r="S5"/>
  <c r="V5" i="13"/>
  <c r="V6" s="1"/>
  <c r="V4"/>
  <c r="V11"/>
  <c r="V8"/>
  <c r="V12"/>
  <c r="V7"/>
  <c r="W3"/>
  <c r="R7" i="3"/>
  <c r="U14" i="13" l="1"/>
  <c r="U13"/>
  <c r="S16" i="3"/>
  <c r="S7"/>
  <c r="T4"/>
  <c r="T15"/>
  <c r="T13"/>
  <c r="U2"/>
  <c r="T6"/>
  <c r="T12"/>
  <c r="T14"/>
  <c r="T5"/>
  <c r="T3"/>
  <c r="W7" i="13"/>
  <c r="W8"/>
  <c r="W12"/>
  <c r="W5"/>
  <c r="W6" s="1"/>
  <c r="W4"/>
  <c r="W11"/>
  <c r="X3"/>
  <c r="V14"/>
  <c r="V13"/>
  <c r="V9"/>
  <c r="V10" s="1"/>
  <c r="U15" l="1"/>
  <c r="T7" i="3"/>
  <c r="V15" i="13"/>
  <c r="X5"/>
  <c r="X6" s="1"/>
  <c r="X12"/>
  <c r="X11"/>
  <c r="Y3"/>
  <c r="X8"/>
  <c r="X7"/>
  <c r="X4"/>
  <c r="U13" i="3"/>
  <c r="U6"/>
  <c r="U4"/>
  <c r="V2"/>
  <c r="U15"/>
  <c r="U12"/>
  <c r="U14"/>
  <c r="U3"/>
  <c r="U5"/>
  <c r="W9" i="13"/>
  <c r="T16" i="3"/>
  <c r="X9" i="13" l="1"/>
  <c r="U7" i="3"/>
  <c r="V6"/>
  <c r="V13"/>
  <c r="V4"/>
  <c r="W2"/>
  <c r="V14"/>
  <c r="V15"/>
  <c r="V12"/>
  <c r="V5"/>
  <c r="V3"/>
  <c r="Y7" i="13"/>
  <c r="Y4"/>
  <c r="Y11"/>
  <c r="Y8"/>
  <c r="Y5"/>
  <c r="Y6" s="1"/>
  <c r="Y12"/>
  <c r="W10"/>
  <c r="W13"/>
  <c r="W15" s="1"/>
  <c r="W14"/>
  <c r="U16" i="3"/>
  <c r="Z11" i="13" l="1"/>
  <c r="X10"/>
  <c r="X13"/>
  <c r="X15" s="1"/>
  <c r="X14"/>
  <c r="W13" i="3"/>
  <c r="W15"/>
  <c r="W4"/>
  <c r="X2"/>
  <c r="W6"/>
  <c r="W14"/>
  <c r="W12"/>
  <c r="W3"/>
  <c r="W5"/>
  <c r="V16"/>
  <c r="Y9" i="13"/>
  <c r="V7" i="3"/>
  <c r="W7" l="1"/>
  <c r="X15"/>
  <c r="X6"/>
  <c r="X13"/>
  <c r="Y2"/>
  <c r="X4"/>
  <c r="X14"/>
  <c r="X12"/>
  <c r="X5"/>
  <c r="X3"/>
  <c r="Y10" i="13"/>
  <c r="Y13"/>
  <c r="Y15" s="1"/>
  <c r="W16" i="3"/>
  <c r="Y14" i="13"/>
  <c r="Y15" i="3" l="1"/>
  <c r="Z2"/>
  <c r="Y6"/>
  <c r="Y4"/>
  <c r="Y13"/>
  <c r="Y14"/>
  <c r="Y12"/>
  <c r="Y5"/>
  <c r="Y3"/>
  <c r="X16"/>
  <c r="X7"/>
  <c r="Z6" l="1"/>
  <c r="Z13"/>
  <c r="Z4"/>
  <c r="Z15"/>
  <c r="Z12"/>
  <c r="Z14"/>
  <c r="Z3"/>
  <c r="Z5"/>
  <c r="Y16"/>
  <c r="Y7"/>
  <c r="Z7" l="1"/>
  <c r="Z16"/>
</calcChain>
</file>

<file path=xl/sharedStrings.xml><?xml version="1.0" encoding="utf-8"?>
<sst xmlns="http://schemas.openxmlformats.org/spreadsheetml/2006/main" count="980" uniqueCount="349">
  <si>
    <t>x0 / Meter</t>
  </si>
  <si>
    <t>y0 / Meter</t>
  </si>
  <si>
    <t>vx0 m/sec</t>
  </si>
  <si>
    <t>vy0 m/sec</t>
  </si>
  <si>
    <t>Theta / Grad</t>
  </si>
  <si>
    <t>Phi / Grad</t>
  </si>
  <si>
    <t>y</t>
  </si>
  <si>
    <t>x</t>
  </si>
  <si>
    <t>deltaX</t>
  </si>
  <si>
    <t>t</t>
  </si>
  <si>
    <t>dx/dt</t>
  </si>
  <si>
    <t>dy/dt</t>
  </si>
  <si>
    <t>U P H I L L</t>
  </si>
  <si>
    <t>D O W N H I L L</t>
  </si>
  <si>
    <t>Gleichung ohne Phi !!!!</t>
  </si>
  <si>
    <t>ds/dt</t>
  </si>
  <si>
    <t>MüR</t>
  </si>
  <si>
    <t>xup</t>
  </si>
  <si>
    <t>yup</t>
  </si>
  <si>
    <t>vxup</t>
  </si>
  <si>
    <t>vyup</t>
  </si>
  <si>
    <t>m</t>
  </si>
  <si>
    <t>m/s</t>
  </si>
  <si>
    <t>Grad</t>
  </si>
  <si>
    <t>∆ t</t>
  </si>
  <si>
    <t>Theta</t>
  </si>
  <si>
    <t>xd</t>
  </si>
  <si>
    <t>yd</t>
  </si>
  <si>
    <t>vxd</t>
  </si>
  <si>
    <t>vyd</t>
  </si>
  <si>
    <t>Beta</t>
  </si>
  <si>
    <t>Masse</t>
  </si>
  <si>
    <t>xups</t>
  </si>
  <si>
    <t>yups</t>
  </si>
  <si>
    <t>vxups</t>
  </si>
  <si>
    <t>vyups</t>
  </si>
  <si>
    <t>xds</t>
  </si>
  <si>
    <t>yds</t>
  </si>
  <si>
    <t>vxds</t>
  </si>
  <si>
    <t>vyds</t>
  </si>
  <si>
    <t>YuZiel</t>
  </si>
  <si>
    <t>YdZiel</t>
  </si>
  <si>
    <t xml:space="preserve">   </t>
  </si>
  <si>
    <t xml:space="preserve"> </t>
  </si>
  <si>
    <t>tmaxx</t>
  </si>
  <si>
    <t>tmaxy</t>
  </si>
  <si>
    <t>Tputt</t>
  </si>
  <si>
    <t>Vyupputt</t>
  </si>
  <si>
    <t>Vxupputt</t>
  </si>
  <si>
    <t>Yupputt</t>
  </si>
  <si>
    <t>L1:</t>
  </si>
  <si>
    <t>L2:</t>
  </si>
  <si>
    <t>Vydputt</t>
  </si>
  <si>
    <t>Vxdputt</t>
  </si>
  <si>
    <t>Ydputt</t>
  </si>
  <si>
    <t>Vyupsputt</t>
  </si>
  <si>
    <t>Tsputt</t>
  </si>
  <si>
    <t>Vxupsputt</t>
  </si>
  <si>
    <t>Yupsputt</t>
  </si>
  <si>
    <t>Vydsputt</t>
  </si>
  <si>
    <t>Vxdsputt</t>
  </si>
  <si>
    <t>Ydsputt</t>
  </si>
  <si>
    <t>vy0-0</t>
  </si>
  <si>
    <t>vx0-0</t>
  </si>
  <si>
    <t>Tnull-0</t>
  </si>
  <si>
    <t>vy0-1</t>
  </si>
  <si>
    <t>vx0-1</t>
  </si>
  <si>
    <t>Tnull-1</t>
  </si>
  <si>
    <t>vy0-2</t>
  </si>
  <si>
    <t>vx0-2</t>
  </si>
  <si>
    <t>Tnull-2</t>
  </si>
  <si>
    <t>I</t>
  </si>
  <si>
    <t>T</t>
  </si>
  <si>
    <t>E</t>
  </si>
  <si>
    <t>R</t>
  </si>
  <si>
    <t>A</t>
  </si>
  <si>
    <t>O</t>
  </si>
  <si>
    <t>N</t>
  </si>
  <si>
    <t>vy0-i</t>
  </si>
  <si>
    <t>vx0-i</t>
  </si>
  <si>
    <t>Tnull-i</t>
  </si>
  <si>
    <t>vy0-10</t>
  </si>
  <si>
    <t>vx0-10</t>
  </si>
  <si>
    <t>Tnull-10</t>
  </si>
  <si>
    <t>Tstart</t>
  </si>
  <si>
    <t>Tdputt</t>
  </si>
  <si>
    <t>Reibung Beta</t>
  </si>
  <si>
    <t>SF = 10 --- Beta = 0,0252</t>
  </si>
  <si>
    <t>Y0 [Meter]</t>
  </si>
  <si>
    <t>Phi [Grad]</t>
  </si>
  <si>
    <t>SF = 8 --- Beta = 0,0315</t>
  </si>
  <si>
    <t>SF = 6 --- Beta = 0,042</t>
  </si>
  <si>
    <t>SF = 4 --- Beta = 0,063</t>
  </si>
  <si>
    <t>Näherung für SF</t>
  </si>
  <si>
    <t>Fehler der Näherung für SF = 8</t>
  </si>
  <si>
    <t>Potenzgesetz:</t>
  </si>
  <si>
    <t>Yup = 0,3705 * Wurzel( Entfernung )</t>
  </si>
  <si>
    <t>Somit Gesamtgleichung</t>
  </si>
  <si>
    <t>Yup = 0,0376 * SF * Wurzel (Entfernung * Phi)</t>
  </si>
  <si>
    <t>Praktische Näherung</t>
  </si>
  <si>
    <t>Yup = 0,04 * SF * Wurzel (Phi * Entfernung)</t>
  </si>
  <si>
    <t>Reibung</t>
  </si>
  <si>
    <t>SF = 10 --- Mü = 0,056</t>
  </si>
  <si>
    <t>Phi</t>
  </si>
  <si>
    <t>SF = 8 --- Mü = 0,07</t>
  </si>
  <si>
    <t>SF = 6 --- Mü = 0,095</t>
  </si>
  <si>
    <t>SF = 4 --- Mü = 0,14</t>
  </si>
  <si>
    <t>x=-2</t>
  </si>
  <si>
    <t>∆ α</t>
  </si>
  <si>
    <t>α</t>
  </si>
  <si>
    <t>α null</t>
  </si>
  <si>
    <t>u</t>
  </si>
  <si>
    <t>u null</t>
  </si>
  <si>
    <t>MR</t>
  </si>
  <si>
    <t>N2 null</t>
  </si>
  <si>
    <t>N3 null</t>
  </si>
  <si>
    <t>Z3u</t>
  </si>
  <si>
    <t>N1u</t>
  </si>
  <si>
    <t>vo R</t>
  </si>
  <si>
    <t>EK</t>
  </si>
  <si>
    <t>Rad</t>
  </si>
  <si>
    <t>Z2 null</t>
  </si>
  <si>
    <t>Z1u</t>
  </si>
  <si>
    <t>Konst</t>
  </si>
  <si>
    <t>Vx/Vy</t>
  </si>
  <si>
    <t>Ball läuft max 0,5m über Loch hinaus</t>
  </si>
  <si>
    <t>1,3/3,22</t>
  </si>
  <si>
    <t>Ball läuft exakt bis Loch</t>
  </si>
  <si>
    <t>1,43/0,88</t>
  </si>
  <si>
    <t>1,36/1,93</t>
  </si>
  <si>
    <t>0/2,01</t>
  </si>
  <si>
    <t>0,2/2,88</t>
  </si>
  <si>
    <t>0,73/4,76</t>
  </si>
  <si>
    <t>0,13/6,45</t>
  </si>
  <si>
    <t>0,67/2,91</t>
  </si>
  <si>
    <t>1,04/1,83</t>
  </si>
  <si>
    <t>1,25/0,87</t>
  </si>
  <si>
    <t>1,69/0,94</t>
  </si>
  <si>
    <t>2,09/8,1</t>
  </si>
  <si>
    <t>Ball läuft mit 1 m/s ins Loch</t>
  </si>
  <si>
    <t>0,73/1,74</t>
  </si>
  <si>
    <t>0,95/1,76</t>
  </si>
  <si>
    <t>1,33/1,86</t>
  </si>
  <si>
    <t>1,56/2</t>
  </si>
  <si>
    <t>1,7/0,96</t>
  </si>
  <si>
    <t>0,95/4,67</t>
  </si>
  <si>
    <t>α [Gr]</t>
  </si>
  <si>
    <t>Ball läuft mit 1m/s ins Loch (und ggf. darüber hinaus)</t>
  </si>
  <si>
    <t>Ball läuft bis max. 0,5 m über das Loch hinaus und stoppt dann</t>
  </si>
  <si>
    <t>2,11/2,5</t>
  </si>
  <si>
    <t>1,975/2,41</t>
  </si>
  <si>
    <t>2,175/4,79</t>
  </si>
  <si>
    <t>1,57/12,47</t>
  </si>
  <si>
    <t>1,14/3,235</t>
  </si>
  <si>
    <t>0,1/4,126</t>
  </si>
  <si>
    <t>1,065/0,89</t>
  </si>
  <si>
    <t>0,85/0,936</t>
  </si>
  <si>
    <t>0,36/1,935</t>
  </si>
  <si>
    <t>0,553/1,041</t>
  </si>
  <si>
    <t>0,77/2,13</t>
  </si>
  <si>
    <t>Ball läuft bis max 0,5 m hinter das Loch</t>
  </si>
  <si>
    <t>Ball läuft bis 0,5 m hinter das Loch</t>
  </si>
  <si>
    <t>-1,91/1,61</t>
  </si>
  <si>
    <t>Ball läuft bis mit 1m/s durch/ direkt in das Loch</t>
  </si>
  <si>
    <t>Yziel</t>
  </si>
  <si>
    <t>X0 = 2m</t>
  </si>
  <si>
    <t>0,715/1,423</t>
  </si>
  <si>
    <t>0,41/1,44</t>
  </si>
  <si>
    <t>1,115/1,443</t>
  </si>
  <si>
    <t>1,265/1,466</t>
  </si>
  <si>
    <t>1,395/1,49</t>
  </si>
  <si>
    <t>1,504/1,267</t>
  </si>
  <si>
    <t>1,803/1,134</t>
  </si>
  <si>
    <t>2,051/1,032</t>
  </si>
  <si>
    <t>Lineargesetz:</t>
  </si>
  <si>
    <t>Yup = 0,1768 * Entfernung +0,1158</t>
  </si>
  <si>
    <t>2,461/1,043</t>
  </si>
  <si>
    <t>2,175/1,153</t>
  </si>
  <si>
    <t>1,835/1,298</t>
  </si>
  <si>
    <t>1,28/1,68</t>
  </si>
  <si>
    <t>1,14/2,00</t>
  </si>
  <si>
    <t>1,69/0,68</t>
  </si>
  <si>
    <t>1,034/2,267</t>
  </si>
  <si>
    <t>1,62/0,43</t>
  </si>
  <si>
    <t>1,66/0,565</t>
  </si>
  <si>
    <t>1,715/0 776</t>
  </si>
  <si>
    <t>1,265/1,30</t>
  </si>
  <si>
    <t>1,14/1,577</t>
  </si>
  <si>
    <t>1,042/1,806</t>
  </si>
  <si>
    <t>1,076/1,515</t>
  </si>
  <si>
    <t>1,167/1,305</t>
  </si>
  <si>
    <t>1,281/1,048</t>
  </si>
  <si>
    <t>1,587/0,254</t>
  </si>
  <si>
    <t>Yup = 0,1158 + 0,0147 * SF * Entfernung * Theta</t>
  </si>
  <si>
    <t>1,56/0</t>
  </si>
  <si>
    <t>1,335/0,713</t>
  </si>
  <si>
    <t>1,237/0,952</t>
  </si>
  <si>
    <t>1,151/1,149</t>
  </si>
  <si>
    <t>1,426/0,94</t>
  </si>
  <si>
    <t>Fehler</t>
  </si>
  <si>
    <t>Stimpfaktor</t>
  </si>
  <si>
    <t>Variable</t>
  </si>
  <si>
    <t>1,85/-1,18</t>
  </si>
  <si>
    <t>1,397/-2,445</t>
  </si>
  <si>
    <t>1,24/-2,88</t>
  </si>
  <si>
    <t>1,12/-3,246</t>
  </si>
  <si>
    <t>1,085/-2,962</t>
  </si>
  <si>
    <t>1,202/-2,627</t>
  </si>
  <si>
    <t>1,356/-2,226</t>
  </si>
  <si>
    <t>1,553/-1,716</t>
  </si>
  <si>
    <t>1,77/-1,027</t>
  </si>
  <si>
    <t>1,956/-1,32</t>
  </si>
  <si>
    <t>1,645/-2,07</t>
  </si>
  <si>
    <t>1,437/-2,647</t>
  </si>
  <si>
    <t>1,278/-3,113</t>
  </si>
  <si>
    <t>1,153/-3,507</t>
  </si>
  <si>
    <t>Yup = 0,011 * SF * Theta * Entfernung</t>
  </si>
  <si>
    <t>-1,75/0,95</t>
  </si>
  <si>
    <t>-1,532/1,62</t>
  </si>
  <si>
    <t>-1,335/2,106</t>
  </si>
  <si>
    <t>-1,186/2,487</t>
  </si>
  <si>
    <t>-1,067/2,806</t>
  </si>
  <si>
    <t>1,103/3,107</t>
  </si>
  <si>
    <t>-1,221/2,757</t>
  </si>
  <si>
    <t>-1,377/2,34</t>
  </si>
  <si>
    <t>-1,572/1,81</t>
  </si>
  <si>
    <t>-1,805/1,105</t>
  </si>
  <si>
    <t>-1,90/1,254</t>
  </si>
  <si>
    <t>-1,618/1,985</t>
  </si>
  <si>
    <t>-1,416/2,548</t>
  </si>
  <si>
    <t>-1,259/3,00</t>
  </si>
  <si>
    <t>-1,138/3,38</t>
  </si>
  <si>
    <t>D O W N H I L L  05</t>
  </si>
  <si>
    <t>U P H I L L   05</t>
  </si>
  <si>
    <t>2-</t>
  </si>
  <si>
    <t>2,5-</t>
  </si>
  <si>
    <t>3-</t>
  </si>
  <si>
    <t>1,5-</t>
  </si>
  <si>
    <t>1-</t>
  </si>
  <si>
    <t>0,5-</t>
  </si>
  <si>
    <t>0,5+</t>
  </si>
  <si>
    <t>1+</t>
  </si>
  <si>
    <t>1,5+</t>
  </si>
  <si>
    <t>2+</t>
  </si>
  <si>
    <t>2,5+</t>
  </si>
  <si>
    <t>3+</t>
  </si>
  <si>
    <t>Fehlersumme der 9 zentralen Elemente/ 9</t>
  </si>
  <si>
    <t>Yo [m]</t>
  </si>
  <si>
    <t>-1,42/-0,776</t>
  </si>
  <si>
    <t>-1,565/-0,245</t>
  </si>
  <si>
    <t>-1,278/-1,163</t>
  </si>
  <si>
    <t>-1,157/-1,461</t>
  </si>
  <si>
    <t>-1,059/-1,705</t>
  </si>
  <si>
    <t>-1,105/-1,42</t>
  </si>
  <si>
    <t>-1,2/-1,193</t>
  </si>
  <si>
    <t>-1,315/-0,911</t>
  </si>
  <si>
    <t>-1,445/-0,545</t>
  </si>
  <si>
    <t>-1,567/-0,045</t>
  </si>
  <si>
    <t>-1,486/-0,23</t>
  </si>
  <si>
    <t>-1,38/-0,576</t>
  </si>
  <si>
    <t>-1,279/-0,842</t>
  </si>
  <si>
    <t>-1,187/-1,058</t>
  </si>
  <si>
    <t>-1,033/-1,946</t>
  </si>
  <si>
    <t>-1,13/-1,685</t>
  </si>
  <si>
    <t>-1,255/-1,37</t>
  </si>
  <si>
    <t>-1,408/-0,963</t>
  </si>
  <si>
    <t>-4,565/-0,409</t>
  </si>
  <si>
    <t>-1,565/-0,546</t>
  </si>
  <si>
    <t>-1,4/-1,124</t>
  </si>
  <si>
    <t>-1,243/-1,548</t>
  </si>
  <si>
    <t>-1,118/-1,88</t>
  </si>
  <si>
    <t>-1,02/-2,157</t>
  </si>
  <si>
    <t>-1,013/-2,349</t>
  </si>
  <si>
    <t>-1,111/-2,056</t>
  </si>
  <si>
    <t>-1,238/-1,706</t>
  </si>
  <si>
    <t>-1,395/-1,265</t>
  </si>
  <si>
    <t>-1,568/-0,67</t>
  </si>
  <si>
    <t>Yup = 0,023 * SF * Theta * Entfernung</t>
  </si>
  <si>
    <t>-1,405/1,829</t>
  </si>
  <si>
    <t>Punkt</t>
  </si>
  <si>
    <t>5+</t>
  </si>
  <si>
    <t>4+</t>
  </si>
  <si>
    <t>4-</t>
  </si>
  <si>
    <t>5-</t>
  </si>
  <si>
    <t>X</t>
  </si>
  <si>
    <t>Y</t>
  </si>
  <si>
    <t>Vx</t>
  </si>
  <si>
    <t>Vy</t>
  </si>
  <si>
    <t>UP</t>
  </si>
  <si>
    <t>DOWN</t>
  </si>
  <si>
    <t>Up-/Downhill 0,5m über Loch</t>
  </si>
  <si>
    <t>-1,595/1,9</t>
  </si>
  <si>
    <t>Xziel</t>
  </si>
  <si>
    <t>Puttlochradius</t>
  </si>
  <si>
    <t>Radius</t>
  </si>
  <si>
    <t>x &gt;&gt;&gt; Uphill</t>
  </si>
  <si>
    <t>x &gt;&gt;&gt; Downhill</t>
  </si>
  <si>
    <t>[ 1 ]</t>
  </si>
  <si>
    <t>Alpha</t>
  </si>
  <si>
    <t>Faktor</t>
  </si>
  <si>
    <t>Th-F</t>
  </si>
  <si>
    <t>Uphill</t>
  </si>
  <si>
    <t>Downhill</t>
  </si>
  <si>
    <t>Theta/Grad</t>
  </si>
  <si>
    <t>MüR: 0,07</t>
  </si>
  <si>
    <t>Radius/ m</t>
  </si>
  <si>
    <t>Radius: 3m</t>
  </si>
  <si>
    <t>Radius: 2m</t>
  </si>
  <si>
    <t>SF = 8</t>
  </si>
  <si>
    <t>R=3</t>
  </si>
  <si>
    <t>Y = 0,00754 θ² R - 0,00429 θ R + 0,216</t>
  </si>
  <si>
    <t>Y = 0,0226 θ² -0,012875 θ + 0,216</t>
  </si>
  <si>
    <t>Y = 0,181 θ² -0,103 θ + 0,216</t>
  </si>
  <si>
    <t xml:space="preserve">Theta </t>
  </si>
  <si>
    <t>Radius &gt;&gt;&gt;</t>
  </si>
  <si>
    <t>Downhill:</t>
  </si>
  <si>
    <t>Y = - 0,004 θ² +0,147 θ + 0,107</t>
  </si>
  <si>
    <t>SF</t>
  </si>
  <si>
    <t>Y ~ 0,007 θ² R SF + 0,001 θ R SF</t>
  </si>
  <si>
    <t>Y ~ 0,005 θ R SF + 0,005 θ SF</t>
  </si>
  <si>
    <t>Yup = 0,011 * SF * Theta ² * Entfernung</t>
  </si>
  <si>
    <t>Theta [1]</t>
  </si>
  <si>
    <t>X =</t>
  </si>
  <si>
    <t>Meter</t>
  </si>
  <si>
    <t xml:space="preserve">X = </t>
  </si>
  <si>
    <t>[ % ]</t>
  </si>
  <si>
    <t>Y &gt;&gt;&gt;&gt;</t>
  </si>
  <si>
    <t>Down exakt</t>
  </si>
  <si>
    <t>Up exakt</t>
  </si>
  <si>
    <t>Stoke</t>
  </si>
  <si>
    <t>Theorie</t>
  </si>
  <si>
    <t>AimPoint D</t>
  </si>
  <si>
    <t>AimPoint U</t>
  </si>
  <si>
    <t>Faktor 1,5</t>
  </si>
  <si>
    <t>Optimierung mit max. 1,5 m/s durch das Lochzentrum oder mit Null Geschwindigkeit an den Rand des Puttloches</t>
  </si>
  <si>
    <t>[ m ]</t>
  </si>
  <si>
    <t>das urspüngliche Ziel auf der Y-Achse von einer anderen Theorie</t>
  </si>
  <si>
    <t>Vo</t>
  </si>
  <si>
    <t>Geschwindigkeit in [ m/s ] &gt;&gt;&gt; Zielrichtung</t>
  </si>
  <si>
    <t>Optimierung min Geschwindigkeit</t>
  </si>
  <si>
    <t>V0</t>
  </si>
  <si>
    <t>Optimierung max Vo im Zentrum</t>
  </si>
  <si>
    <t>DOWNHILL</t>
  </si>
  <si>
    <t>Ball läuft an den Lochrand bzw mit max Vo=1,5 m/s durch das Zentrum</t>
  </si>
  <si>
    <t>Down min</t>
  </si>
  <si>
    <t>Down max</t>
  </si>
  <si>
    <t>Up min</t>
  </si>
  <si>
    <t>Up max</t>
  </si>
  <si>
    <t>Grober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</si>
</sst>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%"/>
  </numFmts>
  <fonts count="1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7"/>
      <color theme="1"/>
      <name val="Arial"/>
      <family val="2"/>
    </font>
    <font>
      <sz val="5"/>
      <color theme="1"/>
      <name val="Arial"/>
      <family val="2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FF0000"/>
      </top>
      <bottom style="thin">
        <color indexed="64"/>
      </bottom>
      <diagonal/>
    </border>
    <border>
      <left style="thin">
        <color rgb="FFFF0000"/>
      </left>
      <right style="thin">
        <color indexed="64"/>
      </right>
      <top style="thin">
        <color indexed="64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FF0000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0" fillId="0" borderId="0" xfId="0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1" fillId="0" borderId="0" xfId="0" applyFont="1"/>
    <xf numFmtId="0" fontId="1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5" borderId="3" xfId="0" applyNumberFormat="1" applyFont="1" applyFill="1" applyBorder="1" applyAlignment="1">
      <alignment horizontal="center"/>
    </xf>
    <xf numFmtId="2" fontId="1" fillId="0" borderId="4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7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0" fontId="0" fillId="0" borderId="1" xfId="0" applyFill="1" applyBorder="1"/>
    <xf numFmtId="2" fontId="0" fillId="0" borderId="1" xfId="0" applyNumberFormat="1" applyFill="1" applyBorder="1" applyAlignment="1">
      <alignment horizontal="center"/>
    </xf>
    <xf numFmtId="2" fontId="1" fillId="0" borderId="0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0" fillId="0" borderId="0" xfId="0" applyFill="1" applyBorder="1" applyAlignment="1">
      <alignment horizontal="center"/>
    </xf>
    <xf numFmtId="165" fontId="0" fillId="0" borderId="7" xfId="0" applyNumberForma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0" borderId="0" xfId="0" applyFill="1"/>
    <xf numFmtId="165" fontId="0" fillId="0" borderId="1" xfId="0" applyNumberFormat="1" applyBorder="1"/>
    <xf numFmtId="0" fontId="0" fillId="0" borderId="0" xfId="0" applyBorder="1"/>
    <xf numFmtId="0" fontId="0" fillId="0" borderId="1" xfId="0" applyFill="1" applyBorder="1" applyAlignment="1">
      <alignment horizontal="center"/>
    </xf>
    <xf numFmtId="2" fontId="0" fillId="2" borderId="1" xfId="0" applyNumberFormat="1" applyFont="1" applyFill="1" applyBorder="1" applyAlignment="1">
      <alignment horizontal="center"/>
    </xf>
    <xf numFmtId="0" fontId="0" fillId="0" borderId="8" xfId="0" applyBorder="1"/>
    <xf numFmtId="165" fontId="0" fillId="3" borderId="9" xfId="0" applyNumberFormat="1" applyFill="1" applyBorder="1" applyAlignment="1">
      <alignment horizontal="center"/>
    </xf>
    <xf numFmtId="165" fontId="0" fillId="3" borderId="11" xfId="0" applyNumberFormat="1" applyFill="1" applyBorder="1" applyAlignment="1">
      <alignment horizontal="center"/>
    </xf>
    <xf numFmtId="0" fontId="0" fillId="4" borderId="10" xfId="0" applyFill="1" applyBorder="1"/>
    <xf numFmtId="0" fontId="0" fillId="4" borderId="9" xfId="0" applyFill="1" applyBorder="1"/>
    <xf numFmtId="165" fontId="0" fillId="4" borderId="11" xfId="0" applyNumberFormat="1" applyFill="1" applyBorder="1"/>
    <xf numFmtId="2" fontId="0" fillId="4" borderId="11" xfId="0" applyNumberFormat="1" applyFill="1" applyBorder="1"/>
    <xf numFmtId="0" fontId="0" fillId="0" borderId="1" xfId="0" applyBorder="1" applyAlignment="1">
      <alignment horizontal="center" shrinkToFit="1"/>
    </xf>
    <xf numFmtId="0" fontId="0" fillId="0" borderId="1" xfId="0" applyFill="1" applyBorder="1" applyAlignment="1">
      <alignment horizontal="right" shrinkToFit="1"/>
    </xf>
    <xf numFmtId="0" fontId="0" fillId="0" borderId="1" xfId="0" applyFill="1" applyBorder="1" applyAlignment="1">
      <alignment horizontal="center" shrinkToFit="1"/>
    </xf>
    <xf numFmtId="0" fontId="0" fillId="3" borderId="11" xfId="0" applyFill="1" applyBorder="1"/>
    <xf numFmtId="0" fontId="0" fillId="4" borderId="11" xfId="0" applyFill="1" applyBorder="1"/>
    <xf numFmtId="0" fontId="3" fillId="0" borderId="10" xfId="0" applyFont="1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6" xfId="0" applyFill="1" applyBorder="1"/>
    <xf numFmtId="0" fontId="0" fillId="0" borderId="5" xfId="0" applyBorder="1"/>
    <xf numFmtId="0" fontId="0" fillId="0" borderId="6" xfId="0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0" fillId="0" borderId="1" xfId="0" applyFill="1" applyBorder="1" applyAlignment="1">
      <alignment horizontal="right"/>
    </xf>
    <xf numFmtId="0" fontId="0" fillId="0" borderId="6" xfId="0" applyBorder="1"/>
    <xf numFmtId="0" fontId="0" fillId="0" borderId="0" xfId="0" applyFill="1" applyAlignment="1">
      <alignment horizontal="right"/>
    </xf>
    <xf numFmtId="0" fontId="0" fillId="2" borderId="1" xfId="0" applyFill="1" applyBorder="1" applyAlignment="1">
      <alignment horizontal="center"/>
    </xf>
    <xf numFmtId="166" fontId="0" fillId="0" borderId="1" xfId="0" applyNumberFormat="1" applyBorder="1"/>
    <xf numFmtId="0" fontId="3" fillId="5" borderId="0" xfId="0" applyFont="1" applyFill="1"/>
    <xf numFmtId="0" fontId="0" fillId="0" borderId="0" xfId="0" quotePrefix="1" applyAlignment="1">
      <alignment horizontal="center"/>
    </xf>
    <xf numFmtId="0" fontId="0" fillId="3" borderId="1" xfId="0" applyFill="1" applyBorder="1" applyAlignment="1">
      <alignment horizontal="right"/>
    </xf>
    <xf numFmtId="2" fontId="0" fillId="0" borderId="0" xfId="0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shrinkToFit="1"/>
    </xf>
    <xf numFmtId="2" fontId="0" fillId="5" borderId="1" xfId="0" applyNumberForma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0" fillId="5" borderId="1" xfId="0" applyFill="1" applyBorder="1" applyAlignment="1">
      <alignment horizontal="center"/>
    </xf>
    <xf numFmtId="0" fontId="4" fillId="0" borderId="14" xfId="0" applyFont="1" applyBorder="1" applyAlignment="1">
      <alignment horizontal="center" shrinkToFit="1"/>
    </xf>
    <xf numFmtId="0" fontId="0" fillId="0" borderId="14" xfId="0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4" borderId="0" xfId="0" applyFill="1"/>
    <xf numFmtId="0" fontId="0" fillId="4" borderId="8" xfId="0" applyFill="1" applyBorder="1" applyAlignment="1">
      <alignment horizontal="left"/>
    </xf>
    <xf numFmtId="0" fontId="0" fillId="0" borderId="0" xfId="0" quotePrefix="1" applyAlignment="1">
      <alignment horizontal="right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Border="1"/>
    <xf numFmtId="0" fontId="0" fillId="0" borderId="0" xfId="0" applyFont="1" applyFill="1" applyAlignment="1">
      <alignment horizontal="right"/>
    </xf>
    <xf numFmtId="0" fontId="0" fillId="3" borderId="8" xfId="0" applyFill="1" applyBorder="1" applyAlignment="1">
      <alignment horizontal="left"/>
    </xf>
    <xf numFmtId="0" fontId="0" fillId="3" borderId="0" xfId="0" applyFill="1"/>
    <xf numFmtId="164" fontId="0" fillId="5" borderId="1" xfId="0" applyNumberForma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7" fillId="5" borderId="1" xfId="0" quotePrefix="1" applyFont="1" applyFill="1" applyBorder="1" applyAlignment="1">
      <alignment horizontal="center"/>
    </xf>
    <xf numFmtId="0" fontId="6" fillId="5" borderId="1" xfId="0" quotePrefix="1" applyFont="1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14" xfId="0" applyFont="1" applyFill="1" applyBorder="1" applyAlignment="1">
      <alignment horizontal="center" shrinkToFit="1"/>
    </xf>
    <xf numFmtId="0" fontId="5" fillId="0" borderId="1" xfId="0" applyFont="1" applyFill="1" applyBorder="1" applyAlignment="1">
      <alignment horizontal="center" shrinkToFit="1"/>
    </xf>
    <xf numFmtId="0" fontId="0" fillId="0" borderId="0" xfId="0" applyFill="1" applyBorder="1" applyAlignment="1">
      <alignment horizontal="center" shrinkToFit="1"/>
    </xf>
    <xf numFmtId="9" fontId="0" fillId="0" borderId="1" xfId="0" applyNumberFormat="1" applyFont="1" applyBorder="1" applyAlignment="1">
      <alignment horizontal="center"/>
    </xf>
    <xf numFmtId="9" fontId="8" fillId="0" borderId="0" xfId="0" applyNumberFormat="1" applyFont="1"/>
    <xf numFmtId="165" fontId="0" fillId="5" borderId="1" xfId="0" applyNumberFormat="1" applyFill="1" applyBorder="1" applyAlignment="1">
      <alignment horizontal="center"/>
    </xf>
    <xf numFmtId="165" fontId="8" fillId="5" borderId="1" xfId="0" applyNumberFormat="1" applyFont="1" applyFill="1" applyBorder="1" applyAlignment="1">
      <alignment horizontal="center"/>
    </xf>
    <xf numFmtId="9" fontId="5" fillId="0" borderId="1" xfId="0" applyNumberFormat="1" applyFont="1" applyBorder="1" applyAlignment="1">
      <alignment horizontal="center"/>
    </xf>
    <xf numFmtId="0" fontId="6" fillId="0" borderId="1" xfId="0" quotePrefix="1" applyFont="1" applyFill="1" applyBorder="1" applyAlignment="1">
      <alignment horizontal="center"/>
    </xf>
    <xf numFmtId="9" fontId="4" fillId="5" borderId="1" xfId="0" applyNumberFormat="1" applyFont="1" applyFill="1" applyBorder="1" applyAlignment="1">
      <alignment horizontal="center"/>
    </xf>
    <xf numFmtId="0" fontId="9" fillId="0" borderId="0" xfId="0" applyFont="1"/>
    <xf numFmtId="0" fontId="0" fillId="2" borderId="0" xfId="0" applyFill="1"/>
    <xf numFmtId="0" fontId="0" fillId="8" borderId="0" xfId="0" applyFill="1"/>
    <xf numFmtId="0" fontId="0" fillId="8" borderId="1" xfId="0" applyFill="1" applyBorder="1" applyAlignment="1">
      <alignment horizontal="center"/>
    </xf>
    <xf numFmtId="0" fontId="0" fillId="8" borderId="0" xfId="0" applyFill="1" applyAlignment="1">
      <alignment horizontal="left"/>
    </xf>
    <xf numFmtId="0" fontId="0" fillId="8" borderId="1" xfId="0" applyFill="1" applyBorder="1"/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quotePrefix="1"/>
    <xf numFmtId="0" fontId="0" fillId="0" borderId="0" xfId="0" applyBorder="1" applyAlignment="1">
      <alignment horizontal="center"/>
    </xf>
    <xf numFmtId="0" fontId="0" fillId="0" borderId="0" xfId="0" applyFill="1" applyBorder="1" applyAlignment="1">
      <alignment horizontal="right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0" fontId="0" fillId="9" borderId="1" xfId="0" applyFont="1" applyFill="1" applyBorder="1" applyAlignment="1">
      <alignment horizontal="center"/>
    </xf>
    <xf numFmtId="0" fontId="0" fillId="9" borderId="1" xfId="0" applyFill="1" applyBorder="1" applyAlignment="1">
      <alignment horizontal="center"/>
    </xf>
    <xf numFmtId="0" fontId="0" fillId="9" borderId="1" xfId="0" applyFill="1" applyBorder="1"/>
    <xf numFmtId="0" fontId="9" fillId="0" borderId="10" xfId="0" applyFont="1" applyBorder="1"/>
    <xf numFmtId="0" fontId="9" fillId="0" borderId="11" xfId="0" applyFont="1" applyBorder="1" applyAlignment="1">
      <alignment horizontal="right"/>
    </xf>
    <xf numFmtId="0" fontId="0" fillId="9" borderId="0" xfId="0" applyFill="1" applyAlignment="1">
      <alignment horizontal="center"/>
    </xf>
    <xf numFmtId="9" fontId="8" fillId="0" borderId="0" xfId="0" applyNumberFormat="1" applyFont="1" applyFill="1"/>
    <xf numFmtId="0" fontId="0" fillId="9" borderId="0" xfId="0" applyFill="1"/>
    <xf numFmtId="0" fontId="0" fillId="9" borderId="0" xfId="0" applyFill="1" applyAlignment="1">
      <alignment horizontal="right"/>
    </xf>
    <xf numFmtId="0" fontId="9" fillId="9" borderId="1" xfId="0" applyFont="1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0" fillId="0" borderId="0" xfId="0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9" fontId="0" fillId="0" borderId="0" xfId="0" applyNumberFormat="1" applyFont="1" applyFill="1" applyBorder="1" applyAlignment="1">
      <alignment horizontal="center"/>
    </xf>
    <xf numFmtId="9" fontId="5" fillId="0" borderId="0" xfId="0" applyNumberFormat="1" applyFont="1" applyFill="1" applyBorder="1" applyAlignment="1">
      <alignment horizontal="center"/>
    </xf>
    <xf numFmtId="9" fontId="4" fillId="0" borderId="0" xfId="0" applyNumberFormat="1" applyFont="1" applyFill="1" applyBorder="1" applyAlignment="1">
      <alignment horizontal="center"/>
    </xf>
    <xf numFmtId="9" fontId="8" fillId="0" borderId="0" xfId="0" applyNumberFormat="1" applyFont="1" applyFill="1" applyBorder="1"/>
    <xf numFmtId="0" fontId="0" fillId="0" borderId="0" xfId="0" applyFill="1" applyBorder="1" applyAlignment="1"/>
    <xf numFmtId="0" fontId="4" fillId="5" borderId="1" xfId="0" applyFont="1" applyFill="1" applyBorder="1" applyAlignment="1">
      <alignment horizontal="center"/>
    </xf>
    <xf numFmtId="0" fontId="0" fillId="4" borderId="11" xfId="0" applyFill="1" applyBorder="1" applyAlignment="1">
      <alignment horizontal="right"/>
    </xf>
    <xf numFmtId="0" fontId="0" fillId="3" borderId="10" xfId="0" applyFill="1" applyBorder="1"/>
    <xf numFmtId="0" fontId="0" fillId="3" borderId="11" xfId="0" applyFill="1" applyBorder="1" applyAlignment="1">
      <alignment horizontal="right"/>
    </xf>
    <xf numFmtId="0" fontId="2" fillId="4" borderId="0" xfId="0" applyFont="1" applyFill="1" applyAlignment="1">
      <alignment horizontal="center"/>
    </xf>
    <xf numFmtId="0" fontId="2" fillId="4" borderId="0" xfId="0" applyFont="1" applyFill="1" applyAlignment="1"/>
    <xf numFmtId="0" fontId="1" fillId="0" borderId="6" xfId="0" applyFont="1" applyBorder="1" applyAlignment="1">
      <alignment horizontal="right"/>
    </xf>
    <xf numFmtId="0" fontId="0" fillId="0" borderId="0" xfId="0" applyBorder="1" applyAlignment="1"/>
    <xf numFmtId="0" fontId="1" fillId="0" borderId="1" xfId="0" applyFont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0" xfId="0" applyFont="1" applyFill="1" applyBorder="1" applyAlignment="1"/>
    <xf numFmtId="0" fontId="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2" fillId="0" borderId="0" xfId="0" applyFont="1" applyAlignment="1"/>
    <xf numFmtId="0" fontId="0" fillId="6" borderId="0" xfId="0" applyFill="1" applyAlignment="1">
      <alignment horizontal="center"/>
    </xf>
    <xf numFmtId="0" fontId="0" fillId="0" borderId="0" xfId="0" applyAlignment="1"/>
    <xf numFmtId="0" fontId="2" fillId="4" borderId="0" xfId="0" applyFont="1" applyFill="1" applyBorder="1" applyAlignment="1">
      <alignment horizontal="center"/>
    </xf>
    <xf numFmtId="0" fontId="2" fillId="0" borderId="0" xfId="0" applyFont="1" applyBorder="1" applyAlignment="1"/>
    <xf numFmtId="0" fontId="0" fillId="3" borderId="10" xfId="0" applyFill="1" applyBorder="1" applyAlignment="1">
      <alignment horizontal="right"/>
    </xf>
    <xf numFmtId="0" fontId="0" fillId="0" borderId="9" xfId="0" applyBorder="1" applyAlignment="1">
      <alignment horizontal="right"/>
    </xf>
    <xf numFmtId="0" fontId="0" fillId="4" borderId="10" xfId="0" applyFill="1" applyBorder="1" applyAlignment="1">
      <alignment horizontal="right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2" borderId="13" xfId="0" applyFill="1" applyBorder="1" applyAlignment="1">
      <alignment horizontal="center"/>
    </xf>
    <xf numFmtId="0" fontId="0" fillId="0" borderId="13" xfId="0" applyBorder="1" applyAlignment="1"/>
    <xf numFmtId="0" fontId="0" fillId="2" borderId="12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0" fontId="0" fillId="4" borderId="9" xfId="0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5" borderId="7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2" fillId="4" borderId="0" xfId="0" applyFont="1" applyFill="1" applyBorder="1" applyAlignment="1"/>
    <xf numFmtId="0" fontId="0" fillId="4" borderId="0" xfId="0" applyFill="1" applyBorder="1" applyAlignment="1"/>
    <xf numFmtId="0" fontId="0" fillId="5" borderId="1" xfId="0" applyFill="1" applyBorder="1" applyAlignment="1">
      <alignment vertical="center"/>
    </xf>
    <xf numFmtId="0" fontId="2" fillId="7" borderId="0" xfId="0" applyFont="1" applyFill="1" applyBorder="1" applyAlignment="1">
      <alignment horizontal="center"/>
    </xf>
    <xf numFmtId="0" fontId="2" fillId="7" borderId="0" xfId="0" applyFont="1" applyFill="1" applyBorder="1" applyAlignment="1"/>
    <xf numFmtId="0" fontId="0" fillId="7" borderId="0" xfId="0" applyFill="1" applyBorder="1" applyAlignment="1"/>
    <xf numFmtId="164" fontId="0" fillId="3" borderId="8" xfId="0" applyNumberFormat="1" applyFill="1" applyBorder="1" applyAlignment="1">
      <alignment horizontal="center"/>
    </xf>
    <xf numFmtId="0" fontId="0" fillId="3" borderId="0" xfId="0" applyFill="1" applyBorder="1" applyAlignment="1"/>
    <xf numFmtId="0" fontId="0" fillId="3" borderId="6" xfId="0" applyFill="1" applyBorder="1" applyAlignment="1">
      <alignment horizontal="center" vertical="center" textRotation="255"/>
    </xf>
    <xf numFmtId="0" fontId="2" fillId="3" borderId="0" xfId="0" quotePrefix="1" applyFont="1" applyFill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8" xfId="0" applyFill="1" applyBorder="1" applyAlignment="1"/>
    <xf numFmtId="0" fontId="0" fillId="4" borderId="6" xfId="0" applyFill="1" applyBorder="1" applyAlignment="1">
      <alignment horizontal="center" vertical="center" textRotation="255"/>
    </xf>
    <xf numFmtId="0" fontId="9" fillId="6" borderId="0" xfId="0" applyFont="1" applyFill="1" applyAlignment="1">
      <alignment horizontal="center"/>
    </xf>
    <xf numFmtId="0" fontId="0" fillId="6" borderId="0" xfId="0" applyFill="1" applyAlignment="1"/>
    <xf numFmtId="0" fontId="0" fillId="0" borderId="0" xfId="0" applyAlignment="1">
      <alignment horizontal="center"/>
    </xf>
  </cellXfs>
  <cellStyles count="1">
    <cellStyle name="Standard" xfId="0" builtinId="0"/>
  </cellStyles>
  <dxfs count="3">
    <dxf>
      <fill>
        <patternFill>
          <bgColor theme="6" tint="0.59996337778862885"/>
        </patternFill>
      </fill>
    </dxf>
    <dxf>
      <fill>
        <patternFill>
          <bgColor theme="6" tint="0.59996337778862885"/>
        </patternFill>
      </fill>
    </dxf>
    <dxf>
      <font>
        <color theme="5" tint="0.59996337778862885"/>
      </font>
      <fill>
        <patternFill>
          <bgColor theme="5" tint="0.59996337778862885"/>
        </patternFill>
      </fill>
    </dxf>
  </dxfs>
  <tableStyles count="0" defaultTableStyle="TableStyleMedium9" defaultPivotStyle="PivotStyleLight16"/>
  <colors>
    <mruColors>
      <color rgb="FFFFFF99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tx>
            <c:v>Uphill</c:v>
          </c:tx>
          <c:spPr>
            <a:ln w="6350">
              <a:solidFill>
                <a:srgbClr val="0070C0"/>
              </a:solidFill>
            </a:ln>
          </c:spPr>
          <c:marker>
            <c:symbol val="diamond"/>
            <c:size val="8"/>
          </c:marker>
          <c:xVal>
            <c:numRef>
              <c:f>ohneReibung!$C$8:$S$8</c:f>
              <c:numCache>
                <c:formatCode>0.00</c:formatCode>
                <c:ptCount val="17"/>
                <c:pt idx="0">
                  <c:v>2</c:v>
                </c:pt>
                <c:pt idx="1">
                  <c:v>1.75</c:v>
                </c:pt>
                <c:pt idx="2">
                  <c:v>1.5</c:v>
                </c:pt>
                <c:pt idx="3">
                  <c:v>1.25</c:v>
                </c:pt>
                <c:pt idx="4">
                  <c:v>1</c:v>
                </c:pt>
                <c:pt idx="5">
                  <c:v>0.75</c:v>
                </c:pt>
                <c:pt idx="6">
                  <c:v>0.5</c:v>
                </c:pt>
                <c:pt idx="7">
                  <c:v>0.25</c:v>
                </c:pt>
                <c:pt idx="8">
                  <c:v>0</c:v>
                </c:pt>
                <c:pt idx="9">
                  <c:v>-0.25</c:v>
                </c:pt>
                <c:pt idx="10">
                  <c:v>-0.5</c:v>
                </c:pt>
                <c:pt idx="11">
                  <c:v>-0.75</c:v>
                </c:pt>
                <c:pt idx="12">
                  <c:v>-1</c:v>
                </c:pt>
                <c:pt idx="13">
                  <c:v>-1.25</c:v>
                </c:pt>
                <c:pt idx="14">
                  <c:v>-1.5</c:v>
                </c:pt>
                <c:pt idx="15">
                  <c:v>-1.75</c:v>
                </c:pt>
                <c:pt idx="16">
                  <c:v>-2</c:v>
                </c:pt>
              </c:numCache>
            </c:numRef>
          </c:xVal>
          <c:yVal>
            <c:numRef>
              <c:f>ohneReibung!$C$9:$S$9</c:f>
              <c:numCache>
                <c:formatCode>0.00</c:formatCode>
                <c:ptCount val="17"/>
                <c:pt idx="0">
                  <c:v>-2</c:v>
                </c:pt>
                <c:pt idx="1">
                  <c:v>-1.53125</c:v>
                </c:pt>
                <c:pt idx="2">
                  <c:v>-1.125</c:v>
                </c:pt>
                <c:pt idx="3">
                  <c:v>-0.78125</c:v>
                </c:pt>
                <c:pt idx="4">
                  <c:v>-0.5</c:v>
                </c:pt>
                <c:pt idx="5">
                  <c:v>-0.28125</c:v>
                </c:pt>
                <c:pt idx="6">
                  <c:v>-0.125</c:v>
                </c:pt>
                <c:pt idx="7">
                  <c:v>-3.1249999999999556E-2</c:v>
                </c:pt>
                <c:pt idx="8">
                  <c:v>0</c:v>
                </c:pt>
                <c:pt idx="9">
                  <c:v>-3.1250000000000444E-2</c:v>
                </c:pt>
                <c:pt idx="10">
                  <c:v>-0.12500000000000044</c:v>
                </c:pt>
                <c:pt idx="11">
                  <c:v>-0.28125</c:v>
                </c:pt>
                <c:pt idx="12">
                  <c:v>-0.5</c:v>
                </c:pt>
                <c:pt idx="13">
                  <c:v>-0.78125000000000178</c:v>
                </c:pt>
                <c:pt idx="14">
                  <c:v>-1.1249999999999991</c:v>
                </c:pt>
                <c:pt idx="15">
                  <c:v>-1.53125</c:v>
                </c:pt>
                <c:pt idx="16">
                  <c:v>-1.9999999999999991</c:v>
                </c:pt>
              </c:numCache>
            </c:numRef>
          </c:yVal>
        </c:ser>
        <c:ser>
          <c:idx val="1"/>
          <c:order val="1"/>
          <c:tx>
            <c:v>Downhill</c:v>
          </c:tx>
          <c:spPr>
            <a:ln w="6350">
              <a:solidFill>
                <a:srgbClr val="C00000"/>
              </a:solidFill>
            </a:ln>
          </c:spPr>
          <c:marker>
            <c:symbol val="square"/>
            <c:size val="7"/>
          </c:marker>
          <c:xVal>
            <c:numRef>
              <c:f>ohneReibung!$C$17:$S$17</c:f>
              <c:numCache>
                <c:formatCode>0.00</c:formatCode>
                <c:ptCount val="17"/>
                <c:pt idx="0">
                  <c:v>2</c:v>
                </c:pt>
                <c:pt idx="1">
                  <c:v>1.75</c:v>
                </c:pt>
                <c:pt idx="2">
                  <c:v>1.5</c:v>
                </c:pt>
                <c:pt idx="3">
                  <c:v>1.25</c:v>
                </c:pt>
                <c:pt idx="4">
                  <c:v>1</c:v>
                </c:pt>
                <c:pt idx="5">
                  <c:v>0.75</c:v>
                </c:pt>
                <c:pt idx="6">
                  <c:v>0.5</c:v>
                </c:pt>
                <c:pt idx="7">
                  <c:v>0.25</c:v>
                </c:pt>
                <c:pt idx="8">
                  <c:v>0</c:v>
                </c:pt>
                <c:pt idx="9">
                  <c:v>-0.25</c:v>
                </c:pt>
                <c:pt idx="10">
                  <c:v>-0.5</c:v>
                </c:pt>
                <c:pt idx="11">
                  <c:v>-0.75</c:v>
                </c:pt>
                <c:pt idx="12">
                  <c:v>-1</c:v>
                </c:pt>
                <c:pt idx="13">
                  <c:v>-1.25</c:v>
                </c:pt>
                <c:pt idx="14">
                  <c:v>-1.5</c:v>
                </c:pt>
                <c:pt idx="15">
                  <c:v>-1.75</c:v>
                </c:pt>
                <c:pt idx="16">
                  <c:v>-2</c:v>
                </c:pt>
              </c:numCache>
            </c:numRef>
          </c:xVal>
          <c:yVal>
            <c:numRef>
              <c:f>ohneReibung!$C$18:$S$18</c:f>
              <c:numCache>
                <c:formatCode>0.00</c:formatCode>
                <c:ptCount val="17"/>
                <c:pt idx="0">
                  <c:v>2</c:v>
                </c:pt>
                <c:pt idx="1">
                  <c:v>1.96875</c:v>
                </c:pt>
                <c:pt idx="2">
                  <c:v>1.875</c:v>
                </c:pt>
                <c:pt idx="3">
                  <c:v>1.71875</c:v>
                </c:pt>
                <c:pt idx="4">
                  <c:v>1.5</c:v>
                </c:pt>
                <c:pt idx="5">
                  <c:v>1.2187499999999998</c:v>
                </c:pt>
                <c:pt idx="6">
                  <c:v>0.87499999999999978</c:v>
                </c:pt>
                <c:pt idx="7">
                  <c:v>0.46874999999999978</c:v>
                </c:pt>
                <c:pt idx="8">
                  <c:v>0</c:v>
                </c:pt>
                <c:pt idx="9">
                  <c:v>-0.53125000000000089</c:v>
                </c:pt>
                <c:pt idx="10">
                  <c:v>-1.1250000000000009</c:v>
                </c:pt>
                <c:pt idx="11">
                  <c:v>-1.7812500000000004</c:v>
                </c:pt>
                <c:pt idx="12">
                  <c:v>-2.5</c:v>
                </c:pt>
                <c:pt idx="13">
                  <c:v>-3.2812500000000018</c:v>
                </c:pt>
                <c:pt idx="14">
                  <c:v>-4.125</c:v>
                </c:pt>
                <c:pt idx="15">
                  <c:v>-5.03125</c:v>
                </c:pt>
                <c:pt idx="16">
                  <c:v>-6</c:v>
                </c:pt>
              </c:numCache>
            </c:numRef>
          </c:yVal>
        </c:ser>
        <c:axId val="37192064"/>
        <c:axId val="37917056"/>
      </c:scatterChart>
      <c:valAx>
        <c:axId val="37192064"/>
        <c:scaling>
          <c:orientation val="minMax"/>
          <c:max val="2.5"/>
          <c:min val="-2.5"/>
        </c:scaling>
        <c:axPos val="b"/>
        <c:majorGridlines/>
        <c:numFmt formatCode="0.00" sourceLinked="1"/>
        <c:tickLblPos val="nextTo"/>
        <c:crossAx val="37917056"/>
        <c:crosses val="autoZero"/>
        <c:crossBetween val="midCat"/>
      </c:valAx>
      <c:valAx>
        <c:axId val="37917056"/>
        <c:scaling>
          <c:orientation val="minMax"/>
          <c:max val="2.5"/>
          <c:min val="-2.5"/>
        </c:scaling>
        <c:axPos val="l"/>
        <c:majorGridlines/>
        <c:numFmt formatCode="0.00" sourceLinked="1"/>
        <c:tickLblPos val="nextTo"/>
        <c:crossAx val="37192064"/>
        <c:crosses val="autoZero"/>
        <c:crossBetween val="midCat"/>
      </c:valAx>
    </c:plotArea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tx>
            <c:strRef>
              <c:f>Down_00!$AB$4</c:f>
              <c:strCache>
                <c:ptCount val="1"/>
                <c:pt idx="0">
                  <c:v>0,5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4741827372240099"/>
                  <c:y val="3.0894237820759552E-2"/>
                </c:manualLayout>
              </c:layout>
              <c:numFmt formatCode="General" sourceLinked="0"/>
            </c:trendlineLbl>
          </c:trendline>
          <c:xVal>
            <c:numRef>
              <c:f>Down_00!$AA$5:$AA$14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Down_00!$AB$5:$AB$14</c:f>
              <c:numCache>
                <c:formatCode>General</c:formatCode>
                <c:ptCount val="10"/>
                <c:pt idx="1">
                  <c:v>0.14399999999999999</c:v>
                </c:pt>
                <c:pt idx="3">
                  <c:v>0.185</c:v>
                </c:pt>
                <c:pt idx="5">
                  <c:v>0.24099999999999999</c:v>
                </c:pt>
                <c:pt idx="7">
                  <c:v>0.29399999999999998</c:v>
                </c:pt>
                <c:pt idx="9">
                  <c:v>0.35599999999999998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Down_00!$AC$4</c:f>
              <c:strCache>
                <c:ptCount val="1"/>
                <c:pt idx="0">
                  <c:v>1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37230732043054"/>
                  <c:y val="-3.962600017912668E-2"/>
                </c:manualLayout>
              </c:layout>
              <c:numFmt formatCode="General" sourceLinked="0"/>
              <c:spPr>
                <a:solidFill>
                  <a:srgbClr val="FFFF99"/>
                </a:solidFill>
              </c:spPr>
            </c:trendlineLbl>
          </c:trendline>
          <c:xVal>
            <c:numRef>
              <c:f>Down_00!$AA$5:$AA$14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Down_00!$AC$5:$AC$14</c:f>
              <c:numCache>
                <c:formatCode>General</c:formatCode>
                <c:ptCount val="10"/>
                <c:pt idx="1">
                  <c:v>0.30199999999999999</c:v>
                </c:pt>
                <c:pt idx="3">
                  <c:v>0.39300000000000002</c:v>
                </c:pt>
                <c:pt idx="5">
                  <c:v>0.50700000000000001</c:v>
                </c:pt>
                <c:pt idx="7">
                  <c:v>0.63300000000000001</c:v>
                </c:pt>
                <c:pt idx="9">
                  <c:v>0.76500000000000001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Down_00!$AD$4</c:f>
              <c:strCache>
                <c:ptCount val="1"/>
                <c:pt idx="0">
                  <c:v>1,5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37230732043054"/>
                  <c:y val="-4.3049856859614086E-2"/>
                </c:manualLayout>
              </c:layout>
              <c:numFmt formatCode="General" sourceLinked="0"/>
            </c:trendlineLbl>
          </c:trendline>
          <c:xVal>
            <c:numRef>
              <c:f>Down_00!$AA$5:$AA$14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Down_00!$AD$5:$AD$14</c:f>
              <c:numCache>
                <c:formatCode>General</c:formatCode>
                <c:ptCount val="10"/>
                <c:pt idx="1">
                  <c:v>0.47599999999999998</c:v>
                </c:pt>
                <c:pt idx="3">
                  <c:v>0.63100000000000001</c:v>
                </c:pt>
                <c:pt idx="5">
                  <c:v>0.81499999999999995</c:v>
                </c:pt>
                <c:pt idx="7">
                  <c:v>1.014</c:v>
                </c:pt>
                <c:pt idx="9">
                  <c:v>1.228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Down_00!$AE$4</c:f>
              <c:strCache>
                <c:ptCount val="1"/>
                <c:pt idx="0">
                  <c:v>2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37230732043054"/>
                  <c:y val="-4.0976266852534533E-2"/>
                </c:manualLayout>
              </c:layout>
              <c:numFmt formatCode="General" sourceLinked="0"/>
            </c:trendlineLbl>
          </c:trendline>
          <c:xVal>
            <c:numRef>
              <c:f>Down_00!$AA$5:$AA$14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Down_00!$AE$5:$AE$14</c:f>
              <c:numCache>
                <c:formatCode>General</c:formatCode>
                <c:ptCount val="10"/>
                <c:pt idx="1">
                  <c:v>0.68600000000000005</c:v>
                </c:pt>
                <c:pt idx="3">
                  <c:v>0.90600000000000003</c:v>
                </c:pt>
                <c:pt idx="5">
                  <c:v>1.1779999999999999</c:v>
                </c:pt>
                <c:pt idx="7">
                  <c:v>1.472</c:v>
                </c:pt>
                <c:pt idx="9">
                  <c:v>1.776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Down_00!$AF$4</c:f>
              <c:strCache>
                <c:ptCount val="1"/>
                <c:pt idx="0">
                  <c:v>2,5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37230732043054"/>
                  <c:y val="-5.3957269768739095E-2"/>
                </c:manualLayout>
              </c:layout>
              <c:numFmt formatCode="General" sourceLinked="0"/>
            </c:trendlineLbl>
          </c:trendline>
          <c:xVal>
            <c:numRef>
              <c:f>Down_00!$AA$5:$AA$14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Down_00!$AF$5:$AF$14</c:f>
              <c:numCache>
                <c:formatCode>General</c:formatCode>
                <c:ptCount val="10"/>
                <c:pt idx="1">
                  <c:v>0.94199999999999995</c:v>
                </c:pt>
                <c:pt idx="3">
                  <c:v>1.2450000000000001</c:v>
                </c:pt>
                <c:pt idx="5">
                  <c:v>1.613</c:v>
                </c:pt>
                <c:pt idx="7">
                  <c:v>2.0099999999999998</c:v>
                </c:pt>
                <c:pt idx="9">
                  <c:v>2.427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Down_00!$AG$4</c:f>
              <c:strCache>
                <c:ptCount val="1"/>
                <c:pt idx="0">
                  <c:v>3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3892865565627824"/>
                  <c:y val="-3.0690874140035782E-2"/>
                </c:manualLayout>
              </c:layout>
              <c:numFmt formatCode="General" sourceLinked="0"/>
            </c:trendlineLbl>
          </c:trendline>
          <c:xVal>
            <c:numRef>
              <c:f>Down_00!$AA$5:$AA$14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Down_00!$AG$5:$AG$14</c:f>
              <c:numCache>
                <c:formatCode>General</c:formatCode>
                <c:ptCount val="10"/>
                <c:pt idx="3">
                  <c:v>1.6890000000000001</c:v>
                </c:pt>
                <c:pt idx="5">
                  <c:v>2.1640000000000001</c:v>
                </c:pt>
                <c:pt idx="7">
                  <c:v>2.6819999999999999</c:v>
                </c:pt>
                <c:pt idx="9">
                  <c:v>3.2160000000000002</c:v>
                </c:pt>
              </c:numCache>
            </c:numRef>
          </c:yVal>
          <c:smooth val="1"/>
        </c:ser>
        <c:axId val="36907648"/>
        <c:axId val="36917632"/>
      </c:scatterChart>
      <c:valAx>
        <c:axId val="36907648"/>
        <c:scaling>
          <c:orientation val="minMax"/>
        </c:scaling>
        <c:axPos val="b"/>
        <c:majorGridlines/>
        <c:numFmt formatCode="General" sourceLinked="1"/>
        <c:tickLblPos val="nextTo"/>
        <c:crossAx val="36917632"/>
        <c:crosses val="autoZero"/>
        <c:crossBetween val="midCat"/>
      </c:valAx>
      <c:valAx>
        <c:axId val="36917632"/>
        <c:scaling>
          <c:orientation val="minMax"/>
        </c:scaling>
        <c:axPos val="l"/>
        <c:majorGridlines/>
        <c:numFmt formatCode="General" sourceLinked="1"/>
        <c:tickLblPos val="nextTo"/>
        <c:crossAx val="36907648"/>
        <c:crosses val="autoZero"/>
        <c:crossBetween val="midCat"/>
      </c:valAx>
    </c:plotArea>
    <c:legend>
      <c:legendPos val="r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/>
      <c:scatterChart>
        <c:scatterStyle val="lineMarker"/>
        <c:ser>
          <c:idx val="1"/>
          <c:order val="0"/>
          <c:tx>
            <c:v>Downhill</c:v>
          </c:tx>
          <c:spPr>
            <a:ln w="6350">
              <a:solidFill>
                <a:srgbClr val="C00000"/>
              </a:solidFill>
            </a:ln>
          </c:spPr>
          <c:marker>
            <c:symbol val="square"/>
            <c:size val="7"/>
          </c:marker>
          <c:xVal>
            <c:numRef>
              <c:f>Down_05!$E$11:$Y$11</c:f>
              <c:numCache>
                <c:formatCode>General</c:formatCode>
                <c:ptCount val="21"/>
                <c:pt idx="0">
                  <c:v>1.9320000000000002</c:v>
                </c:pt>
                <c:pt idx="1">
                  <c:v>1.9135099631979111</c:v>
                </c:pt>
                <c:pt idx="2">
                  <c:v>0.88702951091336035</c:v>
                </c:pt>
                <c:pt idx="3">
                  <c:v>0.30519118194471972</c:v>
                </c:pt>
                <c:pt idx="4">
                  <c:v>-2.4041046155066192E-2</c:v>
                </c:pt>
                <c:pt idx="5">
                  <c:v>-0.20936707960856449</c:v>
                </c:pt>
                <c:pt idx="6">
                  <c:v>-0.31274644171429733</c:v>
                </c:pt>
                <c:pt idx="7">
                  <c:v>-0.36964483730706466</c:v>
                </c:pt>
                <c:pt idx="8">
                  <c:v>-0.4003865128932298</c:v>
                </c:pt>
                <c:pt idx="9">
                  <c:v>-0.41659244175457832</c:v>
                </c:pt>
                <c:pt idx="10">
                  <c:v>-0.4248659115682023</c:v>
                </c:pt>
                <c:pt idx="11">
                  <c:v>-0.42891774223718393</c:v>
                </c:pt>
                <c:pt idx="12">
                  <c:v>-0.43079786643265994</c:v>
                </c:pt>
                <c:pt idx="13">
                  <c:v>-0.43161073642358572</c:v>
                </c:pt>
                <c:pt idx="14">
                  <c:v>-0.43193056524020879</c:v>
                </c:pt>
                <c:pt idx="15">
                  <c:v>-0.4320411629901928</c:v>
                </c:pt>
                <c:pt idx="16">
                  <c:v>-0.43207298535638516</c:v>
                </c:pt>
                <c:pt idx="17">
                  <c:v>-0.43207992550342222</c:v>
                </c:pt>
                <c:pt idx="18">
                  <c:v>-0.43208088586198912</c:v>
                </c:pt>
                <c:pt idx="19">
                  <c:v>-0.43208094235440964</c:v>
                </c:pt>
                <c:pt idx="20">
                  <c:v>-0.43208094276676778</c:v>
                </c:pt>
              </c:numCache>
            </c:numRef>
          </c:xVal>
          <c:yVal>
            <c:numRef>
              <c:f>Down_05!$E$12:$Y$12</c:f>
              <c:numCache>
                <c:formatCode>General</c:formatCode>
                <c:ptCount val="21"/>
                <c:pt idx="0">
                  <c:v>0.51800000000000002</c:v>
                </c:pt>
                <c:pt idx="1">
                  <c:v>0.51457301062173555</c:v>
                </c:pt>
                <c:pt idx="2">
                  <c:v>0.28831778649307771</c:v>
                </c:pt>
                <c:pt idx="3">
                  <c:v>0.11466635138477155</c:v>
                </c:pt>
                <c:pt idx="4">
                  <c:v>-1.0426439302752E-2</c:v>
                </c:pt>
                <c:pt idx="5">
                  <c:v>-9.6805408614937027E-2</c:v>
                </c:pt>
                <c:pt idx="6">
                  <c:v>-0.15452062940981059</c:v>
                </c:pt>
                <c:pt idx="7">
                  <c:v>-0.19197658842445042</c:v>
                </c:pt>
                <c:pt idx="8">
                  <c:v>-0.21559775072073928</c:v>
                </c:pt>
                <c:pt idx="9">
                  <c:v>-0.23004528080997022</c:v>
                </c:pt>
                <c:pt idx="10">
                  <c:v>-0.23858090859511649</c:v>
                </c:pt>
                <c:pt idx="11">
                  <c:v>-0.24342117873379332</c:v>
                </c:pt>
                <c:pt idx="12">
                  <c:v>-0.24603152646392834</c:v>
                </c:pt>
                <c:pt idx="13">
                  <c:v>-0.24735283116837747</c:v>
                </c:pt>
                <c:pt idx="14">
                  <c:v>-0.24796867650335241</c:v>
                </c:pt>
                <c:pt idx="15">
                  <c:v>-0.24822546979603755</c:v>
                </c:pt>
                <c:pt idx="16">
                  <c:v>-0.24831696831994587</c:v>
                </c:pt>
                <c:pt idx="17">
                  <c:v>-0.24834271131471775</c:v>
                </c:pt>
                <c:pt idx="18">
                  <c:v>-0.24834762191516235</c:v>
                </c:pt>
                <c:pt idx="19">
                  <c:v>-0.24834806985988267</c:v>
                </c:pt>
                <c:pt idx="20">
                  <c:v>-0.24834807652367374</c:v>
                </c:pt>
              </c:numCache>
            </c:numRef>
          </c:yVal>
        </c:ser>
        <c:axId val="37034624"/>
        <c:axId val="37056896"/>
      </c:scatterChart>
      <c:valAx>
        <c:axId val="37034624"/>
        <c:scaling>
          <c:orientation val="minMax"/>
          <c:max val="2.5"/>
          <c:min val="-2.5"/>
        </c:scaling>
        <c:axPos val="b"/>
        <c:majorGridlines/>
        <c:numFmt formatCode="General" sourceLinked="1"/>
        <c:tickLblPos val="nextTo"/>
        <c:crossAx val="37056896"/>
        <c:crosses val="autoZero"/>
        <c:crossBetween val="midCat"/>
      </c:valAx>
      <c:valAx>
        <c:axId val="37056896"/>
        <c:scaling>
          <c:orientation val="minMax"/>
          <c:max val="2.5"/>
          <c:min val="-2.5"/>
        </c:scaling>
        <c:axPos val="l"/>
        <c:majorGridlines/>
        <c:numFmt formatCode="General" sourceLinked="1"/>
        <c:tickLblPos val="nextTo"/>
        <c:crossAx val="3703462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>
        <c:manualLayout>
          <c:layoutTarget val="inner"/>
          <c:xMode val="edge"/>
          <c:yMode val="edge"/>
          <c:x val="4.8622027744303138E-2"/>
          <c:y val="2.3239179184056179E-2"/>
          <c:w val="0.9017127836732145"/>
          <c:h val="0.95352164163189279"/>
        </c:manualLayout>
      </c:layout>
      <c:scatterChart>
        <c:scatterStyle val="lineMarker"/>
        <c:ser>
          <c:idx val="1"/>
          <c:order val="0"/>
          <c:tx>
            <c:v>Downhill</c:v>
          </c:tx>
          <c:spPr>
            <a:ln w="6350">
              <a:solidFill>
                <a:srgbClr val="C00000"/>
              </a:solidFill>
            </a:ln>
          </c:spPr>
          <c:marker>
            <c:symbol val="square"/>
            <c:size val="7"/>
          </c:marker>
          <c:dPt>
            <c:idx val="12"/>
            <c:marker>
              <c:spPr>
                <a:solidFill>
                  <a:srgbClr val="FFFF00"/>
                </a:solidFill>
              </c:spPr>
            </c:marker>
          </c:dPt>
          <c:xVal>
            <c:numRef>
              <c:f>Down_05!$E$11:$Y$11</c:f>
              <c:numCache>
                <c:formatCode>General</c:formatCode>
                <c:ptCount val="21"/>
                <c:pt idx="0">
                  <c:v>1.9320000000000002</c:v>
                </c:pt>
                <c:pt idx="1">
                  <c:v>1.9135099631979111</c:v>
                </c:pt>
                <c:pt idx="2">
                  <c:v>0.88702951091336035</c:v>
                </c:pt>
                <c:pt idx="3">
                  <c:v>0.30519118194471972</c:v>
                </c:pt>
                <c:pt idx="4">
                  <c:v>-2.4041046155066192E-2</c:v>
                </c:pt>
                <c:pt idx="5">
                  <c:v>-0.20936707960856449</c:v>
                </c:pt>
                <c:pt idx="6">
                  <c:v>-0.31274644171429733</c:v>
                </c:pt>
                <c:pt idx="7">
                  <c:v>-0.36964483730706466</c:v>
                </c:pt>
                <c:pt idx="8">
                  <c:v>-0.4003865128932298</c:v>
                </c:pt>
                <c:pt idx="9">
                  <c:v>-0.41659244175457832</c:v>
                </c:pt>
                <c:pt idx="10">
                  <c:v>-0.4248659115682023</c:v>
                </c:pt>
                <c:pt idx="11">
                  <c:v>-0.42891774223718393</c:v>
                </c:pt>
                <c:pt idx="12">
                  <c:v>-0.43079786643265994</c:v>
                </c:pt>
                <c:pt idx="13">
                  <c:v>-0.43161073642358572</c:v>
                </c:pt>
                <c:pt idx="14">
                  <c:v>-0.43193056524020879</c:v>
                </c:pt>
                <c:pt idx="15">
                  <c:v>-0.4320411629901928</c:v>
                </c:pt>
                <c:pt idx="16">
                  <c:v>-0.43207298535638516</c:v>
                </c:pt>
                <c:pt idx="17">
                  <c:v>-0.43207992550342222</c:v>
                </c:pt>
                <c:pt idx="18">
                  <c:v>-0.43208088586198912</c:v>
                </c:pt>
                <c:pt idx="19">
                  <c:v>-0.43208094235440964</c:v>
                </c:pt>
                <c:pt idx="20">
                  <c:v>-0.43208094276676778</c:v>
                </c:pt>
              </c:numCache>
            </c:numRef>
          </c:xVal>
          <c:yVal>
            <c:numRef>
              <c:f>Down_05!$E$12:$Y$12</c:f>
              <c:numCache>
                <c:formatCode>General</c:formatCode>
                <c:ptCount val="21"/>
                <c:pt idx="0">
                  <c:v>0.51800000000000002</c:v>
                </c:pt>
                <c:pt idx="1">
                  <c:v>0.51457301062173555</c:v>
                </c:pt>
                <c:pt idx="2">
                  <c:v>0.28831778649307771</c:v>
                </c:pt>
                <c:pt idx="3">
                  <c:v>0.11466635138477155</c:v>
                </c:pt>
                <c:pt idx="4">
                  <c:v>-1.0426439302752E-2</c:v>
                </c:pt>
                <c:pt idx="5">
                  <c:v>-9.6805408614937027E-2</c:v>
                </c:pt>
                <c:pt idx="6">
                  <c:v>-0.15452062940981059</c:v>
                </c:pt>
                <c:pt idx="7">
                  <c:v>-0.19197658842445042</c:v>
                </c:pt>
                <c:pt idx="8">
                  <c:v>-0.21559775072073928</c:v>
                </c:pt>
                <c:pt idx="9">
                  <c:v>-0.23004528080997022</c:v>
                </c:pt>
                <c:pt idx="10">
                  <c:v>-0.23858090859511649</c:v>
                </c:pt>
                <c:pt idx="11">
                  <c:v>-0.24342117873379332</c:v>
                </c:pt>
                <c:pt idx="12">
                  <c:v>-0.24603152646392834</c:v>
                </c:pt>
                <c:pt idx="13">
                  <c:v>-0.24735283116837747</c:v>
                </c:pt>
                <c:pt idx="14">
                  <c:v>-0.24796867650335241</c:v>
                </c:pt>
                <c:pt idx="15">
                  <c:v>-0.24822546979603755</c:v>
                </c:pt>
                <c:pt idx="16">
                  <c:v>-0.24831696831994587</c:v>
                </c:pt>
                <c:pt idx="17">
                  <c:v>-0.24834271131471775</c:v>
                </c:pt>
                <c:pt idx="18">
                  <c:v>-0.24834762191516235</c:v>
                </c:pt>
                <c:pt idx="19">
                  <c:v>-0.24834806985988267</c:v>
                </c:pt>
                <c:pt idx="20">
                  <c:v>-0.24834807652367374</c:v>
                </c:pt>
              </c:numCache>
            </c:numRef>
          </c:yVal>
        </c:ser>
        <c:axId val="37093760"/>
        <c:axId val="37095296"/>
      </c:scatterChart>
      <c:valAx>
        <c:axId val="37093760"/>
        <c:scaling>
          <c:orientation val="minMax"/>
          <c:max val="0.5"/>
          <c:min val="-0.5"/>
        </c:scaling>
        <c:axPos val="b"/>
        <c:majorGridlines/>
        <c:numFmt formatCode="General" sourceLinked="1"/>
        <c:tickLblPos val="nextTo"/>
        <c:crossAx val="37095296"/>
        <c:crosses val="autoZero"/>
        <c:crossBetween val="midCat"/>
      </c:valAx>
      <c:valAx>
        <c:axId val="37095296"/>
        <c:scaling>
          <c:orientation val="minMax"/>
          <c:max val="0.5"/>
          <c:min val="-0.5"/>
        </c:scaling>
        <c:axPos val="l"/>
        <c:majorGridlines/>
        <c:numFmt formatCode="General" sourceLinked="1"/>
        <c:tickLblPos val="nextTo"/>
        <c:crossAx val="3709376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tx>
            <c:strRef>
              <c:f>Down_05!$AB$4</c:f>
              <c:strCache>
                <c:ptCount val="1"/>
                <c:pt idx="0">
                  <c:v>0,5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3580995808641574"/>
                  <c:y val="4.1018236860872984E-2"/>
                </c:manualLayout>
              </c:layout>
              <c:numFmt formatCode="General" sourceLinked="0"/>
            </c:trendlineLbl>
          </c:trendline>
          <c:xVal>
            <c:numRef>
              <c:f>Down_05!$AA$5:$AA$14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Down_05!$AB$5:$AB$14</c:f>
              <c:numCache>
                <c:formatCode>General</c:formatCode>
                <c:ptCount val="10"/>
                <c:pt idx="1">
                  <c:v>9.4E-2</c:v>
                </c:pt>
                <c:pt idx="3">
                  <c:v>0.126</c:v>
                </c:pt>
                <c:pt idx="5">
                  <c:v>0.17</c:v>
                </c:pt>
                <c:pt idx="7">
                  <c:v>0.223</c:v>
                </c:pt>
                <c:pt idx="9">
                  <c:v>0.27400000000000002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Down_05!$AC$4</c:f>
              <c:strCache>
                <c:ptCount val="1"/>
                <c:pt idx="0">
                  <c:v>1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3580995808641574"/>
                  <c:y val="-4.68608244671819E-2"/>
                </c:manualLayout>
              </c:layout>
              <c:numFmt formatCode="General" sourceLinked="0"/>
              <c:spPr>
                <a:noFill/>
              </c:spPr>
            </c:trendlineLbl>
          </c:trendline>
          <c:xVal>
            <c:numRef>
              <c:f>Down_05!$AA$5:$AA$14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Down_05!$AC$5:$AC$14</c:f>
              <c:numCache>
                <c:formatCode>General</c:formatCode>
                <c:ptCount val="10"/>
                <c:pt idx="1">
                  <c:v>0.19400000000000001</c:v>
                </c:pt>
                <c:pt idx="3">
                  <c:v>0.27200000000000002</c:v>
                </c:pt>
                <c:pt idx="5">
                  <c:v>0.372</c:v>
                </c:pt>
                <c:pt idx="7">
                  <c:v>0.48699999999999999</c:v>
                </c:pt>
                <c:pt idx="9">
                  <c:v>0.60899999999999999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Down_05!$AD$4</c:f>
              <c:strCache>
                <c:ptCount val="1"/>
                <c:pt idx="0">
                  <c:v>1,5</c:v>
                </c:pt>
              </c:strCache>
            </c:strRef>
          </c:tx>
          <c:dPt>
            <c:idx val="8"/>
            <c:spPr>
              <a:ln>
                <a:noFill/>
              </a:ln>
            </c:spPr>
          </c:dPt>
          <c:trendline>
            <c:trendlineType val="linear"/>
            <c:dispEq val="1"/>
            <c:trendlineLbl>
              <c:layout>
                <c:manualLayout>
                  <c:x val="0.12898072625158807"/>
                  <c:y val="-5.2463552961609927E-2"/>
                </c:manualLayout>
              </c:layout>
              <c:numFmt formatCode="General" sourceLinked="0"/>
              <c:spPr>
                <a:solidFill>
                  <a:srgbClr val="FFFF99"/>
                </a:solidFill>
              </c:spPr>
            </c:trendlineLbl>
          </c:trendline>
          <c:xVal>
            <c:numRef>
              <c:f>Down_05!$AA$5:$AA$14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Down_05!$AD$5:$AD$14</c:f>
              <c:numCache>
                <c:formatCode>General</c:formatCode>
                <c:ptCount val="10"/>
                <c:pt idx="1">
                  <c:v>0.318</c:v>
                </c:pt>
                <c:pt idx="3">
                  <c:v>0.45300000000000001</c:v>
                </c:pt>
                <c:pt idx="5">
                  <c:v>0.623</c:v>
                </c:pt>
                <c:pt idx="7">
                  <c:v>0.81699999999999995</c:v>
                </c:pt>
                <c:pt idx="9">
                  <c:v>1.02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Down_05!$AE$4</c:f>
              <c:strCache>
                <c:ptCount val="1"/>
                <c:pt idx="0">
                  <c:v>2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3417396668786585"/>
                  <c:y val="-6.0699297985164082E-2"/>
                </c:manualLayout>
              </c:layout>
              <c:numFmt formatCode="General" sourceLinked="0"/>
            </c:trendlineLbl>
          </c:trendline>
          <c:xVal>
            <c:numRef>
              <c:f>Down_05!$AA$5:$AA$14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Down_05!$AE$5:$AE$14</c:f>
              <c:numCache>
                <c:formatCode>General</c:formatCode>
                <c:ptCount val="10"/>
                <c:pt idx="1">
                  <c:v>0.46899999999999997</c:v>
                </c:pt>
                <c:pt idx="3">
                  <c:v>0.68</c:v>
                </c:pt>
                <c:pt idx="5">
                  <c:v>0.94299999999999995</c:v>
                </c:pt>
                <c:pt idx="7">
                  <c:v>1.23</c:v>
                </c:pt>
                <c:pt idx="9">
                  <c:v>1.53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Down_05!$AF$4</c:f>
              <c:strCache>
                <c:ptCount val="1"/>
                <c:pt idx="0">
                  <c:v>2,5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3253797528931607"/>
                  <c:y val="-4.5107873530596108E-2"/>
                </c:manualLayout>
              </c:layout>
              <c:numFmt formatCode="General" sourceLinked="0"/>
            </c:trendlineLbl>
          </c:trendline>
          <c:xVal>
            <c:numRef>
              <c:f>Down_05!$AA$5:$AA$14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Down_05!$AF$5:$AF$14</c:f>
              <c:numCache>
                <c:formatCode>General</c:formatCode>
                <c:ptCount val="10"/>
                <c:pt idx="1">
                  <c:v>0.67900000000000005</c:v>
                </c:pt>
                <c:pt idx="3">
                  <c:v>0.99399999999999999</c:v>
                </c:pt>
                <c:pt idx="5">
                  <c:v>1.3620000000000001</c:v>
                </c:pt>
                <c:pt idx="7">
                  <c:v>1.7609999999999999</c:v>
                </c:pt>
                <c:pt idx="9">
                  <c:v>2.181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Down_05!$AG$4</c:f>
              <c:strCache>
                <c:ptCount val="1"/>
                <c:pt idx="0">
                  <c:v>3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374459494849668"/>
                  <c:y val="4.8295709801524374E-2"/>
                </c:manualLayout>
              </c:layout>
              <c:numFmt formatCode="General" sourceLinked="0"/>
            </c:trendlineLbl>
          </c:trendline>
          <c:xVal>
            <c:numRef>
              <c:f>Down_05!$AA$5:$AA$14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Down_05!$AG$5:$AG$14</c:f>
              <c:numCache>
                <c:formatCode>General</c:formatCode>
                <c:ptCount val="10"/>
                <c:pt idx="1">
                  <c:v>0.999</c:v>
                </c:pt>
                <c:pt idx="3">
                  <c:v>1.4339999999999999</c:v>
                </c:pt>
                <c:pt idx="5">
                  <c:v>1.931</c:v>
                </c:pt>
                <c:pt idx="7">
                  <c:v>2.4590000000000001</c:v>
                </c:pt>
                <c:pt idx="9">
                  <c:v>3.0009999999999999</c:v>
                </c:pt>
              </c:numCache>
            </c:numRef>
          </c:yVal>
          <c:smooth val="1"/>
        </c:ser>
        <c:axId val="37438592"/>
        <c:axId val="37440128"/>
      </c:scatterChart>
      <c:valAx>
        <c:axId val="37438592"/>
        <c:scaling>
          <c:orientation val="minMax"/>
        </c:scaling>
        <c:axPos val="b"/>
        <c:majorGridlines/>
        <c:numFmt formatCode="General" sourceLinked="1"/>
        <c:tickLblPos val="nextTo"/>
        <c:crossAx val="37440128"/>
        <c:crosses val="autoZero"/>
        <c:crossBetween val="midCat"/>
      </c:valAx>
      <c:valAx>
        <c:axId val="37440128"/>
        <c:scaling>
          <c:orientation val="minMax"/>
          <c:max val="3"/>
          <c:min val="0"/>
        </c:scaling>
        <c:axPos val="l"/>
        <c:majorGridlines/>
        <c:numFmt formatCode="General" sourceLinked="1"/>
        <c:tickLblPos val="nextTo"/>
        <c:crossAx val="37438592"/>
        <c:crosses val="autoZero"/>
        <c:crossBetween val="midCat"/>
      </c:valAx>
    </c:plotArea>
    <c:legend>
      <c:legendPos val="r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5"/>
          <c:order val="0"/>
          <c:tx>
            <c:v>0,5 Grad</c:v>
          </c:tx>
          <c:xVal>
            <c:numRef>
              <c:f>Down_05!$AI$28:$AI$36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xVal>
          <c:yVal>
            <c:numRef>
              <c:f>Down_05!$AJ$28:$AJ$36</c:f>
              <c:numCache>
                <c:formatCode>General</c:formatCode>
                <c:ptCount val="9"/>
                <c:pt idx="0">
                  <c:v>2.1999999999999999E-2</c:v>
                </c:pt>
                <c:pt idx="1">
                  <c:v>3.3000000000000002E-2</c:v>
                </c:pt>
                <c:pt idx="2">
                  <c:v>4.3999999999999997E-2</c:v>
                </c:pt>
                <c:pt idx="3">
                  <c:v>5.4999999999999993E-2</c:v>
                </c:pt>
                <c:pt idx="4">
                  <c:v>6.6000000000000003E-2</c:v>
                </c:pt>
                <c:pt idx="5">
                  <c:v>7.6999999999999999E-2</c:v>
                </c:pt>
                <c:pt idx="6">
                  <c:v>8.7999999999999995E-2</c:v>
                </c:pt>
                <c:pt idx="7">
                  <c:v>9.8999999999999991E-2</c:v>
                </c:pt>
                <c:pt idx="8">
                  <c:v>0.10999999999999999</c:v>
                </c:pt>
              </c:numCache>
            </c:numRef>
          </c:yVal>
          <c:smooth val="1"/>
        </c:ser>
        <c:ser>
          <c:idx val="0"/>
          <c:order val="1"/>
          <c:tx>
            <c:v>1 Grad</c:v>
          </c:tx>
          <c:xVal>
            <c:numRef>
              <c:f>Down_05!$AI$28:$AI$36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xVal>
          <c:yVal>
            <c:numRef>
              <c:f>Down_05!$AK$28:$AK$36</c:f>
              <c:numCache>
                <c:formatCode>General</c:formatCode>
                <c:ptCount val="9"/>
                <c:pt idx="0">
                  <c:v>8.7999999999999995E-2</c:v>
                </c:pt>
                <c:pt idx="1">
                  <c:v>0.13200000000000001</c:v>
                </c:pt>
                <c:pt idx="2">
                  <c:v>0.17599999999999999</c:v>
                </c:pt>
                <c:pt idx="3">
                  <c:v>0.21999999999999997</c:v>
                </c:pt>
                <c:pt idx="4">
                  <c:v>0.26400000000000001</c:v>
                </c:pt>
                <c:pt idx="5">
                  <c:v>0.308</c:v>
                </c:pt>
                <c:pt idx="6">
                  <c:v>0.35199999999999998</c:v>
                </c:pt>
                <c:pt idx="7">
                  <c:v>0.39599999999999996</c:v>
                </c:pt>
                <c:pt idx="8">
                  <c:v>0.43999999999999995</c:v>
                </c:pt>
              </c:numCache>
            </c:numRef>
          </c:yVal>
          <c:smooth val="1"/>
        </c:ser>
        <c:ser>
          <c:idx val="1"/>
          <c:order val="2"/>
          <c:tx>
            <c:v>1,5 Grad</c:v>
          </c:tx>
          <c:xVal>
            <c:numRef>
              <c:f>Down_05!$AI$28:$AI$36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xVal>
          <c:yVal>
            <c:numRef>
              <c:f>Down_05!$AL$28:$AL$36</c:f>
              <c:numCache>
                <c:formatCode>General</c:formatCode>
                <c:ptCount val="9"/>
                <c:pt idx="0">
                  <c:v>0.19800000000000001</c:v>
                </c:pt>
                <c:pt idx="1">
                  <c:v>0.29700000000000004</c:v>
                </c:pt>
                <c:pt idx="2">
                  <c:v>0.39600000000000002</c:v>
                </c:pt>
                <c:pt idx="3">
                  <c:v>0.495</c:v>
                </c:pt>
                <c:pt idx="4">
                  <c:v>0.59400000000000008</c:v>
                </c:pt>
                <c:pt idx="5">
                  <c:v>0.69300000000000006</c:v>
                </c:pt>
                <c:pt idx="6">
                  <c:v>0.79200000000000004</c:v>
                </c:pt>
                <c:pt idx="7">
                  <c:v>0.89100000000000001</c:v>
                </c:pt>
                <c:pt idx="8">
                  <c:v>0.99</c:v>
                </c:pt>
              </c:numCache>
            </c:numRef>
          </c:yVal>
          <c:smooth val="1"/>
        </c:ser>
        <c:ser>
          <c:idx val="2"/>
          <c:order val="3"/>
          <c:tx>
            <c:v>2 Grad</c:v>
          </c:tx>
          <c:xVal>
            <c:numRef>
              <c:f>Down_05!$AI$28:$AI$36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xVal>
          <c:yVal>
            <c:numRef>
              <c:f>Down_05!$AM$28:$AM$36</c:f>
              <c:numCache>
                <c:formatCode>General</c:formatCode>
                <c:ptCount val="9"/>
                <c:pt idx="0">
                  <c:v>0.35199999999999998</c:v>
                </c:pt>
                <c:pt idx="1">
                  <c:v>0.52800000000000002</c:v>
                </c:pt>
                <c:pt idx="2">
                  <c:v>0.70399999999999996</c:v>
                </c:pt>
                <c:pt idx="3">
                  <c:v>0.87999999999999989</c:v>
                </c:pt>
                <c:pt idx="4">
                  <c:v>1.056</c:v>
                </c:pt>
                <c:pt idx="5">
                  <c:v>1.232</c:v>
                </c:pt>
                <c:pt idx="6">
                  <c:v>1.4079999999999999</c:v>
                </c:pt>
                <c:pt idx="7">
                  <c:v>1.5839999999999999</c:v>
                </c:pt>
                <c:pt idx="8">
                  <c:v>1.7599999999999998</c:v>
                </c:pt>
              </c:numCache>
            </c:numRef>
          </c:yVal>
          <c:smooth val="1"/>
        </c:ser>
        <c:ser>
          <c:idx val="3"/>
          <c:order val="4"/>
          <c:tx>
            <c:v>2,5 Grad</c:v>
          </c:tx>
          <c:xVal>
            <c:numRef>
              <c:f>Down_05!$AI$28:$AI$36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xVal>
          <c:yVal>
            <c:numRef>
              <c:f>Down_05!$AN$28:$AN$36</c:f>
              <c:numCache>
                <c:formatCode>General</c:formatCode>
                <c:ptCount val="9"/>
                <c:pt idx="0">
                  <c:v>0.54999999999999993</c:v>
                </c:pt>
                <c:pt idx="1">
                  <c:v>0.82499999999999996</c:v>
                </c:pt>
                <c:pt idx="2">
                  <c:v>1.0999999999999999</c:v>
                </c:pt>
                <c:pt idx="3">
                  <c:v>1.3749999999999998</c:v>
                </c:pt>
                <c:pt idx="4">
                  <c:v>1.65</c:v>
                </c:pt>
                <c:pt idx="5">
                  <c:v>1.9249999999999998</c:v>
                </c:pt>
                <c:pt idx="6">
                  <c:v>2.1999999999999997</c:v>
                </c:pt>
                <c:pt idx="7">
                  <c:v>2.4749999999999996</c:v>
                </c:pt>
                <c:pt idx="8">
                  <c:v>2.7499999999999996</c:v>
                </c:pt>
              </c:numCache>
            </c:numRef>
          </c:yVal>
          <c:smooth val="1"/>
        </c:ser>
        <c:ser>
          <c:idx val="4"/>
          <c:order val="5"/>
          <c:tx>
            <c:v>3 Grad</c:v>
          </c:tx>
          <c:xVal>
            <c:numRef>
              <c:f>Down_05!$AI$28:$AI$36</c:f>
              <c:numCache>
                <c:formatCode>General</c:formatCode>
                <c:ptCount val="9"/>
                <c:pt idx="0">
                  <c:v>1</c:v>
                </c:pt>
                <c:pt idx="1">
                  <c:v>1.5</c:v>
                </c:pt>
                <c:pt idx="2">
                  <c:v>2</c:v>
                </c:pt>
                <c:pt idx="3">
                  <c:v>2.5</c:v>
                </c:pt>
                <c:pt idx="4">
                  <c:v>3</c:v>
                </c:pt>
                <c:pt idx="5">
                  <c:v>3.5</c:v>
                </c:pt>
                <c:pt idx="6">
                  <c:v>4</c:v>
                </c:pt>
                <c:pt idx="7">
                  <c:v>4.5</c:v>
                </c:pt>
                <c:pt idx="8">
                  <c:v>5</c:v>
                </c:pt>
              </c:numCache>
            </c:numRef>
          </c:xVal>
          <c:yVal>
            <c:numRef>
              <c:f>Down_05!$AO$28:$AO$36</c:f>
              <c:numCache>
                <c:formatCode>General</c:formatCode>
                <c:ptCount val="9"/>
                <c:pt idx="0">
                  <c:v>0.79200000000000004</c:v>
                </c:pt>
                <c:pt idx="1">
                  <c:v>1.1880000000000002</c:v>
                </c:pt>
                <c:pt idx="2">
                  <c:v>1.5840000000000001</c:v>
                </c:pt>
                <c:pt idx="3">
                  <c:v>1.98</c:v>
                </c:pt>
                <c:pt idx="4">
                  <c:v>2.3760000000000003</c:v>
                </c:pt>
                <c:pt idx="5">
                  <c:v>2.7720000000000002</c:v>
                </c:pt>
                <c:pt idx="6">
                  <c:v>3.1680000000000001</c:v>
                </c:pt>
                <c:pt idx="7">
                  <c:v>3.5640000000000001</c:v>
                </c:pt>
                <c:pt idx="8">
                  <c:v>3.96</c:v>
                </c:pt>
              </c:numCache>
            </c:numRef>
          </c:yVal>
          <c:smooth val="1"/>
        </c:ser>
        <c:axId val="37740928"/>
        <c:axId val="37742464"/>
      </c:scatterChart>
      <c:valAx>
        <c:axId val="37740928"/>
        <c:scaling>
          <c:orientation val="minMax"/>
        </c:scaling>
        <c:axPos val="b"/>
        <c:majorGridlines/>
        <c:numFmt formatCode="General" sourceLinked="1"/>
        <c:tickLblPos val="nextTo"/>
        <c:crossAx val="37742464"/>
        <c:crosses val="autoZero"/>
        <c:crossBetween val="midCat"/>
      </c:valAx>
      <c:valAx>
        <c:axId val="37742464"/>
        <c:scaling>
          <c:orientation val="minMax"/>
          <c:max val="3"/>
          <c:min val="0"/>
        </c:scaling>
        <c:axPos val="l"/>
        <c:majorGridlines/>
        <c:numFmt formatCode="General" sourceLinked="1"/>
        <c:tickLblPos val="nextTo"/>
        <c:crossAx val="3774092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/>
      <c:scatterChart>
        <c:scatterStyle val="lineMarker"/>
        <c:ser>
          <c:idx val="1"/>
          <c:order val="0"/>
          <c:tx>
            <c:v>Downhill</c:v>
          </c:tx>
          <c:spPr>
            <a:ln w="6350">
              <a:solidFill>
                <a:srgbClr val="C00000"/>
              </a:solidFill>
            </a:ln>
          </c:spPr>
          <c:marker>
            <c:symbol val="square"/>
            <c:size val="7"/>
          </c:marker>
          <c:xVal>
            <c:numRef>
              <c:f>Down_10!$E$11:$Y$11</c:f>
              <c:numCache>
                <c:formatCode>General</c:formatCode>
                <c:ptCount val="21"/>
                <c:pt idx="0">
                  <c:v>1.9999999999999998</c:v>
                </c:pt>
                <c:pt idx="1">
                  <c:v>1.992987676589713</c:v>
                </c:pt>
                <c:pt idx="2">
                  <c:v>1.5711203240975846</c:v>
                </c:pt>
                <c:pt idx="3">
                  <c:v>1.2042334898107341</c:v>
                </c:pt>
                <c:pt idx="4">
                  <c:v>0.88699441601297369</c:v>
                </c:pt>
                <c:pt idx="5">
                  <c:v>0.61446009225674314</c:v>
                </c:pt>
                <c:pt idx="6">
                  <c:v>0.38205422638760744</c:v>
                </c:pt>
                <c:pt idx="7">
                  <c:v>0.18554423688297961</c:v>
                </c:pt>
                <c:pt idx="8">
                  <c:v>2.1018269137383472E-2</c:v>
                </c:pt>
                <c:pt idx="9">
                  <c:v>-0.11513776100281525</c:v>
                </c:pt>
                <c:pt idx="10">
                  <c:v>-0.22626309222269825</c:v>
                </c:pt>
                <c:pt idx="11">
                  <c:v>-0.31544500568193667</c:v>
                </c:pt>
                <c:pt idx="12">
                  <c:v>-0.3855416684052595</c:v>
                </c:pt>
                <c:pt idx="13">
                  <c:v>-0.43920492161037972</c:v>
                </c:pt>
                <c:pt idx="14">
                  <c:v>-0.4789029986426252</c:v>
                </c:pt>
                <c:pt idx="15">
                  <c:v>-0.50694314896055559</c:v>
                </c:pt>
                <c:pt idx="16">
                  <c:v>-0.5254941294910962</c:v>
                </c:pt>
                <c:pt idx="17">
                  <c:v>-0.53660849393787968</c:v>
                </c:pt>
                <c:pt idx="18">
                  <c:v>-0.54224453870139255</c:v>
                </c:pt>
                <c:pt idx="19">
                  <c:v>-0.54428755359106429</c:v>
                </c:pt>
                <c:pt idx="20">
                  <c:v>-0.54456902892253822</c:v>
                </c:pt>
              </c:numCache>
            </c:numRef>
          </c:xVal>
          <c:yVal>
            <c:numRef>
              <c:f>Down_10!$E$12:$Y$12</c:f>
              <c:numCache>
                <c:formatCode>General</c:formatCode>
                <c:ptCount val="21"/>
                <c:pt idx="0">
                  <c:v>1.9999999999999998</c:v>
                </c:pt>
                <c:pt idx="1">
                  <c:v>1.994584564651434</c:v>
                </c:pt>
                <c:pt idx="2">
                  <c:v>1.6519197157588623</c:v>
                </c:pt>
                <c:pt idx="3">
                  <c:v>1.3257758830169371</c:v>
                </c:pt>
                <c:pt idx="4">
                  <c:v>1.0203718497708651</c:v>
                </c:pt>
                <c:pt idx="5">
                  <c:v>0.73779795403404402</c:v>
                </c:pt>
                <c:pt idx="6">
                  <c:v>0.47879007518529049</c:v>
                </c:pt>
                <c:pt idx="7">
                  <c:v>0.2432416293190014</c:v>
                </c:pt>
                <c:pt idx="8">
                  <c:v>3.0542537563093664E-2</c:v>
                </c:pt>
                <c:pt idx="9">
                  <c:v>-0.16019672130887042</c:v>
                </c:pt>
                <c:pt idx="10">
                  <c:v>-0.32999769724847727</c:v>
                </c:pt>
                <c:pt idx="11">
                  <c:v>-0.4799177966325292</c:v>
                </c:pt>
                <c:pt idx="12">
                  <c:v>-0.61098839437743546</c:v>
                </c:pt>
                <c:pt idx="13">
                  <c:v>-0.7241758550724362</c:v>
                </c:pt>
                <c:pt idx="14">
                  <c:v>-0.82035781370462946</c:v>
                </c:pt>
                <c:pt idx="15">
                  <c:v>-0.90030958631158997</c:v>
                </c:pt>
                <c:pt idx="16">
                  <c:v>-0.96469733144360603</c:v>
                </c:pt>
                <c:pt idx="17">
                  <c:v>-1.0140759011663265</c:v>
                </c:pt>
                <c:pt idx="18">
                  <c:v>-1.0488906173874515</c:v>
                </c:pt>
                <c:pt idx="19">
                  <c:v>-1.0694847490040065</c:v>
                </c:pt>
                <c:pt idx="20">
                  <c:v>-1.0761329749517738</c:v>
                </c:pt>
              </c:numCache>
            </c:numRef>
          </c:yVal>
        </c:ser>
        <c:axId val="37906688"/>
        <c:axId val="37920768"/>
      </c:scatterChart>
      <c:valAx>
        <c:axId val="37906688"/>
        <c:scaling>
          <c:orientation val="minMax"/>
          <c:max val="2.5"/>
          <c:min val="-2.5"/>
        </c:scaling>
        <c:axPos val="b"/>
        <c:majorGridlines/>
        <c:numFmt formatCode="General" sourceLinked="1"/>
        <c:tickLblPos val="nextTo"/>
        <c:crossAx val="37920768"/>
        <c:crosses val="autoZero"/>
        <c:crossBetween val="midCat"/>
      </c:valAx>
      <c:valAx>
        <c:axId val="37920768"/>
        <c:scaling>
          <c:orientation val="minMax"/>
          <c:max val="2.5"/>
          <c:min val="-2.5"/>
        </c:scaling>
        <c:axPos val="l"/>
        <c:majorGridlines/>
        <c:numFmt formatCode="General" sourceLinked="1"/>
        <c:tickLblPos val="nextTo"/>
        <c:crossAx val="37906688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>
        <c:manualLayout>
          <c:layoutTarget val="inner"/>
          <c:xMode val="edge"/>
          <c:yMode val="edge"/>
          <c:x val="5.4653013734107983E-2"/>
          <c:y val="2.3239179184056213E-2"/>
          <c:w val="0.89164936857120003"/>
          <c:h val="0.95352164163189301"/>
        </c:manualLayout>
      </c:layout>
      <c:scatterChart>
        <c:scatterStyle val="lineMarker"/>
        <c:ser>
          <c:idx val="1"/>
          <c:order val="0"/>
          <c:tx>
            <c:v>Downhill</c:v>
          </c:tx>
          <c:spPr>
            <a:ln w="6350">
              <a:solidFill>
                <a:srgbClr val="C00000"/>
              </a:solidFill>
            </a:ln>
          </c:spPr>
          <c:marker>
            <c:symbol val="square"/>
            <c:size val="7"/>
          </c:marker>
          <c:dPt>
            <c:idx val="12"/>
            <c:marker>
              <c:spPr>
                <a:solidFill>
                  <a:srgbClr val="FFFF00"/>
                </a:solidFill>
              </c:spPr>
            </c:marker>
          </c:dPt>
          <c:xVal>
            <c:numRef>
              <c:f>Down_10!$E$11:$Y$11</c:f>
              <c:numCache>
                <c:formatCode>General</c:formatCode>
                <c:ptCount val="21"/>
                <c:pt idx="0">
                  <c:v>1.9999999999999998</c:v>
                </c:pt>
                <c:pt idx="1">
                  <c:v>1.992987676589713</c:v>
                </c:pt>
                <c:pt idx="2">
                  <c:v>1.5711203240975846</c:v>
                </c:pt>
                <c:pt idx="3">
                  <c:v>1.2042334898107341</c:v>
                </c:pt>
                <c:pt idx="4">
                  <c:v>0.88699441601297369</c:v>
                </c:pt>
                <c:pt idx="5">
                  <c:v>0.61446009225674314</c:v>
                </c:pt>
                <c:pt idx="6">
                  <c:v>0.38205422638760744</c:v>
                </c:pt>
                <c:pt idx="7">
                  <c:v>0.18554423688297961</c:v>
                </c:pt>
                <c:pt idx="8">
                  <c:v>2.1018269137383472E-2</c:v>
                </c:pt>
                <c:pt idx="9">
                  <c:v>-0.11513776100281525</c:v>
                </c:pt>
                <c:pt idx="10">
                  <c:v>-0.22626309222269825</c:v>
                </c:pt>
                <c:pt idx="11">
                  <c:v>-0.31544500568193667</c:v>
                </c:pt>
                <c:pt idx="12">
                  <c:v>-0.3855416684052595</c:v>
                </c:pt>
                <c:pt idx="13">
                  <c:v>-0.43920492161037972</c:v>
                </c:pt>
                <c:pt idx="14">
                  <c:v>-0.4789029986426252</c:v>
                </c:pt>
                <c:pt idx="15">
                  <c:v>-0.50694314896055559</c:v>
                </c:pt>
                <c:pt idx="16">
                  <c:v>-0.5254941294910962</c:v>
                </c:pt>
                <c:pt idx="17">
                  <c:v>-0.53660849393787968</c:v>
                </c:pt>
                <c:pt idx="18">
                  <c:v>-0.54224453870139255</c:v>
                </c:pt>
                <c:pt idx="19">
                  <c:v>-0.54428755359106429</c:v>
                </c:pt>
                <c:pt idx="20">
                  <c:v>-0.54456902892253822</c:v>
                </c:pt>
              </c:numCache>
            </c:numRef>
          </c:xVal>
          <c:yVal>
            <c:numRef>
              <c:f>Down_10!$E$12:$Y$12</c:f>
              <c:numCache>
                <c:formatCode>General</c:formatCode>
                <c:ptCount val="21"/>
                <c:pt idx="0">
                  <c:v>1.9999999999999998</c:v>
                </c:pt>
                <c:pt idx="1">
                  <c:v>1.994584564651434</c:v>
                </c:pt>
                <c:pt idx="2">
                  <c:v>1.6519197157588623</c:v>
                </c:pt>
                <c:pt idx="3">
                  <c:v>1.3257758830169371</c:v>
                </c:pt>
                <c:pt idx="4">
                  <c:v>1.0203718497708651</c:v>
                </c:pt>
                <c:pt idx="5">
                  <c:v>0.73779795403404402</c:v>
                </c:pt>
                <c:pt idx="6">
                  <c:v>0.47879007518529049</c:v>
                </c:pt>
                <c:pt idx="7">
                  <c:v>0.2432416293190014</c:v>
                </c:pt>
                <c:pt idx="8">
                  <c:v>3.0542537563093664E-2</c:v>
                </c:pt>
                <c:pt idx="9">
                  <c:v>-0.16019672130887042</c:v>
                </c:pt>
                <c:pt idx="10">
                  <c:v>-0.32999769724847727</c:v>
                </c:pt>
                <c:pt idx="11">
                  <c:v>-0.4799177966325292</c:v>
                </c:pt>
                <c:pt idx="12">
                  <c:v>-0.61098839437743546</c:v>
                </c:pt>
                <c:pt idx="13">
                  <c:v>-0.7241758550724362</c:v>
                </c:pt>
                <c:pt idx="14">
                  <c:v>-0.82035781370462946</c:v>
                </c:pt>
                <c:pt idx="15">
                  <c:v>-0.90030958631158997</c:v>
                </c:pt>
                <c:pt idx="16">
                  <c:v>-0.96469733144360603</c:v>
                </c:pt>
                <c:pt idx="17">
                  <c:v>-1.0140759011663265</c:v>
                </c:pt>
                <c:pt idx="18">
                  <c:v>-1.0488906173874515</c:v>
                </c:pt>
                <c:pt idx="19">
                  <c:v>-1.0694847490040065</c:v>
                </c:pt>
                <c:pt idx="20">
                  <c:v>-1.0761329749517738</c:v>
                </c:pt>
              </c:numCache>
            </c:numRef>
          </c:yVal>
        </c:ser>
        <c:axId val="37937152"/>
        <c:axId val="37938688"/>
      </c:scatterChart>
      <c:valAx>
        <c:axId val="37937152"/>
        <c:scaling>
          <c:orientation val="minMax"/>
          <c:max val="0.5"/>
          <c:min val="-0.5"/>
        </c:scaling>
        <c:axPos val="b"/>
        <c:majorGridlines/>
        <c:numFmt formatCode="General" sourceLinked="1"/>
        <c:tickLblPos val="nextTo"/>
        <c:crossAx val="37938688"/>
        <c:crosses val="autoZero"/>
        <c:crossBetween val="midCat"/>
      </c:valAx>
      <c:valAx>
        <c:axId val="37938688"/>
        <c:scaling>
          <c:orientation val="minMax"/>
          <c:max val="0.5"/>
          <c:min val="-0.5"/>
        </c:scaling>
        <c:axPos val="l"/>
        <c:majorGridlines/>
        <c:numFmt formatCode="General" sourceLinked="1"/>
        <c:tickLblPos val="nextTo"/>
        <c:crossAx val="3793715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tx>
            <c:strRef>
              <c:f>Down_10!$AB$4</c:f>
              <c:strCache>
                <c:ptCount val="1"/>
                <c:pt idx="0">
                  <c:v>0,5</c:v>
                </c:pt>
              </c:strCache>
            </c:strRef>
          </c:tx>
          <c:xVal>
            <c:numRef>
              <c:f>Down_10!$AA$5:$AA$14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Down_10!$AB$5:$AB$14</c:f>
              <c:numCache>
                <c:formatCode>General</c:formatCode>
                <c:ptCount val="10"/>
              </c:numCache>
            </c:numRef>
          </c:yVal>
          <c:smooth val="1"/>
        </c:ser>
        <c:ser>
          <c:idx val="1"/>
          <c:order val="1"/>
          <c:tx>
            <c:strRef>
              <c:f>Down_10!$AC$4</c:f>
              <c:strCache>
                <c:ptCount val="1"/>
                <c:pt idx="0">
                  <c:v>1</c:v>
                </c:pt>
              </c:strCache>
            </c:strRef>
          </c:tx>
          <c:trendline>
            <c:trendlineType val="poly"/>
            <c:order val="2"/>
            <c:dispEq val="1"/>
            <c:trendlineLbl>
              <c:layout>
                <c:manualLayout>
                  <c:x val="7.0860673665791823E-2"/>
                  <c:y val="-8.3970596922973068E-2"/>
                </c:manualLayout>
              </c:layout>
              <c:numFmt formatCode="General" sourceLinked="0"/>
              <c:spPr>
                <a:solidFill>
                  <a:srgbClr val="FFFF99"/>
                </a:solidFill>
              </c:spPr>
            </c:trendlineLbl>
          </c:trendline>
          <c:xVal>
            <c:numRef>
              <c:f>Down_10!$AA$5:$AA$14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Down_10!$AC$5:$AC$14</c:f>
              <c:numCache>
                <c:formatCode>General</c:formatCode>
                <c:ptCount val="10"/>
              </c:numCache>
            </c:numRef>
          </c:yVal>
          <c:smooth val="1"/>
        </c:ser>
        <c:ser>
          <c:idx val="2"/>
          <c:order val="2"/>
          <c:tx>
            <c:strRef>
              <c:f>Down_10!$AD$4</c:f>
              <c:strCache>
                <c:ptCount val="1"/>
                <c:pt idx="0">
                  <c:v>1,5</c:v>
                </c:pt>
              </c:strCache>
            </c:strRef>
          </c:tx>
          <c:xVal>
            <c:numRef>
              <c:f>Down_10!$AA$5:$AA$14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Down_10!$AD$5:$AD$14</c:f>
              <c:numCache>
                <c:formatCode>General</c:formatCode>
                <c:ptCount val="10"/>
              </c:numCache>
            </c:numRef>
          </c:yVal>
          <c:smooth val="1"/>
        </c:ser>
        <c:ser>
          <c:idx val="3"/>
          <c:order val="3"/>
          <c:tx>
            <c:strRef>
              <c:f>Down_10!$AE$4</c:f>
              <c:strCache>
                <c:ptCount val="1"/>
                <c:pt idx="0">
                  <c:v>2</c:v>
                </c:pt>
              </c:strCache>
            </c:strRef>
          </c:tx>
          <c:xVal>
            <c:numRef>
              <c:f>Down_10!$AA$5:$AA$14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Down_10!$AE$5:$AE$14</c:f>
              <c:numCache>
                <c:formatCode>General</c:formatCode>
                <c:ptCount val="10"/>
                <c:pt idx="3">
                  <c:v>0.46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Down_10!$AF$4</c:f>
              <c:strCache>
                <c:ptCount val="1"/>
                <c:pt idx="0">
                  <c:v>2,5</c:v>
                </c:pt>
              </c:strCache>
            </c:strRef>
          </c:tx>
          <c:xVal>
            <c:numRef>
              <c:f>Down_10!$AA$5:$AA$14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Down_10!$AF$5:$AF$14</c:f>
              <c:numCache>
                <c:formatCode>General</c:formatCode>
                <c:ptCount val="10"/>
              </c:numCache>
            </c:numRef>
          </c:yVal>
          <c:smooth val="1"/>
        </c:ser>
        <c:ser>
          <c:idx val="5"/>
          <c:order val="5"/>
          <c:tx>
            <c:strRef>
              <c:f>Down_10!$AG$4</c:f>
              <c:strCache>
                <c:ptCount val="1"/>
                <c:pt idx="0">
                  <c:v>3</c:v>
                </c:pt>
              </c:strCache>
            </c:strRef>
          </c:tx>
          <c:xVal>
            <c:numRef>
              <c:f>Down_10!$AA$5:$AA$14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Down_10!$AG$5:$AG$14</c:f>
              <c:numCache>
                <c:formatCode>General</c:formatCode>
                <c:ptCount val="10"/>
              </c:numCache>
            </c:numRef>
          </c:yVal>
          <c:smooth val="1"/>
        </c:ser>
        <c:axId val="101413248"/>
        <c:axId val="101414784"/>
      </c:scatterChart>
      <c:valAx>
        <c:axId val="101413248"/>
        <c:scaling>
          <c:orientation val="minMax"/>
        </c:scaling>
        <c:axPos val="b"/>
        <c:majorGridlines/>
        <c:numFmt formatCode="General" sourceLinked="1"/>
        <c:tickLblPos val="nextTo"/>
        <c:crossAx val="101414784"/>
        <c:crosses val="autoZero"/>
        <c:crossBetween val="midCat"/>
      </c:valAx>
      <c:valAx>
        <c:axId val="101414784"/>
        <c:scaling>
          <c:orientation val="minMax"/>
        </c:scaling>
        <c:axPos val="l"/>
        <c:majorGridlines/>
        <c:numFmt formatCode="General" sourceLinked="1"/>
        <c:tickLblPos val="nextTo"/>
        <c:crossAx val="10141324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/>
      <c:scatterChart>
        <c:scatterStyle val="lineMarker"/>
        <c:ser>
          <c:idx val="1"/>
          <c:order val="0"/>
          <c:tx>
            <c:v>Uphil-00l</c:v>
          </c:tx>
          <c:spPr>
            <a:ln w="6350">
              <a:solidFill>
                <a:srgbClr val="0070C0"/>
              </a:solidFill>
            </a:ln>
          </c:spPr>
          <c:marker>
            <c:symbol val="square"/>
            <c:size val="7"/>
            <c:spPr>
              <a:solidFill>
                <a:srgbClr val="0070C0"/>
              </a:solidFill>
            </c:spPr>
          </c:marker>
          <c:xVal>
            <c:numRef>
              <c:f>Up_00!$E$11:$Y$11</c:f>
              <c:numCache>
                <c:formatCode>General</c:formatCode>
                <c:ptCount val="21"/>
                <c:pt idx="0">
                  <c:v>2</c:v>
                </c:pt>
                <c:pt idx="1">
                  <c:v>1.9984470262249256</c:v>
                </c:pt>
                <c:pt idx="2">
                  <c:v>1.3910903859461756</c:v>
                </c:pt>
                <c:pt idx="3">
                  <c:v>0.98951877712809799</c:v>
                </c:pt>
                <c:pt idx="4">
                  <c:v>0.71687736897743393</c:v>
                </c:pt>
                <c:pt idx="5">
                  <c:v>0.52741825724653846</c:v>
                </c:pt>
                <c:pt idx="6">
                  <c:v>0.39303030253669058</c:v>
                </c:pt>
                <c:pt idx="7">
                  <c:v>0.29594778766013774</c:v>
                </c:pt>
                <c:pt idx="8">
                  <c:v>0.22465896670196517</c:v>
                </c:pt>
                <c:pt idx="9">
                  <c:v>0.17153564540872224</c:v>
                </c:pt>
                <c:pt idx="10">
                  <c:v>0.13142006590949196</c:v>
                </c:pt>
                <c:pt idx="11">
                  <c:v>0.10076056412645351</c:v>
                </c:pt>
                <c:pt idx="12">
                  <c:v>7.7070463333158257E-2</c:v>
                </c:pt>
                <c:pt idx="13">
                  <c:v>5.8582096681339957E-2</c:v>
                </c:pt>
                <c:pt idx="14">
                  <c:v>4.4021288620140098E-2</c:v>
                </c:pt>
                <c:pt idx="15">
                  <c:v>3.2457735485211581E-2</c:v>
                </c:pt>
                <c:pt idx="16">
                  <c:v>2.3204114905464257E-2</c:v>
                </c:pt>
                <c:pt idx="17">
                  <c:v>1.5747025619767152E-2</c:v>
                </c:pt>
                <c:pt idx="18">
                  <c:v>9.6990542358939003E-3</c:v>
                </c:pt>
                <c:pt idx="19">
                  <c:v>4.7650738747531118E-3</c:v>
                </c:pt>
                <c:pt idx="20">
                  <c:v>7.9446391714244058E-4</c:v>
                </c:pt>
              </c:numCache>
            </c:numRef>
          </c:xVal>
          <c:yVal>
            <c:numRef>
              <c:f>Up_00!$E$12:$Y$12</c:f>
              <c:numCache>
                <c:formatCode>General</c:formatCode>
                <c:ptCount val="21"/>
                <c:pt idx="0">
                  <c:v>-2</c:v>
                </c:pt>
                <c:pt idx="1">
                  <c:v>-1.99797857997814</c:v>
                </c:pt>
                <c:pt idx="2">
                  <c:v>-1.2427277296347601</c:v>
                </c:pt>
                <c:pt idx="3">
                  <c:v>-0.79002484865978229</c:v>
                </c:pt>
                <c:pt idx="4">
                  <c:v>-0.51105838529434</c:v>
                </c:pt>
                <c:pt idx="5">
                  <c:v>-0.33506728760714877</c:v>
                </c:pt>
                <c:pt idx="6">
                  <c:v>-0.22181178021863635</c:v>
                </c:pt>
                <c:pt idx="7">
                  <c:v>-0.14770417647504153</c:v>
                </c:pt>
                <c:pt idx="8">
                  <c:v>-9.8543135133887239E-2</c:v>
                </c:pt>
                <c:pt idx="9">
                  <c:v>-6.5573430307944047E-2</c:v>
                </c:pt>
                <c:pt idx="10">
                  <c:v>-4.328236095304927E-2</c:v>
                </c:pt>
                <c:pt idx="11">
                  <c:v>-2.813293811888351E-2</c:v>
                </c:pt>
                <c:pt idx="12">
                  <c:v>-1.7817315104661224E-2</c:v>
                </c:pt>
                <c:pt idx="13">
                  <c:v>-1.0806830125272615E-2</c:v>
                </c:pt>
                <c:pt idx="14">
                  <c:v>-6.075239309785152E-3</c:v>
                </c:pt>
                <c:pt idx="15">
                  <c:v>-2.9252930460959004E-3</c:v>
                </c:pt>
                <c:pt idx="16">
                  <c:v>-8.7821270352828051E-4</c:v>
                </c:pt>
                <c:pt idx="17">
                  <c:v>3.9784582383495248E-4</c:v>
                </c:pt>
                <c:pt idx="18">
                  <c:v>1.1347567144692761E-3</c:v>
                </c:pt>
                <c:pt idx="19">
                  <c:v>1.4956619104409263E-3</c:v>
                </c:pt>
                <c:pt idx="20">
                  <c:v>1.5959684209083669E-3</c:v>
                </c:pt>
              </c:numCache>
            </c:numRef>
          </c:yVal>
        </c:ser>
        <c:ser>
          <c:idx val="0"/>
          <c:order val="1"/>
          <c:tx>
            <c:v>Uphill-05</c:v>
          </c:tx>
          <c:xVal>
            <c:numRef>
              <c:f>Up_05!$E$11:$Y$11</c:f>
              <c:numCache>
                <c:formatCode>General</c:formatCode>
                <c:ptCount val="21"/>
                <c:pt idx="0">
                  <c:v>0.51800000000000002</c:v>
                </c:pt>
                <c:pt idx="1">
                  <c:v>0.51551635395187179</c:v>
                </c:pt>
                <c:pt idx="2">
                  <c:v>-8.030293837001401E-2</c:v>
                </c:pt>
                <c:pt idx="3">
                  <c:v>-0.13591920776610711</c:v>
                </c:pt>
                <c:pt idx="4">
                  <c:v>-0.14412755892282314</c:v>
                </c:pt>
                <c:pt idx="5">
                  <c:v>-0.1457699170068395</c:v>
                </c:pt>
                <c:pt idx="6">
                  <c:v>-0.14617813903926935</c:v>
                </c:pt>
                <c:pt idx="7">
                  <c:v>-0.14629749057543862</c:v>
                </c:pt>
                <c:pt idx="8">
                  <c:v>-0.14633706369328303</c:v>
                </c:pt>
                <c:pt idx="9">
                  <c:v>-0.14635156637348101</c:v>
                </c:pt>
                <c:pt idx="10">
                  <c:v>-0.14635733128845374</c:v>
                </c:pt>
                <c:pt idx="11">
                  <c:v>-0.1463597817286636</c:v>
                </c:pt>
                <c:pt idx="12">
                  <c:v>-0.14636088323491503</c:v>
                </c:pt>
                <c:pt idx="13">
                  <c:v>-0.14636140225713401</c:v>
                </c:pt>
                <c:pt idx="14">
                  <c:v>-0.14636165677590507</c:v>
                </c:pt>
                <c:pt idx="15">
                  <c:v>-0.14636178589723792</c:v>
                </c:pt>
                <c:pt idx="16">
                  <c:v>-0.14636185332357976</c:v>
                </c:pt>
                <c:pt idx="17">
                  <c:v>-0.1463618894086246</c:v>
                </c:pt>
                <c:pt idx="18">
                  <c:v>-0.14636190912534153</c:v>
                </c:pt>
                <c:pt idx="19">
                  <c:v>-0.14636192008684257</c:v>
                </c:pt>
                <c:pt idx="20">
                  <c:v>-0.14636192626809941</c:v>
                </c:pt>
              </c:numCache>
            </c:numRef>
          </c:xVal>
          <c:yVal>
            <c:numRef>
              <c:f>Up_05!$E$12:$Y$12</c:f>
              <c:numCache>
                <c:formatCode>General</c:formatCode>
                <c:ptCount val="21"/>
                <c:pt idx="0">
                  <c:v>-1.9319999999999999</c:v>
                </c:pt>
                <c:pt idx="1">
                  <c:v>-1.92194715408685</c:v>
                </c:pt>
                <c:pt idx="2">
                  <c:v>0.29595314599840217</c:v>
                </c:pt>
                <c:pt idx="3">
                  <c:v>0.45574103599648819</c:v>
                </c:pt>
                <c:pt idx="4">
                  <c:v>0.47479765443972433</c:v>
                </c:pt>
                <c:pt idx="5">
                  <c:v>0.47796767690040198</c:v>
                </c:pt>
                <c:pt idx="6">
                  <c:v>0.47863500972746742</c:v>
                </c:pt>
                <c:pt idx="7">
                  <c:v>0.47880227817447274</c:v>
                </c:pt>
                <c:pt idx="8">
                  <c:v>0.47885019217343761</c:v>
                </c:pt>
                <c:pt idx="9">
                  <c:v>0.47886542575718583</c:v>
                </c:pt>
                <c:pt idx="10">
                  <c:v>0.478870685285262</c:v>
                </c:pt>
                <c:pt idx="11">
                  <c:v>0.47887262376523054</c:v>
                </c:pt>
                <c:pt idx="12">
                  <c:v>0.47887337576038247</c:v>
                </c:pt>
                <c:pt idx="13">
                  <c:v>0.4788736790347401</c:v>
                </c:pt>
                <c:pt idx="14">
                  <c:v>0.47887380470444008</c:v>
                </c:pt>
                <c:pt idx="15">
                  <c:v>0.47887385755413892</c:v>
                </c:pt>
                <c:pt idx="16">
                  <c:v>0.47887387977805185</c:v>
                </c:pt>
                <c:pt idx="17">
                  <c:v>0.47887388892686422</c:v>
                </c:pt>
                <c:pt idx="18">
                  <c:v>0.47887389247881096</c:v>
                </c:pt>
                <c:pt idx="19">
                  <c:v>0.47887389366939459</c:v>
                </c:pt>
                <c:pt idx="20">
                  <c:v>0.47887389390539958</c:v>
                </c:pt>
              </c:numCache>
            </c:numRef>
          </c:yVal>
        </c:ser>
        <c:ser>
          <c:idx val="2"/>
          <c:order val="2"/>
          <c:tx>
            <c:v>Uphill-10</c:v>
          </c:tx>
          <c:xVal>
            <c:numRef>
              <c:f>Up_10!$E$11:$Y$11</c:f>
              <c:numCache>
                <c:formatCode>General</c:formatCode>
                <c:ptCount val="21"/>
                <c:pt idx="0">
                  <c:v>2</c:v>
                </c:pt>
                <c:pt idx="1">
                  <c:v>1.9981781032374279</c:v>
                </c:pt>
                <c:pt idx="2">
                  <c:v>1.3059248088942204</c:v>
                </c:pt>
                <c:pt idx="3">
                  <c:v>0.8280177113790077</c:v>
                </c:pt>
                <c:pt idx="4">
                  <c:v>0.4909704873049634</c:v>
                </c:pt>
                <c:pt idx="5">
                  <c:v>0.24871620337089961</c:v>
                </c:pt>
                <c:pt idx="6">
                  <c:v>7.1619540419048944E-2</c:v>
                </c:pt>
                <c:pt idx="7">
                  <c:v>-5.9830383577985202E-2</c:v>
                </c:pt>
                <c:pt idx="8">
                  <c:v>-0.15874894668523654</c:v>
                </c:pt>
                <c:pt idx="9">
                  <c:v>-0.23411987110794463</c:v>
                </c:pt>
                <c:pt idx="10">
                  <c:v>-0.29220290632075008</c:v>
                </c:pt>
                <c:pt idx="11">
                  <c:v>-0.3374283611564679</c:v>
                </c:pt>
                <c:pt idx="12">
                  <c:v>-0.37297691585947002</c:v>
                </c:pt>
                <c:pt idx="13">
                  <c:v>-0.40116231649598966</c:v>
                </c:pt>
                <c:pt idx="14">
                  <c:v>-0.42368820906311999</c:v>
                </c:pt>
                <c:pt idx="15">
                  <c:v>-0.44182317491995526</c:v>
                </c:pt>
                <c:pt idx="16">
                  <c:v>-0.45652172717809458</c:v>
                </c:pt>
                <c:pt idx="17">
                  <c:v>-0.46850906208010379</c:v>
                </c:pt>
                <c:pt idx="18">
                  <c:v>-0.47834115566663549</c:v>
                </c:pt>
                <c:pt idx="19">
                  <c:v>-0.48644786850498134</c:v>
                </c:pt>
                <c:pt idx="20">
                  <c:v>-0.49316406201616614</c:v>
                </c:pt>
              </c:numCache>
            </c:numRef>
          </c:xVal>
          <c:yVal>
            <c:numRef>
              <c:f>Up_10!$E$12:$Y$12</c:f>
              <c:numCache>
                <c:formatCode>General</c:formatCode>
                <c:ptCount val="21"/>
                <c:pt idx="0">
                  <c:v>-2</c:v>
                </c:pt>
                <c:pt idx="1">
                  <c:v>-1.9978388386208366</c:v>
                </c:pt>
                <c:pt idx="2">
                  <c:v>-1.2113095714381847</c:v>
                </c:pt>
                <c:pt idx="3">
                  <c:v>-0.71612650110320697</c:v>
                </c:pt>
                <c:pt idx="4">
                  <c:v>-0.39754106673122225</c:v>
                </c:pt>
                <c:pt idx="5">
                  <c:v>-0.18874590539071257</c:v>
                </c:pt>
                <c:pt idx="6">
                  <c:v>-4.9742172147736463E-2</c:v>
                </c:pt>
                <c:pt idx="7">
                  <c:v>4.4019534966726503E-2</c:v>
                </c:pt>
                <c:pt idx="8">
                  <c:v>0.10794306582507218</c:v>
                </c:pt>
                <c:pt idx="9">
                  <c:v>0.15188661090226363</c:v>
                </c:pt>
                <c:pt idx="10">
                  <c:v>0.18227199508593639</c:v>
                </c:pt>
                <c:pt idx="11">
                  <c:v>0.20334963430049369</c:v>
                </c:pt>
                <c:pt idx="12">
                  <c:v>0.21797330223881772</c:v>
                </c:pt>
                <c:pt idx="13">
                  <c:v>0.22808386309181561</c:v>
                </c:pt>
                <c:pt idx="14">
                  <c:v>0.23501663953119278</c:v>
                </c:pt>
                <c:pt idx="15">
                  <c:v>0.2396998810403983</c:v>
                </c:pt>
                <c:pt idx="16">
                  <c:v>0.24278482057096706</c:v>
                </c:pt>
                <c:pt idx="17">
                  <c:v>0.24473206586704954</c:v>
                </c:pt>
                <c:pt idx="18">
                  <c:v>0.24586970809577213</c:v>
                </c:pt>
                <c:pt idx="19">
                  <c:v>0.24643286060056813</c:v>
                </c:pt>
                <c:pt idx="20">
                  <c:v>0.24659085033650019</c:v>
                </c:pt>
              </c:numCache>
            </c:numRef>
          </c:yVal>
        </c:ser>
        <c:axId val="102504704"/>
        <c:axId val="102526976"/>
      </c:scatterChart>
      <c:valAx>
        <c:axId val="102504704"/>
        <c:scaling>
          <c:orientation val="minMax"/>
          <c:max val="2.5"/>
          <c:min val="-2.5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sz="1000">
                <a:solidFill>
                  <a:sysClr val="windowText" lastClr="000000"/>
                </a:solidFill>
              </a:defRPr>
            </a:pPr>
            <a:endParaRPr lang="de-DE"/>
          </a:p>
        </c:txPr>
        <c:crossAx val="102526976"/>
        <c:crosses val="autoZero"/>
        <c:crossBetween val="midCat"/>
      </c:valAx>
      <c:valAx>
        <c:axId val="102526976"/>
        <c:scaling>
          <c:orientation val="minMax"/>
          <c:max val="2.5"/>
          <c:min val="-2.5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000">
                <a:solidFill>
                  <a:sysClr val="windowText" lastClr="000000"/>
                </a:solidFill>
              </a:defRPr>
            </a:pPr>
            <a:endParaRPr lang="de-DE"/>
          </a:p>
        </c:txPr>
        <c:crossAx val="10250470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4"/>
  <c:chart>
    <c:autoTitleDeleted val="1"/>
    <c:plotArea>
      <c:layout>
        <c:manualLayout>
          <c:layoutTarget val="inner"/>
          <c:xMode val="edge"/>
          <c:yMode val="edge"/>
          <c:x val="4.2645919260092445E-2"/>
          <c:y val="2.3239179184056206E-2"/>
          <c:w val="0.90175415573053352"/>
          <c:h val="0.95352164163189279"/>
        </c:manualLayout>
      </c:layout>
      <c:scatterChart>
        <c:scatterStyle val="lineMarker"/>
        <c:ser>
          <c:idx val="1"/>
          <c:order val="0"/>
          <c:tx>
            <c:v>Downhill</c:v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</c:spPr>
          </c:marker>
          <c:xVal>
            <c:numRef>
              <c:f>Up_00!$E$11:$Y$11</c:f>
              <c:numCache>
                <c:formatCode>General</c:formatCode>
                <c:ptCount val="21"/>
                <c:pt idx="0">
                  <c:v>2</c:v>
                </c:pt>
                <c:pt idx="1">
                  <c:v>1.9984470262249256</c:v>
                </c:pt>
                <c:pt idx="2">
                  <c:v>1.3910903859461756</c:v>
                </c:pt>
                <c:pt idx="3">
                  <c:v>0.98951877712809799</c:v>
                </c:pt>
                <c:pt idx="4">
                  <c:v>0.71687736897743393</c:v>
                </c:pt>
                <c:pt idx="5">
                  <c:v>0.52741825724653846</c:v>
                </c:pt>
                <c:pt idx="6">
                  <c:v>0.39303030253669058</c:v>
                </c:pt>
                <c:pt idx="7">
                  <c:v>0.29594778766013774</c:v>
                </c:pt>
                <c:pt idx="8">
                  <c:v>0.22465896670196517</c:v>
                </c:pt>
                <c:pt idx="9">
                  <c:v>0.17153564540872224</c:v>
                </c:pt>
                <c:pt idx="10">
                  <c:v>0.13142006590949196</c:v>
                </c:pt>
                <c:pt idx="11">
                  <c:v>0.10076056412645351</c:v>
                </c:pt>
                <c:pt idx="12">
                  <c:v>7.7070463333158257E-2</c:v>
                </c:pt>
                <c:pt idx="13">
                  <c:v>5.8582096681339957E-2</c:v>
                </c:pt>
                <c:pt idx="14">
                  <c:v>4.4021288620140098E-2</c:v>
                </c:pt>
                <c:pt idx="15">
                  <c:v>3.2457735485211581E-2</c:v>
                </c:pt>
                <c:pt idx="16">
                  <c:v>2.3204114905464257E-2</c:v>
                </c:pt>
                <c:pt idx="17">
                  <c:v>1.5747025619767152E-2</c:v>
                </c:pt>
                <c:pt idx="18">
                  <c:v>9.6990542358939003E-3</c:v>
                </c:pt>
                <c:pt idx="19">
                  <c:v>4.7650738747531118E-3</c:v>
                </c:pt>
                <c:pt idx="20">
                  <c:v>7.9446391714244058E-4</c:v>
                </c:pt>
              </c:numCache>
            </c:numRef>
          </c:xVal>
          <c:yVal>
            <c:numRef>
              <c:f>Up_00!$E$12:$Y$12</c:f>
              <c:numCache>
                <c:formatCode>General</c:formatCode>
                <c:ptCount val="21"/>
                <c:pt idx="0">
                  <c:v>-2</c:v>
                </c:pt>
                <c:pt idx="1">
                  <c:v>-1.99797857997814</c:v>
                </c:pt>
                <c:pt idx="2">
                  <c:v>-1.2427277296347601</c:v>
                </c:pt>
                <c:pt idx="3">
                  <c:v>-0.79002484865978229</c:v>
                </c:pt>
                <c:pt idx="4">
                  <c:v>-0.51105838529434</c:v>
                </c:pt>
                <c:pt idx="5">
                  <c:v>-0.33506728760714877</c:v>
                </c:pt>
                <c:pt idx="6">
                  <c:v>-0.22181178021863635</c:v>
                </c:pt>
                <c:pt idx="7">
                  <c:v>-0.14770417647504153</c:v>
                </c:pt>
                <c:pt idx="8">
                  <c:v>-9.8543135133887239E-2</c:v>
                </c:pt>
                <c:pt idx="9">
                  <c:v>-6.5573430307944047E-2</c:v>
                </c:pt>
                <c:pt idx="10">
                  <c:v>-4.328236095304927E-2</c:v>
                </c:pt>
                <c:pt idx="11">
                  <c:v>-2.813293811888351E-2</c:v>
                </c:pt>
                <c:pt idx="12">
                  <c:v>-1.7817315104661224E-2</c:v>
                </c:pt>
                <c:pt idx="13">
                  <c:v>-1.0806830125272615E-2</c:v>
                </c:pt>
                <c:pt idx="14">
                  <c:v>-6.075239309785152E-3</c:v>
                </c:pt>
                <c:pt idx="15">
                  <c:v>-2.9252930460959004E-3</c:v>
                </c:pt>
                <c:pt idx="16">
                  <c:v>-8.7821270352828051E-4</c:v>
                </c:pt>
                <c:pt idx="17">
                  <c:v>3.9784582383495248E-4</c:v>
                </c:pt>
                <c:pt idx="18">
                  <c:v>1.1347567144692761E-3</c:v>
                </c:pt>
                <c:pt idx="19">
                  <c:v>1.4956619104409263E-3</c:v>
                </c:pt>
                <c:pt idx="20">
                  <c:v>1.5959684209083669E-3</c:v>
                </c:pt>
              </c:numCache>
            </c:numRef>
          </c:yVal>
        </c:ser>
        <c:axId val="102535552"/>
        <c:axId val="102537472"/>
      </c:scatterChart>
      <c:valAx>
        <c:axId val="102535552"/>
        <c:scaling>
          <c:orientation val="minMax"/>
          <c:max val="0.5"/>
          <c:min val="-0.5"/>
        </c:scaling>
        <c:axPos val="b"/>
        <c:majorGridlines/>
        <c:numFmt formatCode="General" sourceLinked="1"/>
        <c:tickLblPos val="nextTo"/>
        <c:crossAx val="102537472"/>
        <c:crosses val="autoZero"/>
        <c:crossBetween val="midCat"/>
      </c:valAx>
      <c:valAx>
        <c:axId val="102537472"/>
        <c:scaling>
          <c:orientation val="minMax"/>
          <c:max val="0.5"/>
          <c:min val="-0.5"/>
        </c:scaling>
        <c:axPos val="l"/>
        <c:majorGridlines/>
        <c:numFmt formatCode="General" sourceLinked="1"/>
        <c:tickLblPos val="nextTo"/>
        <c:crossAx val="10253555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tx>
            <c:v>Uphill</c:v>
          </c:tx>
          <c:spPr>
            <a:ln w="6350">
              <a:solidFill>
                <a:srgbClr val="0070C0"/>
              </a:solidFill>
            </a:ln>
          </c:spPr>
          <c:marker>
            <c:symbol val="diamond"/>
            <c:size val="8"/>
          </c:marker>
          <c:xVal>
            <c:numRef>
              <c:f>KonstReibung!$F$3:$Z$3</c:f>
              <c:numCache>
                <c:formatCode>0.00</c:formatCode>
                <c:ptCount val="21"/>
                <c:pt idx="0">
                  <c:v>-2</c:v>
                </c:pt>
                <c:pt idx="1">
                  <c:v>-1.7974120420942679</c:v>
                </c:pt>
                <c:pt idx="2">
                  <c:v>-1.604796693665377</c:v>
                </c:pt>
                <c:pt idx="3">
                  <c:v>-1.4221539547133277</c:v>
                </c:pt>
                <c:pt idx="4">
                  <c:v>-1.2494838252381197</c:v>
                </c:pt>
                <c:pt idx="5">
                  <c:v>-1.0867863052397533</c:v>
                </c:pt>
                <c:pt idx="6">
                  <c:v>-0.93406139471822802</c:v>
                </c:pt>
                <c:pt idx="7">
                  <c:v>-0.79130909367354429</c:v>
                </c:pt>
                <c:pt idx="8">
                  <c:v>-0.65852940210570177</c:v>
                </c:pt>
                <c:pt idx="9">
                  <c:v>-0.53572232001470055</c:v>
                </c:pt>
                <c:pt idx="10">
                  <c:v>-0.4228878474005407</c:v>
                </c:pt>
                <c:pt idx="11">
                  <c:v>-0.32002598426322226</c:v>
                </c:pt>
                <c:pt idx="12">
                  <c:v>-0.22713673060274486</c:v>
                </c:pt>
                <c:pt idx="13">
                  <c:v>-0.14422008641910922</c:v>
                </c:pt>
                <c:pt idx="14">
                  <c:v>-7.1276051712314992E-2</c:v>
                </c:pt>
                <c:pt idx="15">
                  <c:v>-8.3046264823620763E-3</c:v>
                </c:pt>
                <c:pt idx="16">
                  <c:v>4.4694189270749973E-2</c:v>
                </c:pt>
                <c:pt idx="17">
                  <c:v>8.7720395547020047E-2</c:v>
                </c:pt>
                <c:pt idx="18">
                  <c:v>0.12077399234644881</c:v>
                </c:pt>
                <c:pt idx="19">
                  <c:v>0.14385497966903582</c:v>
                </c:pt>
                <c:pt idx="20">
                  <c:v>0.15696335751478241</c:v>
                </c:pt>
              </c:numCache>
            </c:numRef>
          </c:xVal>
          <c:yVal>
            <c:numRef>
              <c:f>KonstReibung!$F$4:$Z$4</c:f>
              <c:numCache>
                <c:formatCode>0.00</c:formatCode>
                <c:ptCount val="21"/>
                <c:pt idx="0">
                  <c:v>-2</c:v>
                </c:pt>
                <c:pt idx="1">
                  <c:v>-1.7446063953110362</c:v>
                </c:pt>
                <c:pt idx="2">
                  <c:v>-1.5066517189037461</c:v>
                </c:pt>
                <c:pt idx="3">
                  <c:v>-1.2861359707781297</c:v>
                </c:pt>
                <c:pt idx="4">
                  <c:v>-1.0830591509341874</c:v>
                </c:pt>
                <c:pt idx="5">
                  <c:v>-0.89742125937191863</c:v>
                </c:pt>
                <c:pt idx="6">
                  <c:v>-0.72922229609132372</c:v>
                </c:pt>
                <c:pt idx="7">
                  <c:v>-0.5784622610924024</c:v>
                </c:pt>
                <c:pt idx="8">
                  <c:v>-0.445141154375155</c:v>
                </c:pt>
                <c:pt idx="9">
                  <c:v>-0.32925897593958131</c:v>
                </c:pt>
                <c:pt idx="10">
                  <c:v>-0.2308157257856811</c:v>
                </c:pt>
                <c:pt idx="11">
                  <c:v>-0.1498114039134546</c:v>
                </c:pt>
                <c:pt idx="12">
                  <c:v>-8.6246010322902356E-2</c:v>
                </c:pt>
                <c:pt idx="13">
                  <c:v>-4.0119545014023261E-2</c:v>
                </c:pt>
                <c:pt idx="14">
                  <c:v>-1.1432007986818427E-2</c:v>
                </c:pt>
                <c:pt idx="15">
                  <c:v>-1.8339924128740748E-4</c:v>
                </c:pt>
                <c:pt idx="16">
                  <c:v>-6.3737187774299819E-3</c:v>
                </c:pt>
                <c:pt idx="17">
                  <c:v>-3.000296659524615E-2</c:v>
                </c:pt>
                <c:pt idx="18">
                  <c:v>-7.1071142694735912E-2</c:v>
                </c:pt>
                <c:pt idx="19">
                  <c:v>-0.12957824707589971</c:v>
                </c:pt>
                <c:pt idx="20">
                  <c:v>-0.20552427973873799</c:v>
                </c:pt>
              </c:numCache>
            </c:numRef>
          </c:yVal>
        </c:ser>
        <c:ser>
          <c:idx val="1"/>
          <c:order val="1"/>
          <c:tx>
            <c:v>Downhill</c:v>
          </c:tx>
          <c:spPr>
            <a:ln w="6350">
              <a:solidFill>
                <a:srgbClr val="C00000"/>
              </a:solidFill>
            </a:ln>
          </c:spPr>
          <c:marker>
            <c:symbol val="square"/>
            <c:size val="7"/>
          </c:marker>
          <c:xVal>
            <c:numRef>
              <c:f>KonstReibung!$F$12:$Z$12</c:f>
              <c:numCache>
                <c:formatCode>0.00</c:formatCode>
                <c:ptCount val="21"/>
                <c:pt idx="0">
                  <c:v>2</c:v>
                </c:pt>
                <c:pt idx="1">
                  <c:v>1.8052603977875059</c:v>
                </c:pt>
                <c:pt idx="2">
                  <c:v>1.6204934050518531</c:v>
                </c:pt>
                <c:pt idx="3">
                  <c:v>1.4456990217930419</c:v>
                </c:pt>
                <c:pt idx="4">
                  <c:v>1.2808772480110719</c:v>
                </c:pt>
                <c:pt idx="5">
                  <c:v>1.1260280837059433</c:v>
                </c:pt>
                <c:pt idx="6">
                  <c:v>0.98115152887765611</c:v>
                </c:pt>
                <c:pt idx="7">
                  <c:v>0.84624758352621043</c:v>
                </c:pt>
                <c:pt idx="8">
                  <c:v>0.72131624765160596</c:v>
                </c:pt>
                <c:pt idx="9">
                  <c:v>0.60635752125384279</c:v>
                </c:pt>
                <c:pt idx="10">
                  <c:v>0.50137140433292071</c:v>
                </c:pt>
                <c:pt idx="11">
                  <c:v>0.40635789688884039</c:v>
                </c:pt>
                <c:pt idx="12">
                  <c:v>0.32131699892160148</c:v>
                </c:pt>
                <c:pt idx="13">
                  <c:v>0.24624871043120344</c:v>
                </c:pt>
                <c:pt idx="14">
                  <c:v>0.18115303141764727</c:v>
                </c:pt>
                <c:pt idx="15">
                  <c:v>0.12602996188093241</c:v>
                </c:pt>
                <c:pt idx="16">
                  <c:v>8.0879501821058408E-2</c:v>
                </c:pt>
                <c:pt idx="17">
                  <c:v>4.5701651238026386E-2</c:v>
                </c:pt>
                <c:pt idx="18">
                  <c:v>2.0496410131835674E-2</c:v>
                </c:pt>
                <c:pt idx="19">
                  <c:v>5.2637785024862715E-3</c:v>
                </c:pt>
                <c:pt idx="20">
                  <c:v>3.7563499781789744E-6</c:v>
                </c:pt>
              </c:numCache>
            </c:numRef>
          </c:xVal>
          <c:yVal>
            <c:numRef>
              <c:f>KonstReibung!$F$13:$Z$13</c:f>
              <c:numCache>
                <c:formatCode>0.00</c:formatCode>
                <c:ptCount val="21"/>
                <c:pt idx="0">
                  <c:v>2</c:v>
                </c:pt>
                <c:pt idx="1">
                  <c:v>1.8762928901607239</c:v>
                </c:pt>
                <c:pt idx="2">
                  <c:v>1.7550920709934565</c:v>
                </c:pt>
                <c:pt idx="3">
                  <c:v>1.6363975424981982</c:v>
                </c:pt>
                <c:pt idx="4">
                  <c:v>1.5202093046749487</c:v>
                </c:pt>
                <c:pt idx="5">
                  <c:v>1.4065273575237085</c:v>
                </c:pt>
                <c:pt idx="6">
                  <c:v>1.2953517010444773</c:v>
                </c:pt>
                <c:pt idx="7">
                  <c:v>1.1866823352372551</c:v>
                </c:pt>
                <c:pt idx="8">
                  <c:v>1.0805192601020417</c:v>
                </c:pt>
                <c:pt idx="9">
                  <c:v>0.9768624756388371</c:v>
                </c:pt>
                <c:pt idx="10">
                  <c:v>0.87571198184764154</c:v>
                </c:pt>
                <c:pt idx="11">
                  <c:v>0.77706777872845523</c:v>
                </c:pt>
                <c:pt idx="12">
                  <c:v>0.6809298662812775</c:v>
                </c:pt>
                <c:pt idx="13">
                  <c:v>0.5872982445061089</c:v>
                </c:pt>
                <c:pt idx="14">
                  <c:v>0.49617291340294922</c:v>
                </c:pt>
                <c:pt idx="15">
                  <c:v>0.40755387297179885</c:v>
                </c:pt>
                <c:pt idx="16">
                  <c:v>0.32144112321265711</c:v>
                </c:pt>
                <c:pt idx="17">
                  <c:v>0.23783466412552468</c:v>
                </c:pt>
                <c:pt idx="18">
                  <c:v>0.15673449571040071</c:v>
                </c:pt>
                <c:pt idx="19">
                  <c:v>7.8140617967286219E-2</c:v>
                </c:pt>
                <c:pt idx="20">
                  <c:v>2.0530308961801413E-3</c:v>
                </c:pt>
              </c:numCache>
            </c:numRef>
          </c:yVal>
        </c:ser>
        <c:axId val="141638272"/>
        <c:axId val="141943168"/>
      </c:scatterChart>
      <c:valAx>
        <c:axId val="141638272"/>
        <c:scaling>
          <c:orientation val="minMax"/>
          <c:max val="2.5"/>
          <c:min val="-2.5"/>
        </c:scaling>
        <c:axPos val="b"/>
        <c:majorGridlines/>
        <c:numFmt formatCode="0.00" sourceLinked="1"/>
        <c:tickLblPos val="nextTo"/>
        <c:crossAx val="141943168"/>
        <c:crosses val="autoZero"/>
        <c:crossBetween val="midCat"/>
      </c:valAx>
      <c:valAx>
        <c:axId val="141943168"/>
        <c:scaling>
          <c:orientation val="minMax"/>
          <c:max val="2.5"/>
          <c:min val="-2.5"/>
        </c:scaling>
        <c:axPos val="l"/>
        <c:majorGridlines/>
        <c:numFmt formatCode="0.00" sourceLinked="1"/>
        <c:tickLblPos val="nextTo"/>
        <c:crossAx val="14163827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tx>
            <c:strRef>
              <c:f>Up_00!$AB$4</c:f>
              <c:strCache>
                <c:ptCount val="1"/>
                <c:pt idx="0">
                  <c:v>0,5</c:v>
                </c:pt>
              </c:strCache>
            </c:strRef>
          </c:tx>
          <c:xVal>
            <c:numRef>
              <c:f>Up_00!$AA$5:$AA$14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Up_00!$AB$5:$AB$14</c:f>
              <c:numCache>
                <c:formatCode>General</c:formatCode>
                <c:ptCount val="10"/>
              </c:numCache>
            </c:numRef>
          </c:yVal>
          <c:smooth val="1"/>
        </c:ser>
        <c:ser>
          <c:idx val="1"/>
          <c:order val="1"/>
          <c:tx>
            <c:strRef>
              <c:f>Up_00!$AC$4</c:f>
              <c:strCache>
                <c:ptCount val="1"/>
                <c:pt idx="0">
                  <c:v>1</c:v>
                </c:pt>
              </c:strCache>
            </c:strRef>
          </c:tx>
          <c:trendline>
            <c:trendlineType val="poly"/>
            <c:order val="2"/>
            <c:dispEq val="1"/>
            <c:trendlineLbl>
              <c:layout>
                <c:manualLayout>
                  <c:x val="7.6805118110236228E-2"/>
                  <c:y val="-0.11348061779897305"/>
                </c:manualLayout>
              </c:layout>
              <c:numFmt formatCode="General" sourceLinked="0"/>
              <c:spPr>
                <a:solidFill>
                  <a:srgbClr val="FFFF99"/>
                </a:solidFill>
              </c:spPr>
            </c:trendlineLbl>
          </c:trendline>
          <c:xVal>
            <c:numRef>
              <c:f>Up_00!$AA$5:$AA$14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Up_00!$AC$5:$AC$14</c:f>
              <c:numCache>
                <c:formatCode>General</c:formatCode>
                <c:ptCount val="10"/>
              </c:numCache>
            </c:numRef>
          </c:yVal>
          <c:smooth val="1"/>
        </c:ser>
        <c:ser>
          <c:idx val="2"/>
          <c:order val="2"/>
          <c:tx>
            <c:strRef>
              <c:f>Up_00!$AD$4</c:f>
              <c:strCache>
                <c:ptCount val="1"/>
                <c:pt idx="0">
                  <c:v>1,5</c:v>
                </c:pt>
              </c:strCache>
            </c:strRef>
          </c:tx>
          <c:xVal>
            <c:numRef>
              <c:f>Up_00!$AA$5:$AA$14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Up_00!$AD$5:$AD$14</c:f>
              <c:numCache>
                <c:formatCode>General</c:formatCode>
                <c:ptCount val="10"/>
              </c:numCache>
            </c:numRef>
          </c:yVal>
          <c:smooth val="1"/>
        </c:ser>
        <c:ser>
          <c:idx val="3"/>
          <c:order val="3"/>
          <c:tx>
            <c:strRef>
              <c:f>Up_00!$AE$4</c:f>
              <c:strCache>
                <c:ptCount val="1"/>
                <c:pt idx="0">
                  <c:v>2</c:v>
                </c:pt>
              </c:strCache>
            </c:strRef>
          </c:tx>
          <c:xVal>
            <c:numRef>
              <c:f>Up_00!$AA$5:$AA$14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Up_00!$AE$5:$AE$14</c:f>
              <c:numCache>
                <c:formatCode>General</c:formatCode>
                <c:ptCount val="10"/>
                <c:pt idx="3">
                  <c:v>0.60299999999999998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Up_00!$AF$4</c:f>
              <c:strCache>
                <c:ptCount val="1"/>
                <c:pt idx="0">
                  <c:v>2,5</c:v>
                </c:pt>
              </c:strCache>
            </c:strRef>
          </c:tx>
          <c:xVal>
            <c:numRef>
              <c:f>Up_00!$AA$5:$AA$14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Up_00!$AF$5:$AF$14</c:f>
              <c:numCache>
                <c:formatCode>General</c:formatCode>
                <c:ptCount val="10"/>
              </c:numCache>
            </c:numRef>
          </c:yVal>
          <c:smooth val="1"/>
        </c:ser>
        <c:ser>
          <c:idx val="5"/>
          <c:order val="5"/>
          <c:tx>
            <c:strRef>
              <c:f>Up_00!$AG$4</c:f>
              <c:strCache>
                <c:ptCount val="1"/>
                <c:pt idx="0">
                  <c:v>3</c:v>
                </c:pt>
              </c:strCache>
            </c:strRef>
          </c:tx>
          <c:xVal>
            <c:numRef>
              <c:f>Up_00!$AA$5:$AA$14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Up_00!$AG$5:$AG$14</c:f>
              <c:numCache>
                <c:formatCode>General</c:formatCode>
                <c:ptCount val="10"/>
              </c:numCache>
            </c:numRef>
          </c:yVal>
          <c:smooth val="1"/>
        </c:ser>
        <c:axId val="102843520"/>
        <c:axId val="102845056"/>
      </c:scatterChart>
      <c:valAx>
        <c:axId val="102843520"/>
        <c:scaling>
          <c:orientation val="minMax"/>
        </c:scaling>
        <c:axPos val="b"/>
        <c:majorGridlines/>
        <c:numFmt formatCode="General" sourceLinked="1"/>
        <c:tickLblPos val="nextTo"/>
        <c:crossAx val="102845056"/>
        <c:crosses val="autoZero"/>
        <c:crossBetween val="midCat"/>
      </c:valAx>
      <c:valAx>
        <c:axId val="102845056"/>
        <c:scaling>
          <c:orientation val="minMax"/>
        </c:scaling>
        <c:axPos val="l"/>
        <c:majorGridlines/>
        <c:numFmt formatCode="General" sourceLinked="1"/>
        <c:tickLblPos val="nextTo"/>
        <c:crossAx val="10284352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/>
      <c:scatterChart>
        <c:scatterStyle val="lineMarker"/>
        <c:ser>
          <c:idx val="1"/>
          <c:order val="0"/>
          <c:tx>
            <c:v>Uphil-00l</c:v>
          </c:tx>
          <c:spPr>
            <a:ln w="6350">
              <a:solidFill>
                <a:srgbClr val="0070C0"/>
              </a:solidFill>
            </a:ln>
          </c:spPr>
          <c:marker>
            <c:symbol val="square"/>
            <c:size val="7"/>
            <c:spPr>
              <a:solidFill>
                <a:srgbClr val="0070C0"/>
              </a:solidFill>
            </c:spPr>
          </c:marker>
          <c:xVal>
            <c:numRef>
              <c:f>Up_05!$E$11:$Y$11</c:f>
              <c:numCache>
                <c:formatCode>General</c:formatCode>
                <c:ptCount val="21"/>
                <c:pt idx="0">
                  <c:v>0.51800000000000002</c:v>
                </c:pt>
                <c:pt idx="1">
                  <c:v>0.51551635395187179</c:v>
                </c:pt>
                <c:pt idx="2">
                  <c:v>-8.030293837001401E-2</c:v>
                </c:pt>
                <c:pt idx="3">
                  <c:v>-0.13591920776610711</c:v>
                </c:pt>
                <c:pt idx="4">
                  <c:v>-0.14412755892282314</c:v>
                </c:pt>
                <c:pt idx="5">
                  <c:v>-0.1457699170068395</c:v>
                </c:pt>
                <c:pt idx="6">
                  <c:v>-0.14617813903926935</c:v>
                </c:pt>
                <c:pt idx="7">
                  <c:v>-0.14629749057543862</c:v>
                </c:pt>
                <c:pt idx="8">
                  <c:v>-0.14633706369328303</c:v>
                </c:pt>
                <c:pt idx="9">
                  <c:v>-0.14635156637348101</c:v>
                </c:pt>
                <c:pt idx="10">
                  <c:v>-0.14635733128845374</c:v>
                </c:pt>
                <c:pt idx="11">
                  <c:v>-0.1463597817286636</c:v>
                </c:pt>
                <c:pt idx="12">
                  <c:v>-0.14636088323491503</c:v>
                </c:pt>
                <c:pt idx="13">
                  <c:v>-0.14636140225713401</c:v>
                </c:pt>
                <c:pt idx="14">
                  <c:v>-0.14636165677590507</c:v>
                </c:pt>
                <c:pt idx="15">
                  <c:v>-0.14636178589723792</c:v>
                </c:pt>
                <c:pt idx="16">
                  <c:v>-0.14636185332357976</c:v>
                </c:pt>
                <c:pt idx="17">
                  <c:v>-0.1463618894086246</c:v>
                </c:pt>
                <c:pt idx="18">
                  <c:v>-0.14636190912534153</c:v>
                </c:pt>
                <c:pt idx="19">
                  <c:v>-0.14636192008684257</c:v>
                </c:pt>
                <c:pt idx="20">
                  <c:v>-0.14636192626809941</c:v>
                </c:pt>
              </c:numCache>
            </c:numRef>
          </c:xVal>
          <c:yVal>
            <c:numRef>
              <c:f>Up_05!$E$12:$Y$12</c:f>
              <c:numCache>
                <c:formatCode>General</c:formatCode>
                <c:ptCount val="21"/>
                <c:pt idx="0">
                  <c:v>-1.9319999999999999</c:v>
                </c:pt>
                <c:pt idx="1">
                  <c:v>-1.92194715408685</c:v>
                </c:pt>
                <c:pt idx="2">
                  <c:v>0.29595314599840217</c:v>
                </c:pt>
                <c:pt idx="3">
                  <c:v>0.45574103599648819</c:v>
                </c:pt>
                <c:pt idx="4">
                  <c:v>0.47479765443972433</c:v>
                </c:pt>
                <c:pt idx="5">
                  <c:v>0.47796767690040198</c:v>
                </c:pt>
                <c:pt idx="6">
                  <c:v>0.47863500972746742</c:v>
                </c:pt>
                <c:pt idx="7">
                  <c:v>0.47880227817447274</c:v>
                </c:pt>
                <c:pt idx="8">
                  <c:v>0.47885019217343761</c:v>
                </c:pt>
                <c:pt idx="9">
                  <c:v>0.47886542575718583</c:v>
                </c:pt>
                <c:pt idx="10">
                  <c:v>0.478870685285262</c:v>
                </c:pt>
                <c:pt idx="11">
                  <c:v>0.47887262376523054</c:v>
                </c:pt>
                <c:pt idx="12">
                  <c:v>0.47887337576038247</c:v>
                </c:pt>
                <c:pt idx="13">
                  <c:v>0.4788736790347401</c:v>
                </c:pt>
                <c:pt idx="14">
                  <c:v>0.47887380470444008</c:v>
                </c:pt>
                <c:pt idx="15">
                  <c:v>0.47887385755413892</c:v>
                </c:pt>
                <c:pt idx="16">
                  <c:v>0.47887387977805185</c:v>
                </c:pt>
                <c:pt idx="17">
                  <c:v>0.47887388892686422</c:v>
                </c:pt>
                <c:pt idx="18">
                  <c:v>0.47887389247881096</c:v>
                </c:pt>
                <c:pt idx="19">
                  <c:v>0.47887389366939459</c:v>
                </c:pt>
                <c:pt idx="20">
                  <c:v>0.47887389390539958</c:v>
                </c:pt>
              </c:numCache>
            </c:numRef>
          </c:yVal>
        </c:ser>
        <c:axId val="130743680"/>
        <c:axId val="131819008"/>
      </c:scatterChart>
      <c:valAx>
        <c:axId val="130743680"/>
        <c:scaling>
          <c:orientation val="minMax"/>
          <c:max val="2.5"/>
          <c:min val="-2.5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sz="1000"/>
            </a:pPr>
            <a:endParaRPr lang="de-DE"/>
          </a:p>
        </c:txPr>
        <c:crossAx val="131819008"/>
        <c:crosses val="autoZero"/>
        <c:crossBetween val="midCat"/>
      </c:valAx>
      <c:valAx>
        <c:axId val="131819008"/>
        <c:scaling>
          <c:orientation val="minMax"/>
          <c:max val="2.5"/>
          <c:min val="-2.5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000"/>
            </a:pPr>
            <a:endParaRPr lang="de-DE"/>
          </a:p>
        </c:txPr>
        <c:crossAx val="13074368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4"/>
  <c:chart>
    <c:autoTitleDeleted val="1"/>
    <c:plotArea>
      <c:layout>
        <c:manualLayout>
          <c:layoutTarget val="inner"/>
          <c:xMode val="edge"/>
          <c:yMode val="edge"/>
          <c:x val="4.2645919260092445E-2"/>
          <c:y val="2.3239179184056213E-2"/>
          <c:w val="0.90175415573053352"/>
          <c:h val="0.95352164163189301"/>
        </c:manualLayout>
      </c:layout>
      <c:scatterChart>
        <c:scatterStyle val="lineMarker"/>
        <c:ser>
          <c:idx val="1"/>
          <c:order val="0"/>
          <c:tx>
            <c:v>Downhill</c:v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</c:spPr>
          </c:marker>
          <c:xVal>
            <c:numRef>
              <c:f>Up_05!$E$11:$Y$11</c:f>
              <c:numCache>
                <c:formatCode>General</c:formatCode>
                <c:ptCount val="21"/>
                <c:pt idx="0">
                  <c:v>0.51800000000000002</c:v>
                </c:pt>
                <c:pt idx="1">
                  <c:v>0.51551635395187179</c:v>
                </c:pt>
                <c:pt idx="2">
                  <c:v>-8.030293837001401E-2</c:v>
                </c:pt>
                <c:pt idx="3">
                  <c:v>-0.13591920776610711</c:v>
                </c:pt>
                <c:pt idx="4">
                  <c:v>-0.14412755892282314</c:v>
                </c:pt>
                <c:pt idx="5">
                  <c:v>-0.1457699170068395</c:v>
                </c:pt>
                <c:pt idx="6">
                  <c:v>-0.14617813903926935</c:v>
                </c:pt>
                <c:pt idx="7">
                  <c:v>-0.14629749057543862</c:v>
                </c:pt>
                <c:pt idx="8">
                  <c:v>-0.14633706369328303</c:v>
                </c:pt>
                <c:pt idx="9">
                  <c:v>-0.14635156637348101</c:v>
                </c:pt>
                <c:pt idx="10">
                  <c:v>-0.14635733128845374</c:v>
                </c:pt>
                <c:pt idx="11">
                  <c:v>-0.1463597817286636</c:v>
                </c:pt>
                <c:pt idx="12">
                  <c:v>-0.14636088323491503</c:v>
                </c:pt>
                <c:pt idx="13">
                  <c:v>-0.14636140225713401</c:v>
                </c:pt>
                <c:pt idx="14">
                  <c:v>-0.14636165677590507</c:v>
                </c:pt>
                <c:pt idx="15">
                  <c:v>-0.14636178589723792</c:v>
                </c:pt>
                <c:pt idx="16">
                  <c:v>-0.14636185332357976</c:v>
                </c:pt>
                <c:pt idx="17">
                  <c:v>-0.1463618894086246</c:v>
                </c:pt>
                <c:pt idx="18">
                  <c:v>-0.14636190912534153</c:v>
                </c:pt>
                <c:pt idx="19">
                  <c:v>-0.14636192008684257</c:v>
                </c:pt>
                <c:pt idx="20">
                  <c:v>-0.14636192626809941</c:v>
                </c:pt>
              </c:numCache>
            </c:numRef>
          </c:xVal>
          <c:yVal>
            <c:numRef>
              <c:f>Up_05!$E$12:$Y$12</c:f>
              <c:numCache>
                <c:formatCode>General</c:formatCode>
                <c:ptCount val="21"/>
                <c:pt idx="0">
                  <c:v>-1.9319999999999999</c:v>
                </c:pt>
                <c:pt idx="1">
                  <c:v>-1.92194715408685</c:v>
                </c:pt>
                <c:pt idx="2">
                  <c:v>0.29595314599840217</c:v>
                </c:pt>
                <c:pt idx="3">
                  <c:v>0.45574103599648819</c:v>
                </c:pt>
                <c:pt idx="4">
                  <c:v>0.47479765443972433</c:v>
                </c:pt>
                <c:pt idx="5">
                  <c:v>0.47796767690040198</c:v>
                </c:pt>
                <c:pt idx="6">
                  <c:v>0.47863500972746742</c:v>
                </c:pt>
                <c:pt idx="7">
                  <c:v>0.47880227817447274</c:v>
                </c:pt>
                <c:pt idx="8">
                  <c:v>0.47885019217343761</c:v>
                </c:pt>
                <c:pt idx="9">
                  <c:v>0.47886542575718583</c:v>
                </c:pt>
                <c:pt idx="10">
                  <c:v>0.478870685285262</c:v>
                </c:pt>
                <c:pt idx="11">
                  <c:v>0.47887262376523054</c:v>
                </c:pt>
                <c:pt idx="12">
                  <c:v>0.47887337576038247</c:v>
                </c:pt>
                <c:pt idx="13">
                  <c:v>0.4788736790347401</c:v>
                </c:pt>
                <c:pt idx="14">
                  <c:v>0.47887380470444008</c:v>
                </c:pt>
                <c:pt idx="15">
                  <c:v>0.47887385755413892</c:v>
                </c:pt>
                <c:pt idx="16">
                  <c:v>0.47887387977805185</c:v>
                </c:pt>
                <c:pt idx="17">
                  <c:v>0.47887388892686422</c:v>
                </c:pt>
                <c:pt idx="18">
                  <c:v>0.47887389247881096</c:v>
                </c:pt>
                <c:pt idx="19">
                  <c:v>0.47887389366939459</c:v>
                </c:pt>
                <c:pt idx="20">
                  <c:v>0.47887389390539958</c:v>
                </c:pt>
              </c:numCache>
            </c:numRef>
          </c:yVal>
        </c:ser>
        <c:axId val="131833216"/>
        <c:axId val="131851776"/>
      </c:scatterChart>
      <c:valAx>
        <c:axId val="131833216"/>
        <c:scaling>
          <c:orientation val="minMax"/>
          <c:max val="0.5"/>
          <c:min val="-0.5"/>
        </c:scaling>
        <c:axPos val="b"/>
        <c:majorGridlines/>
        <c:numFmt formatCode="General" sourceLinked="1"/>
        <c:tickLblPos val="nextTo"/>
        <c:crossAx val="131851776"/>
        <c:crosses val="autoZero"/>
        <c:crossBetween val="midCat"/>
      </c:valAx>
      <c:valAx>
        <c:axId val="131851776"/>
        <c:scaling>
          <c:orientation val="minMax"/>
          <c:max val="0.5"/>
          <c:min val="-0.5"/>
        </c:scaling>
        <c:axPos val="l"/>
        <c:majorGridlines/>
        <c:numFmt formatCode="General" sourceLinked="1"/>
        <c:tickLblPos val="nextTo"/>
        <c:crossAx val="13183321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tx>
            <c:strRef>
              <c:f>Up_05!$AB$4</c:f>
              <c:strCache>
                <c:ptCount val="1"/>
                <c:pt idx="0">
                  <c:v>0,5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4884209421190941"/>
                  <c:y val="2.016852137025292E-2"/>
                </c:manualLayout>
              </c:layout>
              <c:numFmt formatCode="General" sourceLinked="0"/>
            </c:trendlineLbl>
          </c:trendline>
          <c:xVal>
            <c:numRef>
              <c:f>Up_05!$AA$5:$AA$14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Up_05!$AB$5:$AB$14</c:f>
              <c:numCache>
                <c:formatCode>General</c:formatCode>
                <c:ptCount val="10"/>
                <c:pt idx="1">
                  <c:v>8.5999999999999993E-2</c:v>
                </c:pt>
                <c:pt idx="3">
                  <c:v>0.115</c:v>
                </c:pt>
                <c:pt idx="5">
                  <c:v>0.155</c:v>
                </c:pt>
                <c:pt idx="7">
                  <c:v>0.193</c:v>
                </c:pt>
                <c:pt idx="9">
                  <c:v>0.25900000000000001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Up_05!$AC$4</c:f>
              <c:strCache>
                <c:ptCount val="1"/>
                <c:pt idx="0">
                  <c:v>1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3802573880635621"/>
                  <c:y val="4.5409923390572489E-2"/>
                </c:manualLayout>
              </c:layout>
              <c:numFmt formatCode="General" sourceLinked="0"/>
            </c:trendlineLbl>
          </c:trendline>
          <c:xVal>
            <c:numRef>
              <c:f>Up_05!$AA$5:$AA$14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Up_05!$AC$5:$AC$14</c:f>
              <c:numCache>
                <c:formatCode>General</c:formatCode>
                <c:ptCount val="10"/>
                <c:pt idx="1">
                  <c:v>0.16</c:v>
                </c:pt>
                <c:pt idx="3">
                  <c:v>0.21</c:v>
                </c:pt>
                <c:pt idx="5">
                  <c:v>0.28299999999999997</c:v>
                </c:pt>
                <c:pt idx="7">
                  <c:v>0.37</c:v>
                </c:pt>
                <c:pt idx="9">
                  <c:v>0.45900000000000002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Up_05!$AD$4</c:f>
              <c:strCache>
                <c:ptCount val="1"/>
                <c:pt idx="0">
                  <c:v>1,5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4179997784183981"/>
                  <c:y val="2.8945579219571742E-2"/>
                </c:manualLayout>
              </c:layout>
              <c:numFmt formatCode="General" sourceLinked="0"/>
            </c:trendlineLbl>
          </c:trendline>
          <c:xVal>
            <c:numRef>
              <c:f>Up_05!$AA$5:$AA$14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Up_05!$AD$5:$AD$14</c:f>
              <c:numCache>
                <c:formatCode>General</c:formatCode>
                <c:ptCount val="10"/>
                <c:pt idx="1">
                  <c:v>0.224</c:v>
                </c:pt>
                <c:pt idx="3">
                  <c:v>0.30299999999999999</c:v>
                </c:pt>
                <c:pt idx="5">
                  <c:v>0.39800000000000002</c:v>
                </c:pt>
                <c:pt idx="7">
                  <c:v>0.51500000000000001</c:v>
                </c:pt>
                <c:pt idx="9">
                  <c:v>0.63300000000000001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Up_05!$AE$4</c:f>
              <c:strCache>
                <c:ptCount val="1"/>
                <c:pt idx="0">
                  <c:v>2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4884209421190941"/>
                  <c:y val="4.3830858781028756E-2"/>
                </c:manualLayout>
              </c:layout>
              <c:numFmt formatCode="General" sourceLinked="0"/>
            </c:trendlineLbl>
          </c:trendline>
          <c:xVal>
            <c:numRef>
              <c:f>Up_05!$AA$5:$AA$14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Up_05!$AE$5:$AE$14</c:f>
              <c:numCache>
                <c:formatCode>General</c:formatCode>
                <c:ptCount val="10"/>
                <c:pt idx="1">
                  <c:v>0.27600000000000002</c:v>
                </c:pt>
                <c:pt idx="3">
                  <c:v>0.38200000000000001</c:v>
                </c:pt>
                <c:pt idx="5">
                  <c:v>0.5</c:v>
                </c:pt>
                <c:pt idx="7">
                  <c:v>0.64500000000000002</c:v>
                </c:pt>
                <c:pt idx="9">
                  <c:v>0.79500000000000004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Up_05!$AF$4</c:f>
              <c:strCache>
                <c:ptCount val="1"/>
                <c:pt idx="0">
                  <c:v>2,5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3993265621535772"/>
                  <c:y val="-6.5333991922597208E-3"/>
                </c:manualLayout>
              </c:layout>
              <c:numFmt formatCode="General" sourceLinked="0"/>
            </c:trendlineLbl>
          </c:trendline>
          <c:xVal>
            <c:numRef>
              <c:f>Up_05!$AA$5:$AA$14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Up_05!$AF$5:$AF$14</c:f>
              <c:numCache>
                <c:formatCode>General</c:formatCode>
                <c:ptCount val="10"/>
                <c:pt idx="1">
                  <c:v>0.32</c:v>
                </c:pt>
                <c:pt idx="3">
                  <c:v>0.45300000000000001</c:v>
                </c:pt>
                <c:pt idx="5">
                  <c:v>0.59799999999999998</c:v>
                </c:pt>
                <c:pt idx="7">
                  <c:v>0.76500000000000001</c:v>
                </c:pt>
                <c:pt idx="9">
                  <c:v>0.93899999999999995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Up_05!$AG$4</c:f>
              <c:strCache>
                <c:ptCount val="1"/>
                <c:pt idx="0">
                  <c:v>3</c:v>
                </c:pt>
              </c:strCache>
            </c:strRef>
          </c:tx>
          <c:trendline>
            <c:trendlineType val="linear"/>
            <c:dispEq val="1"/>
            <c:trendlineLbl>
              <c:layout>
                <c:manualLayout>
                  <c:x val="0.14141653073619556"/>
                  <c:y val="-4.2920455976213322E-2"/>
                </c:manualLayout>
              </c:layout>
              <c:numFmt formatCode="General" sourceLinked="0"/>
            </c:trendlineLbl>
          </c:trendline>
          <c:xVal>
            <c:numRef>
              <c:f>Up_05!$AA$5:$AA$14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Up_05!$AG$5:$AG$14</c:f>
              <c:numCache>
                <c:formatCode>General</c:formatCode>
                <c:ptCount val="10"/>
                <c:pt idx="1">
                  <c:v>0.35</c:v>
                </c:pt>
                <c:pt idx="3">
                  <c:v>0.51600000000000001</c:v>
                </c:pt>
                <c:pt idx="5">
                  <c:v>0.68400000000000005</c:v>
                </c:pt>
                <c:pt idx="7">
                  <c:v>0.871</c:v>
                </c:pt>
                <c:pt idx="9">
                  <c:v>1.0820000000000001</c:v>
                </c:pt>
              </c:numCache>
            </c:numRef>
          </c:yVal>
          <c:smooth val="1"/>
        </c:ser>
        <c:axId val="135397760"/>
        <c:axId val="135399296"/>
      </c:scatterChart>
      <c:valAx>
        <c:axId val="135397760"/>
        <c:scaling>
          <c:orientation val="minMax"/>
        </c:scaling>
        <c:axPos val="b"/>
        <c:majorGridlines/>
        <c:numFmt formatCode="General" sourceLinked="1"/>
        <c:tickLblPos val="nextTo"/>
        <c:crossAx val="135399296"/>
        <c:crosses val="autoZero"/>
        <c:crossBetween val="midCat"/>
      </c:valAx>
      <c:valAx>
        <c:axId val="135399296"/>
        <c:scaling>
          <c:orientation val="minMax"/>
          <c:max val="1.2"/>
          <c:min val="0"/>
        </c:scaling>
        <c:axPos val="l"/>
        <c:majorGridlines/>
        <c:numFmt formatCode="General" sourceLinked="1"/>
        <c:tickLblPos val="nextTo"/>
        <c:crossAx val="135397760"/>
        <c:crosses val="autoZero"/>
        <c:crossBetween val="midCat"/>
      </c:valAx>
    </c:plotArea>
    <c:legend>
      <c:legendPos val="r"/>
      <c:legendEntry>
        <c:idx val="6"/>
        <c:delete val="1"/>
      </c:legendEntry>
      <c:legendEntry>
        <c:idx val="7"/>
        <c:delete val="1"/>
      </c:legendEntry>
      <c:legendEntry>
        <c:idx val="8"/>
        <c:delete val="1"/>
      </c:legendEntry>
      <c:legendEntry>
        <c:idx val="9"/>
        <c:delete val="1"/>
      </c:legendEntry>
      <c:legendEntry>
        <c:idx val="10"/>
        <c:delete val="1"/>
      </c:legendEntry>
      <c:legendEntry>
        <c:idx val="11"/>
        <c:delete val="1"/>
      </c:legendEntry>
      <c:layout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/>
      <c:scatterChart>
        <c:scatterStyle val="lineMarker"/>
        <c:ser>
          <c:idx val="1"/>
          <c:order val="0"/>
          <c:tx>
            <c:v>Uphil-00l</c:v>
          </c:tx>
          <c:spPr>
            <a:ln w="6350">
              <a:solidFill>
                <a:srgbClr val="0070C0"/>
              </a:solidFill>
            </a:ln>
          </c:spPr>
          <c:marker>
            <c:symbol val="square"/>
            <c:size val="7"/>
            <c:spPr>
              <a:solidFill>
                <a:srgbClr val="0070C0"/>
              </a:solidFill>
            </c:spPr>
          </c:marker>
          <c:xVal>
            <c:numRef>
              <c:f>Up_10!$E$11:$Y$11</c:f>
              <c:numCache>
                <c:formatCode>General</c:formatCode>
                <c:ptCount val="21"/>
                <c:pt idx="0">
                  <c:v>2</c:v>
                </c:pt>
                <c:pt idx="1">
                  <c:v>1.9981781032374279</c:v>
                </c:pt>
                <c:pt idx="2">
                  <c:v>1.3059248088942204</c:v>
                </c:pt>
                <c:pt idx="3">
                  <c:v>0.8280177113790077</c:v>
                </c:pt>
                <c:pt idx="4">
                  <c:v>0.4909704873049634</c:v>
                </c:pt>
                <c:pt idx="5">
                  <c:v>0.24871620337089961</c:v>
                </c:pt>
                <c:pt idx="6">
                  <c:v>7.1619540419048944E-2</c:v>
                </c:pt>
                <c:pt idx="7">
                  <c:v>-5.9830383577985202E-2</c:v>
                </c:pt>
                <c:pt idx="8">
                  <c:v>-0.15874894668523654</c:v>
                </c:pt>
                <c:pt idx="9">
                  <c:v>-0.23411987110794463</c:v>
                </c:pt>
                <c:pt idx="10">
                  <c:v>-0.29220290632075008</c:v>
                </c:pt>
                <c:pt idx="11">
                  <c:v>-0.3374283611564679</c:v>
                </c:pt>
                <c:pt idx="12">
                  <c:v>-0.37297691585947002</c:v>
                </c:pt>
                <c:pt idx="13">
                  <c:v>-0.40116231649598966</c:v>
                </c:pt>
                <c:pt idx="14">
                  <c:v>-0.42368820906311999</c:v>
                </c:pt>
                <c:pt idx="15">
                  <c:v>-0.44182317491995526</c:v>
                </c:pt>
                <c:pt idx="16">
                  <c:v>-0.45652172717809458</c:v>
                </c:pt>
                <c:pt idx="17">
                  <c:v>-0.46850906208010379</c:v>
                </c:pt>
                <c:pt idx="18">
                  <c:v>-0.47834115566663549</c:v>
                </c:pt>
                <c:pt idx="19">
                  <c:v>-0.48644786850498134</c:v>
                </c:pt>
                <c:pt idx="20">
                  <c:v>-0.49316406201616614</c:v>
                </c:pt>
              </c:numCache>
            </c:numRef>
          </c:xVal>
          <c:yVal>
            <c:numRef>
              <c:f>Up_10!$E$12:$Y$12</c:f>
              <c:numCache>
                <c:formatCode>General</c:formatCode>
                <c:ptCount val="21"/>
                <c:pt idx="0">
                  <c:v>-2</c:v>
                </c:pt>
                <c:pt idx="1">
                  <c:v>-1.9978388386208366</c:v>
                </c:pt>
                <c:pt idx="2">
                  <c:v>-1.2113095714381847</c:v>
                </c:pt>
                <c:pt idx="3">
                  <c:v>-0.71612650110320697</c:v>
                </c:pt>
                <c:pt idx="4">
                  <c:v>-0.39754106673122225</c:v>
                </c:pt>
                <c:pt idx="5">
                  <c:v>-0.18874590539071257</c:v>
                </c:pt>
                <c:pt idx="6">
                  <c:v>-4.9742172147736463E-2</c:v>
                </c:pt>
                <c:pt idx="7">
                  <c:v>4.4019534966726503E-2</c:v>
                </c:pt>
                <c:pt idx="8">
                  <c:v>0.10794306582507218</c:v>
                </c:pt>
                <c:pt idx="9">
                  <c:v>0.15188661090226363</c:v>
                </c:pt>
                <c:pt idx="10">
                  <c:v>0.18227199508593639</c:v>
                </c:pt>
                <c:pt idx="11">
                  <c:v>0.20334963430049369</c:v>
                </c:pt>
                <c:pt idx="12">
                  <c:v>0.21797330223881772</c:v>
                </c:pt>
                <c:pt idx="13">
                  <c:v>0.22808386309181561</c:v>
                </c:pt>
                <c:pt idx="14">
                  <c:v>0.23501663953119278</c:v>
                </c:pt>
                <c:pt idx="15">
                  <c:v>0.2396998810403983</c:v>
                </c:pt>
                <c:pt idx="16">
                  <c:v>0.24278482057096706</c:v>
                </c:pt>
                <c:pt idx="17">
                  <c:v>0.24473206586704954</c:v>
                </c:pt>
                <c:pt idx="18">
                  <c:v>0.24586970809577213</c:v>
                </c:pt>
                <c:pt idx="19">
                  <c:v>0.24643286060056813</c:v>
                </c:pt>
                <c:pt idx="20">
                  <c:v>0.24659085033650019</c:v>
                </c:pt>
              </c:numCache>
            </c:numRef>
          </c:yVal>
        </c:ser>
        <c:axId val="135476352"/>
        <c:axId val="135478272"/>
      </c:scatterChart>
      <c:valAx>
        <c:axId val="135476352"/>
        <c:scaling>
          <c:orientation val="minMax"/>
          <c:max val="2.5"/>
          <c:min val="-2.5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sz="1000"/>
            </a:pPr>
            <a:endParaRPr lang="de-DE"/>
          </a:p>
        </c:txPr>
        <c:crossAx val="135478272"/>
        <c:crosses val="autoZero"/>
        <c:crossBetween val="midCat"/>
      </c:valAx>
      <c:valAx>
        <c:axId val="135478272"/>
        <c:scaling>
          <c:orientation val="minMax"/>
          <c:max val="2.5"/>
          <c:min val="-2.5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000"/>
            </a:pPr>
            <a:endParaRPr lang="de-DE"/>
          </a:p>
        </c:txPr>
        <c:crossAx val="135476352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4"/>
  <c:chart>
    <c:autoTitleDeleted val="1"/>
    <c:plotArea>
      <c:layout>
        <c:manualLayout>
          <c:layoutTarget val="inner"/>
          <c:xMode val="edge"/>
          <c:yMode val="edge"/>
          <c:x val="4.2645919260092445E-2"/>
          <c:y val="2.3239179184056224E-2"/>
          <c:w val="0.90175415573053352"/>
          <c:h val="0.95352164163189324"/>
        </c:manualLayout>
      </c:layout>
      <c:scatterChart>
        <c:scatterStyle val="lineMarker"/>
        <c:ser>
          <c:idx val="1"/>
          <c:order val="0"/>
          <c:tx>
            <c:v>Downhill</c:v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</c:spPr>
          </c:marker>
          <c:xVal>
            <c:numRef>
              <c:f>Up_10!$E$11:$Y$11</c:f>
              <c:numCache>
                <c:formatCode>General</c:formatCode>
                <c:ptCount val="21"/>
                <c:pt idx="0">
                  <c:v>2</c:v>
                </c:pt>
                <c:pt idx="1">
                  <c:v>1.9981781032374279</c:v>
                </c:pt>
                <c:pt idx="2">
                  <c:v>1.3059248088942204</c:v>
                </c:pt>
                <c:pt idx="3">
                  <c:v>0.8280177113790077</c:v>
                </c:pt>
                <c:pt idx="4">
                  <c:v>0.4909704873049634</c:v>
                </c:pt>
                <c:pt idx="5">
                  <c:v>0.24871620337089961</c:v>
                </c:pt>
                <c:pt idx="6">
                  <c:v>7.1619540419048944E-2</c:v>
                </c:pt>
                <c:pt idx="7">
                  <c:v>-5.9830383577985202E-2</c:v>
                </c:pt>
                <c:pt idx="8">
                  <c:v>-0.15874894668523654</c:v>
                </c:pt>
                <c:pt idx="9">
                  <c:v>-0.23411987110794463</c:v>
                </c:pt>
                <c:pt idx="10">
                  <c:v>-0.29220290632075008</c:v>
                </c:pt>
                <c:pt idx="11">
                  <c:v>-0.3374283611564679</c:v>
                </c:pt>
                <c:pt idx="12">
                  <c:v>-0.37297691585947002</c:v>
                </c:pt>
                <c:pt idx="13">
                  <c:v>-0.40116231649598966</c:v>
                </c:pt>
                <c:pt idx="14">
                  <c:v>-0.42368820906311999</c:v>
                </c:pt>
                <c:pt idx="15">
                  <c:v>-0.44182317491995526</c:v>
                </c:pt>
                <c:pt idx="16">
                  <c:v>-0.45652172717809458</c:v>
                </c:pt>
                <c:pt idx="17">
                  <c:v>-0.46850906208010379</c:v>
                </c:pt>
                <c:pt idx="18">
                  <c:v>-0.47834115566663549</c:v>
                </c:pt>
                <c:pt idx="19">
                  <c:v>-0.48644786850498134</c:v>
                </c:pt>
                <c:pt idx="20">
                  <c:v>-0.49316406201616614</c:v>
                </c:pt>
              </c:numCache>
            </c:numRef>
          </c:xVal>
          <c:yVal>
            <c:numRef>
              <c:f>Up_10!$E$12:$Y$12</c:f>
              <c:numCache>
                <c:formatCode>General</c:formatCode>
                <c:ptCount val="21"/>
                <c:pt idx="0">
                  <c:v>-2</c:v>
                </c:pt>
                <c:pt idx="1">
                  <c:v>-1.9978388386208366</c:v>
                </c:pt>
                <c:pt idx="2">
                  <c:v>-1.2113095714381847</c:v>
                </c:pt>
                <c:pt idx="3">
                  <c:v>-0.71612650110320697</c:v>
                </c:pt>
                <c:pt idx="4">
                  <c:v>-0.39754106673122225</c:v>
                </c:pt>
                <c:pt idx="5">
                  <c:v>-0.18874590539071257</c:v>
                </c:pt>
                <c:pt idx="6">
                  <c:v>-4.9742172147736463E-2</c:v>
                </c:pt>
                <c:pt idx="7">
                  <c:v>4.4019534966726503E-2</c:v>
                </c:pt>
                <c:pt idx="8">
                  <c:v>0.10794306582507218</c:v>
                </c:pt>
                <c:pt idx="9">
                  <c:v>0.15188661090226363</c:v>
                </c:pt>
                <c:pt idx="10">
                  <c:v>0.18227199508593639</c:v>
                </c:pt>
                <c:pt idx="11">
                  <c:v>0.20334963430049369</c:v>
                </c:pt>
                <c:pt idx="12">
                  <c:v>0.21797330223881772</c:v>
                </c:pt>
                <c:pt idx="13">
                  <c:v>0.22808386309181561</c:v>
                </c:pt>
                <c:pt idx="14">
                  <c:v>0.23501663953119278</c:v>
                </c:pt>
                <c:pt idx="15">
                  <c:v>0.2396998810403983</c:v>
                </c:pt>
                <c:pt idx="16">
                  <c:v>0.24278482057096706</c:v>
                </c:pt>
                <c:pt idx="17">
                  <c:v>0.24473206586704954</c:v>
                </c:pt>
                <c:pt idx="18">
                  <c:v>0.24586970809577213</c:v>
                </c:pt>
                <c:pt idx="19">
                  <c:v>0.24643286060056813</c:v>
                </c:pt>
                <c:pt idx="20">
                  <c:v>0.24659085033650019</c:v>
                </c:pt>
              </c:numCache>
            </c:numRef>
          </c:yVal>
        </c:ser>
        <c:axId val="135488640"/>
        <c:axId val="135490560"/>
      </c:scatterChart>
      <c:valAx>
        <c:axId val="135488640"/>
        <c:scaling>
          <c:orientation val="minMax"/>
          <c:max val="0.5"/>
          <c:min val="-0.5"/>
        </c:scaling>
        <c:axPos val="b"/>
        <c:majorGridlines/>
        <c:numFmt formatCode="General" sourceLinked="1"/>
        <c:tickLblPos val="nextTo"/>
        <c:crossAx val="135490560"/>
        <c:crosses val="autoZero"/>
        <c:crossBetween val="midCat"/>
      </c:valAx>
      <c:valAx>
        <c:axId val="135490560"/>
        <c:scaling>
          <c:orientation val="minMax"/>
          <c:max val="0.5"/>
          <c:min val="-0.5"/>
        </c:scaling>
        <c:axPos val="l"/>
        <c:majorGridlines/>
        <c:numFmt formatCode="General" sourceLinked="1"/>
        <c:tickLblPos val="nextTo"/>
        <c:crossAx val="13548864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tx>
            <c:strRef>
              <c:f>Up_10!$AB$4</c:f>
              <c:strCache>
                <c:ptCount val="1"/>
                <c:pt idx="0">
                  <c:v>0,5</c:v>
                </c:pt>
              </c:strCache>
            </c:strRef>
          </c:tx>
          <c:xVal>
            <c:numRef>
              <c:f>Up_10!$AA$5:$AA$14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Up_10!$AB$5:$AB$14</c:f>
              <c:numCache>
                <c:formatCode>General</c:formatCode>
                <c:ptCount val="10"/>
              </c:numCache>
            </c:numRef>
          </c:yVal>
          <c:smooth val="1"/>
        </c:ser>
        <c:ser>
          <c:idx val="1"/>
          <c:order val="1"/>
          <c:tx>
            <c:strRef>
              <c:f>Up_10!$AC$4</c:f>
              <c:strCache>
                <c:ptCount val="1"/>
                <c:pt idx="0">
                  <c:v>1</c:v>
                </c:pt>
              </c:strCache>
            </c:strRef>
          </c:tx>
          <c:trendline>
            <c:trendlineType val="poly"/>
            <c:order val="2"/>
            <c:dispEq val="1"/>
            <c:trendlineLbl>
              <c:layout>
                <c:manualLayout>
                  <c:x val="7.6805118110236228E-2"/>
                  <c:y val="-0.11348061779897305"/>
                </c:manualLayout>
              </c:layout>
              <c:numFmt formatCode="General" sourceLinked="0"/>
              <c:spPr>
                <a:solidFill>
                  <a:srgbClr val="FFFF99"/>
                </a:solidFill>
              </c:spPr>
            </c:trendlineLbl>
          </c:trendline>
          <c:xVal>
            <c:numRef>
              <c:f>Up_10!$AA$5:$AA$14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Up_10!$AC$5:$AC$14</c:f>
              <c:numCache>
                <c:formatCode>General</c:formatCode>
                <c:ptCount val="10"/>
              </c:numCache>
            </c:numRef>
          </c:yVal>
          <c:smooth val="1"/>
        </c:ser>
        <c:ser>
          <c:idx val="2"/>
          <c:order val="2"/>
          <c:tx>
            <c:strRef>
              <c:f>Up_10!$AD$4</c:f>
              <c:strCache>
                <c:ptCount val="1"/>
                <c:pt idx="0">
                  <c:v>1,5</c:v>
                </c:pt>
              </c:strCache>
            </c:strRef>
          </c:tx>
          <c:xVal>
            <c:numRef>
              <c:f>Up_10!$AA$5:$AA$14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Up_10!$AD$5:$AD$14</c:f>
              <c:numCache>
                <c:formatCode>General</c:formatCode>
                <c:ptCount val="10"/>
              </c:numCache>
            </c:numRef>
          </c:yVal>
          <c:smooth val="1"/>
        </c:ser>
        <c:ser>
          <c:idx val="3"/>
          <c:order val="3"/>
          <c:tx>
            <c:strRef>
              <c:f>Up_10!$AE$4</c:f>
              <c:strCache>
                <c:ptCount val="1"/>
                <c:pt idx="0">
                  <c:v>2</c:v>
                </c:pt>
              </c:strCache>
            </c:strRef>
          </c:tx>
          <c:xVal>
            <c:numRef>
              <c:f>Up_10!$AA$5:$AA$14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Up_10!$AE$5:$AE$14</c:f>
              <c:numCache>
                <c:formatCode>General</c:formatCode>
                <c:ptCount val="10"/>
                <c:pt idx="3">
                  <c:v>0.372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Up_10!$AF$4</c:f>
              <c:strCache>
                <c:ptCount val="1"/>
                <c:pt idx="0">
                  <c:v>2,5</c:v>
                </c:pt>
              </c:strCache>
            </c:strRef>
          </c:tx>
          <c:xVal>
            <c:numRef>
              <c:f>Up_10!$AA$5:$AA$14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Up_10!$AF$5:$AF$14</c:f>
              <c:numCache>
                <c:formatCode>General</c:formatCode>
                <c:ptCount val="10"/>
              </c:numCache>
            </c:numRef>
          </c:yVal>
          <c:smooth val="1"/>
        </c:ser>
        <c:ser>
          <c:idx val="5"/>
          <c:order val="5"/>
          <c:tx>
            <c:strRef>
              <c:f>Up_10!$AG$4</c:f>
              <c:strCache>
                <c:ptCount val="1"/>
                <c:pt idx="0">
                  <c:v>3</c:v>
                </c:pt>
              </c:strCache>
            </c:strRef>
          </c:tx>
          <c:xVal>
            <c:numRef>
              <c:f>Up_10!$AA$5:$AA$14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Up_10!$AG$5:$AG$14</c:f>
              <c:numCache>
                <c:formatCode>General</c:formatCode>
                <c:ptCount val="10"/>
              </c:numCache>
            </c:numRef>
          </c:yVal>
          <c:smooth val="1"/>
        </c:ser>
        <c:axId val="137066368"/>
        <c:axId val="137067904"/>
      </c:scatterChart>
      <c:valAx>
        <c:axId val="137066368"/>
        <c:scaling>
          <c:orientation val="minMax"/>
        </c:scaling>
        <c:axPos val="b"/>
        <c:majorGridlines/>
        <c:numFmt formatCode="General" sourceLinked="1"/>
        <c:tickLblPos val="nextTo"/>
        <c:crossAx val="137067904"/>
        <c:crosses val="autoZero"/>
        <c:crossBetween val="midCat"/>
      </c:valAx>
      <c:valAx>
        <c:axId val="137067904"/>
        <c:scaling>
          <c:orientation val="minMax"/>
        </c:scaling>
        <c:axPos val="l"/>
        <c:majorGridlines/>
        <c:numFmt formatCode="General" sourceLinked="1"/>
        <c:tickLblPos val="nextTo"/>
        <c:crossAx val="137066368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1"/>
          <c:order val="0"/>
          <c:tx>
            <c:v>0,5 Grad</c:v>
          </c:tx>
          <c:spPr>
            <a:ln w="28575">
              <a:noFill/>
            </a:ln>
          </c:spPr>
          <c:xVal>
            <c:numRef>
              <c:f>Gröber!$B$7:$B$11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Gröber!$C$7:$C$11</c:f>
              <c:numCache>
                <c:formatCode>General</c:formatCode>
                <c:ptCount val="5"/>
                <c:pt idx="0">
                  <c:v>7.8053497011563625E-2</c:v>
                </c:pt>
                <c:pt idx="1">
                  <c:v>9.8730731959074822E-2</c:v>
                </c:pt>
                <c:pt idx="2">
                  <c:v>0.1258574822126553</c:v>
                </c:pt>
                <c:pt idx="3">
                  <c:v>0.15610699402312725</c:v>
                </c:pt>
                <c:pt idx="4">
                  <c:v>0.18797771329404503</c:v>
                </c:pt>
              </c:numCache>
            </c:numRef>
          </c:yVal>
        </c:ser>
        <c:ser>
          <c:idx val="0"/>
          <c:order val="1"/>
          <c:tx>
            <c:v>1 Grad</c:v>
          </c:tx>
          <c:spPr>
            <a:ln w="28575">
              <a:noFill/>
            </a:ln>
          </c:spPr>
          <c:xVal>
            <c:numRef>
              <c:f>Gröber!$B$7:$B$11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Gröber!$D$7:$D$11</c:f>
              <c:numCache>
                <c:formatCode>General</c:formatCode>
                <c:ptCount val="5"/>
                <c:pt idx="0">
                  <c:v>0.15610699402312725</c:v>
                </c:pt>
                <c:pt idx="1">
                  <c:v>0.19746146391814964</c:v>
                </c:pt>
                <c:pt idx="2">
                  <c:v>0.25171496442531061</c:v>
                </c:pt>
                <c:pt idx="3">
                  <c:v>0.3122139880462545</c:v>
                </c:pt>
                <c:pt idx="4">
                  <c:v>0.37595542658809006</c:v>
                </c:pt>
              </c:numCache>
            </c:numRef>
          </c:yVal>
        </c:ser>
        <c:ser>
          <c:idx val="2"/>
          <c:order val="2"/>
          <c:tx>
            <c:v>1,5 Grad</c:v>
          </c:tx>
          <c:spPr>
            <a:ln w="28575">
              <a:noFill/>
            </a:ln>
          </c:spPr>
          <c:trendline>
            <c:trendlineType val="poly"/>
            <c:order val="2"/>
            <c:dispEq val="1"/>
            <c:trendlineLbl>
              <c:numFmt formatCode="General" sourceLinked="0"/>
            </c:trendlineLbl>
          </c:trendline>
          <c:xVal>
            <c:numRef>
              <c:f>Gröber!$B$7:$B$11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Gröber!$E$7:$E$11</c:f>
              <c:numCache>
                <c:formatCode>General</c:formatCode>
                <c:ptCount val="5"/>
                <c:pt idx="0">
                  <c:v>0.23416049103469083</c:v>
                </c:pt>
                <c:pt idx="1">
                  <c:v>0.2961921958772244</c:v>
                </c:pt>
                <c:pt idx="2">
                  <c:v>0.37757244663796585</c:v>
                </c:pt>
                <c:pt idx="3">
                  <c:v>0.46832098206938166</c:v>
                </c:pt>
                <c:pt idx="4">
                  <c:v>0.563933139882135</c:v>
                </c:pt>
              </c:numCache>
            </c:numRef>
          </c:yVal>
        </c:ser>
        <c:ser>
          <c:idx val="3"/>
          <c:order val="3"/>
          <c:tx>
            <c:v>2 Grad</c:v>
          </c:tx>
          <c:spPr>
            <a:ln w="28575">
              <a:noFill/>
            </a:ln>
          </c:spPr>
          <c:xVal>
            <c:numRef>
              <c:f>Gröber!$B$7:$B$11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Gröber!$F$7:$F$11</c:f>
              <c:numCache>
                <c:formatCode>General</c:formatCode>
                <c:ptCount val="5"/>
                <c:pt idx="0">
                  <c:v>0.3122139880462545</c:v>
                </c:pt>
                <c:pt idx="1">
                  <c:v>0.39492292783629929</c:v>
                </c:pt>
                <c:pt idx="2">
                  <c:v>0.50342992885062121</c:v>
                </c:pt>
                <c:pt idx="3">
                  <c:v>0.624427976092509</c:v>
                </c:pt>
                <c:pt idx="4">
                  <c:v>0.75191085317618012</c:v>
                </c:pt>
              </c:numCache>
            </c:numRef>
          </c:yVal>
        </c:ser>
        <c:ser>
          <c:idx val="4"/>
          <c:order val="4"/>
          <c:tx>
            <c:v>2,5 Grad</c:v>
          </c:tx>
          <c:spPr>
            <a:ln w="28575">
              <a:noFill/>
            </a:ln>
          </c:spPr>
          <c:xVal>
            <c:numRef>
              <c:f>Gröber!$B$7:$B$11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Gröber!$G$7:$G$11</c:f>
              <c:numCache>
                <c:formatCode>General</c:formatCode>
                <c:ptCount val="5"/>
                <c:pt idx="0">
                  <c:v>0.39026748505781805</c:v>
                </c:pt>
                <c:pt idx="1">
                  <c:v>0.49365365979537401</c:v>
                </c:pt>
                <c:pt idx="2">
                  <c:v>0.62928741106327635</c:v>
                </c:pt>
                <c:pt idx="3">
                  <c:v>0.78053497011563611</c:v>
                </c:pt>
                <c:pt idx="4">
                  <c:v>0.93988856647022501</c:v>
                </c:pt>
              </c:numCache>
            </c:numRef>
          </c:yVal>
        </c:ser>
        <c:ser>
          <c:idx val="5"/>
          <c:order val="5"/>
          <c:tx>
            <c:v>3 Grad</c:v>
          </c:tx>
          <c:spPr>
            <a:ln w="28575">
              <a:noFill/>
            </a:ln>
          </c:spPr>
          <c:xVal>
            <c:numRef>
              <c:f>Gröber!$B$7:$B$11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Gröber!$H$7:$H$11</c:f>
              <c:numCache>
                <c:formatCode>General</c:formatCode>
                <c:ptCount val="5"/>
                <c:pt idx="0">
                  <c:v>0.46832098206938166</c:v>
                </c:pt>
                <c:pt idx="1">
                  <c:v>0.59238439175444879</c:v>
                </c:pt>
                <c:pt idx="2">
                  <c:v>0.75514489327593171</c:v>
                </c:pt>
                <c:pt idx="3">
                  <c:v>0.93664196413876333</c:v>
                </c:pt>
                <c:pt idx="4">
                  <c:v>1.12786627976427</c:v>
                </c:pt>
              </c:numCache>
            </c:numRef>
          </c:yVal>
        </c:ser>
        <c:axId val="137264128"/>
        <c:axId val="137274112"/>
      </c:scatterChart>
      <c:valAx>
        <c:axId val="137264128"/>
        <c:scaling>
          <c:orientation val="minMax"/>
        </c:scaling>
        <c:axPos val="b"/>
        <c:minorGridlines/>
        <c:numFmt formatCode="General" sourceLinked="1"/>
        <c:tickLblPos val="nextTo"/>
        <c:crossAx val="137274112"/>
        <c:crosses val="autoZero"/>
        <c:crossBetween val="midCat"/>
        <c:minorUnit val="0.5"/>
      </c:valAx>
      <c:valAx>
        <c:axId val="137274112"/>
        <c:scaling>
          <c:orientation val="minMax"/>
        </c:scaling>
        <c:axPos val="l"/>
        <c:majorGridlines/>
        <c:numFmt formatCode="General" sourceLinked="1"/>
        <c:tickLblPos val="nextTo"/>
        <c:crossAx val="137264128"/>
        <c:crosses val="autoZero"/>
        <c:crossBetween val="midCat"/>
      </c:valAx>
    </c:plotArea>
    <c:legend>
      <c:legendPos val="r"/>
      <c:legendEntry>
        <c:idx val="6"/>
        <c:delete val="1"/>
      </c:legendEntry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/>
      <c:scatterChart>
        <c:scatterStyle val="lineMarker"/>
        <c:ser>
          <c:idx val="0"/>
          <c:order val="0"/>
          <c:tx>
            <c:v>X=1m</c:v>
          </c:tx>
          <c:spPr>
            <a:ln w="28575">
              <a:noFill/>
            </a:ln>
          </c:spPr>
          <c:xVal>
            <c:numRef>
              <c:f>Aimpoint!$D$5:$D$9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Aimpoint!$E$5:$E$9</c:f>
              <c:numCache>
                <c:formatCode>General</c:formatCode>
                <c:ptCount val="5"/>
                <c:pt idx="0">
                  <c:v>0.16656548808147864</c:v>
                </c:pt>
                <c:pt idx="1">
                  <c:v>0.36074671143057557</c:v>
                </c:pt>
                <c:pt idx="2">
                  <c:v>0.67433575868390072</c:v>
                </c:pt>
                <c:pt idx="3">
                  <c:v>1.1207958001090637</c:v>
                </c:pt>
                <c:pt idx="4">
                  <c:v>1.7197043247426462</c:v>
                </c:pt>
              </c:numCache>
            </c:numRef>
          </c:yVal>
        </c:ser>
        <c:ser>
          <c:idx val="1"/>
          <c:order val="1"/>
          <c:tx>
            <c:v>X=2m</c:v>
          </c:tx>
          <c:spPr>
            <a:ln w="28575">
              <a:noFill/>
            </a:ln>
          </c:spPr>
          <c:xVal>
            <c:numRef>
              <c:f>Aimpoint!$D$5:$D$9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Aimpoint!$F$5:$F$9</c:f>
              <c:numCache>
                <c:formatCode>General</c:formatCode>
                <c:ptCount val="5"/>
                <c:pt idx="0">
                  <c:v>0.16275893098287897</c:v>
                </c:pt>
                <c:pt idx="1">
                  <c:v>0.24660543316659966</c:v>
                </c:pt>
                <c:pt idx="2">
                  <c:v>0.38209745218461144</c:v>
                </c:pt>
                <c:pt idx="3">
                  <c:v>0.5699767385325023</c:v>
                </c:pt>
                <c:pt idx="4">
                  <c:v>0.81253067595329664</c:v>
                </c:pt>
              </c:numCache>
            </c:numRef>
          </c:yVal>
        </c:ser>
        <c:ser>
          <c:idx val="2"/>
          <c:order val="2"/>
          <c:tx>
            <c:v>X=3m</c:v>
          </c:tx>
          <c:spPr>
            <a:ln w="28575">
              <a:noFill/>
            </a:ln>
          </c:spPr>
          <c:trendline>
            <c:trendlineType val="linear"/>
          </c:trendline>
          <c:xVal>
            <c:numRef>
              <c:f>Aimpoint!$D$5:$D$9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Aimpoint!$G$5:$G$9</c:f>
              <c:numCache>
                <c:formatCode>General</c:formatCode>
                <c:ptCount val="5"/>
                <c:pt idx="0">
                  <c:v>0.19051892630445821</c:v>
                </c:pt>
                <c:pt idx="1">
                  <c:v>0.2428358697719335</c:v>
                </c:pt>
                <c:pt idx="2">
                  <c:v>0.32783070356142474</c:v>
                </c:pt>
                <c:pt idx="3">
                  <c:v>0.44557625951978963</c:v>
                </c:pt>
                <c:pt idx="4">
                  <c:v>0.59662155003022654</c:v>
                </c:pt>
              </c:numCache>
            </c:numRef>
          </c:yVal>
        </c:ser>
        <c:ser>
          <c:idx val="3"/>
          <c:order val="3"/>
          <c:tx>
            <c:v>X=4m</c:v>
          </c:tx>
          <c:spPr>
            <a:ln w="28575">
              <a:noFill/>
            </a:ln>
          </c:spPr>
          <c:xVal>
            <c:numRef>
              <c:f>Aimpoint!$D$5:$D$9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Aimpoint!$H$5:$H$9</c:f>
              <c:numCache>
                <c:formatCode>General</c:formatCode>
                <c:ptCount val="5"/>
                <c:pt idx="0">
                  <c:v>0.22465621321072526</c:v>
                </c:pt>
                <c:pt idx="1">
                  <c:v>0.26254194871755132</c:v>
                </c:pt>
                <c:pt idx="2">
                  <c:v>0.32407421042566087</c:v>
                </c:pt>
                <c:pt idx="3">
                  <c:v>0.40934320262024482</c:v>
                </c:pt>
                <c:pt idx="4">
                  <c:v>0.5185672000729511</c:v>
                </c:pt>
              </c:numCache>
            </c:numRef>
          </c:yVal>
        </c:ser>
        <c:ser>
          <c:idx val="4"/>
          <c:order val="4"/>
          <c:tx>
            <c:v>X=5m</c:v>
          </c:tx>
          <c:spPr>
            <a:ln w="28575">
              <a:noFill/>
            </a:ln>
          </c:spPr>
          <c:xVal>
            <c:numRef>
              <c:f>Aimpoint!$D$5:$D$9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Aimpoint!$I$5:$I$9</c:f>
              <c:numCache>
                <c:formatCode>General</c:formatCode>
                <c:ptCount val="5"/>
                <c:pt idx="0">
                  <c:v>0.26105888002653943</c:v>
                </c:pt>
                <c:pt idx="1">
                  <c:v>0.29079269959480092</c:v>
                </c:pt>
                <c:pt idx="2">
                  <c:v>0.33894053230056276</c:v>
                </c:pt>
                <c:pt idx="3">
                  <c:v>0.40561928344849996</c:v>
                </c:pt>
                <c:pt idx="4">
                  <c:v>0.49096918434182868</c:v>
                </c:pt>
              </c:numCache>
            </c:numRef>
          </c:yVal>
        </c:ser>
        <c:axId val="137356032"/>
        <c:axId val="137357568"/>
      </c:scatterChart>
      <c:valAx>
        <c:axId val="137356032"/>
        <c:scaling>
          <c:orientation val="minMax"/>
        </c:scaling>
        <c:axPos val="b"/>
        <c:majorGridlines/>
        <c:numFmt formatCode="General" sourceLinked="1"/>
        <c:tickLblPos val="nextTo"/>
        <c:crossAx val="137357568"/>
        <c:crosses val="autoZero"/>
        <c:crossBetween val="midCat"/>
      </c:valAx>
      <c:valAx>
        <c:axId val="137357568"/>
        <c:scaling>
          <c:orientation val="minMax"/>
          <c:max val="1.2"/>
        </c:scaling>
        <c:axPos val="l"/>
        <c:majorGridlines/>
        <c:numFmt formatCode="General" sourceLinked="1"/>
        <c:tickLblPos val="nextTo"/>
        <c:crossAx val="137356032"/>
        <c:crosses val="autoZero"/>
        <c:crossBetween val="midCat"/>
      </c:valAx>
    </c:plotArea>
    <c:legend>
      <c:legendPos val="r"/>
      <c:legendEntry>
        <c:idx val="5"/>
        <c:delete val="1"/>
      </c:legendEntry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tx>
            <c:v>X=1m</c:v>
          </c:tx>
          <c:spPr>
            <a:ln w="28575">
              <a:noFill/>
            </a:ln>
          </c:spPr>
          <c:xVal>
            <c:numRef>
              <c:f>Aimpoint!$D$13:$D$17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Aimpoint!$E$13:$E$17</c:f>
              <c:numCache>
                <c:formatCode>General</c:formatCode>
                <c:ptCount val="5"/>
                <c:pt idx="0">
                  <c:v>0.14278280112281583</c:v>
                </c:pt>
                <c:pt idx="1">
                  <c:v>0.279953009426122</c:v>
                </c:pt>
                <c:pt idx="2">
                  <c:v>0.48009045995393596</c:v>
                </c:pt>
                <c:pt idx="3">
                  <c:v>0.73377723735785905</c:v>
                </c:pt>
                <c:pt idx="4">
                  <c:v>1.0350780766915739</c:v>
                </c:pt>
              </c:numCache>
            </c:numRef>
          </c:yVal>
        </c:ser>
        <c:ser>
          <c:idx val="1"/>
          <c:order val="1"/>
          <c:tx>
            <c:v>X=2m</c:v>
          </c:tx>
          <c:spPr>
            <a:ln w="28575">
              <a:noFill/>
            </a:ln>
          </c:spPr>
          <c:xVal>
            <c:numRef>
              <c:f>Aimpoint!$D$13:$D$17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Aimpoint!$F$13:$F$17</c:f>
              <c:numCache>
                <c:formatCode>General</c:formatCode>
                <c:ptCount val="5"/>
                <c:pt idx="0">
                  <c:v>0.15281042632988318</c:v>
                </c:pt>
                <c:pt idx="1">
                  <c:v>0.21953604271223348</c:v>
                </c:pt>
                <c:pt idx="2">
                  <c:v>0.32481539069993604</c:v>
                </c:pt>
                <c:pt idx="3">
                  <c:v>0.4641539554506191</c:v>
                </c:pt>
                <c:pt idx="4">
                  <c:v>0.63469885259857239</c:v>
                </c:pt>
              </c:numCache>
            </c:numRef>
          </c:yVal>
        </c:ser>
        <c:ser>
          <c:idx val="2"/>
          <c:order val="2"/>
          <c:tx>
            <c:v>X=3m</c:v>
          </c:tx>
          <c:spPr>
            <a:ln w="28575">
              <a:noFill/>
            </a:ln>
          </c:spPr>
          <c:trendline>
            <c:trendlineType val="linear"/>
          </c:trendline>
          <c:xVal>
            <c:numRef>
              <c:f>Aimpoint!$D$13:$D$17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Aimpoint!$G$13:$G$17</c:f>
              <c:numCache>
                <c:formatCode>General</c:formatCode>
                <c:ptCount val="5"/>
                <c:pt idx="0">
                  <c:v>0.18352589501114003</c:v>
                </c:pt>
                <c:pt idx="1">
                  <c:v>0.225952952324187</c:v>
                </c:pt>
                <c:pt idx="2">
                  <c:v>0.29553549993746575</c:v>
                </c:pt>
                <c:pt idx="3">
                  <c:v>0.38997229292803492</c:v>
                </c:pt>
                <c:pt idx="4">
                  <c:v>0.50755700651402513</c:v>
                </c:pt>
              </c:numCache>
            </c:numRef>
          </c:yVal>
        </c:ser>
        <c:ser>
          <c:idx val="3"/>
          <c:order val="3"/>
          <c:tx>
            <c:v>X=4m</c:v>
          </c:tx>
          <c:spPr>
            <a:ln w="28575">
              <a:noFill/>
            </a:ln>
          </c:spPr>
          <c:xVal>
            <c:numRef>
              <c:f>Aimpoint!$D$13:$D$17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Aimpoint!$H$13:$H$17</c:f>
              <c:numCache>
                <c:formatCode>General</c:formatCode>
                <c:ptCount val="5"/>
                <c:pt idx="0">
                  <c:v>0.21887141058918957</c:v>
                </c:pt>
                <c:pt idx="1">
                  <c:v>0.24944404365416206</c:v>
                </c:pt>
                <c:pt idx="2">
                  <c:v>0.30068740260542981</c:v>
                </c:pt>
                <c:pt idx="3">
                  <c:v>0.37134165684992881</c:v>
                </c:pt>
                <c:pt idx="4">
                  <c:v>0.46034309520613004</c:v>
                </c:pt>
              </c:numCache>
            </c:numRef>
          </c:yVal>
        </c:ser>
        <c:ser>
          <c:idx val="4"/>
          <c:order val="4"/>
          <c:tx>
            <c:v>X=5m</c:v>
          </c:tx>
          <c:spPr>
            <a:ln w="28575">
              <a:noFill/>
            </a:ln>
          </c:spPr>
          <c:xVal>
            <c:numRef>
              <c:f>Aimpoint!$D$13:$D$17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Aimpoint!$I$13:$I$17</c:f>
              <c:numCache>
                <c:formatCode>General</c:formatCode>
                <c:ptCount val="5"/>
                <c:pt idx="0">
                  <c:v>0.25591964194176153</c:v>
                </c:pt>
                <c:pt idx="1">
                  <c:v>0.27957897213851157</c:v>
                </c:pt>
                <c:pt idx="2">
                  <c:v>0.31981162815645803</c:v>
                </c:pt>
                <c:pt idx="3">
                  <c:v>0.37587089639216043</c:v>
                </c:pt>
                <c:pt idx="4">
                  <c:v>0.44706969558478526</c:v>
                </c:pt>
              </c:numCache>
            </c:numRef>
          </c:yVal>
        </c:ser>
        <c:axId val="137525120"/>
        <c:axId val="137526656"/>
      </c:scatterChart>
      <c:valAx>
        <c:axId val="137525120"/>
        <c:scaling>
          <c:orientation val="minMax"/>
        </c:scaling>
        <c:axPos val="b"/>
        <c:majorGridlines/>
        <c:numFmt formatCode="General" sourceLinked="1"/>
        <c:tickLblPos val="nextTo"/>
        <c:crossAx val="137526656"/>
        <c:crosses val="autoZero"/>
        <c:crossBetween val="midCat"/>
      </c:valAx>
      <c:valAx>
        <c:axId val="137526656"/>
        <c:scaling>
          <c:orientation val="minMax"/>
        </c:scaling>
        <c:axPos val="l"/>
        <c:majorGridlines/>
        <c:numFmt formatCode="General" sourceLinked="1"/>
        <c:tickLblPos val="nextTo"/>
        <c:crossAx val="137525120"/>
        <c:crosses val="autoZero"/>
        <c:crossBetween val="midCat"/>
      </c:valAx>
    </c:plotArea>
    <c:legend>
      <c:legendPos val="r"/>
      <c:legendEntry>
        <c:idx val="5"/>
        <c:delete val="1"/>
      </c:legendEntry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lineMarker"/>
        <c:ser>
          <c:idx val="0"/>
          <c:order val="0"/>
          <c:tx>
            <c:v>Uphill</c:v>
          </c:tx>
          <c:spPr>
            <a:ln w="6350">
              <a:solidFill>
                <a:srgbClr val="0070C0"/>
              </a:solidFill>
            </a:ln>
          </c:spPr>
          <c:marker>
            <c:symbol val="diamond"/>
            <c:size val="8"/>
          </c:marker>
          <c:xVal>
            <c:numRef>
              <c:f>StokesReibung!$F$3:$Z$3</c:f>
              <c:numCache>
                <c:formatCode>0.00</c:formatCode>
                <c:ptCount val="21"/>
                <c:pt idx="0">
                  <c:v>-2</c:v>
                </c:pt>
                <c:pt idx="1">
                  <c:v>-1.8011235639422276</c:v>
                </c:pt>
                <c:pt idx="2">
                  <c:v>-1.6183821305178403</c:v>
                </c:pt>
                <c:pt idx="3">
                  <c:v>-1.4504666541951508</c:v>
                </c:pt>
                <c:pt idx="4">
                  <c:v>-1.2961742933423381</c:v>
                </c:pt>
                <c:pt idx="5">
                  <c:v>-1.1543997938210118</c:v>
                </c:pt>
                <c:pt idx="6">
                  <c:v>-1.0241275716356433</c:v>
                </c:pt>
                <c:pt idx="7">
                  <c:v>-0.90442443792391991</c:v>
                </c:pt>
                <c:pt idx="8">
                  <c:v>-0.79443291417438444</c:v>
                </c:pt>
                <c:pt idx="9">
                  <c:v>-0.69336508978575884</c:v>
                </c:pt>
                <c:pt idx="10">
                  <c:v>-0.60049697796734103</c:v>
                </c:pt>
                <c:pt idx="11">
                  <c:v>-0.5151633295496667</c:v>
                </c:pt>
                <c:pt idx="12">
                  <c:v>-0.43675286755482001</c:v>
                </c:pt>
                <c:pt idx="13">
                  <c:v>-0.36470390838982247</c:v>
                </c:pt>
                <c:pt idx="14">
                  <c:v>-0.29850033829606804</c:v>
                </c:pt>
                <c:pt idx="15">
                  <c:v>-0.23766791623260053</c:v>
                </c:pt>
                <c:pt idx="16">
                  <c:v>-0.18177087670939596</c:v>
                </c:pt>
                <c:pt idx="17">
                  <c:v>-0.13040880823546819</c:v>
                </c:pt>
                <c:pt idx="18">
                  <c:v>-8.321378502095067E-2</c:v>
                </c:pt>
                <c:pt idx="19">
                  <c:v>-3.9847731386457586E-2</c:v>
                </c:pt>
                <c:pt idx="20">
                  <c:v>0</c:v>
                </c:pt>
              </c:numCache>
            </c:numRef>
          </c:xVal>
          <c:yVal>
            <c:numRef>
              <c:f>StokesReibung!$F$4:$Z$4</c:f>
              <c:numCache>
                <c:formatCode>0.00</c:formatCode>
                <c:ptCount val="21"/>
                <c:pt idx="0">
                  <c:v>-2</c:v>
                </c:pt>
                <c:pt idx="1">
                  <c:v>-1.7400427447051492</c:v>
                </c:pt>
                <c:pt idx="2">
                  <c:v>-1.5061878737428349</c:v>
                </c:pt>
                <c:pt idx="3">
                  <c:v>-1.2963176800166738</c:v>
                </c:pt>
                <c:pt idx="4">
                  <c:v>-1.108486267682806</c:v>
                </c:pt>
                <c:pt idx="5">
                  <c:v>-0.94090561296702391</c:v>
                </c:pt>
                <c:pt idx="6">
                  <c:v>-0.79193275587882783</c:v>
                </c:pt>
                <c:pt idx="7">
                  <c:v>-0.66005803107186534</c:v>
                </c:pt>
                <c:pt idx="8">
                  <c:v>-0.54389425354397014</c:v>
                </c:pt>
                <c:pt idx="9">
                  <c:v>-0.4421667817099163</c:v>
                </c:pt>
                <c:pt idx="10">
                  <c:v>-0.35370438666494414</c:v>
                </c:pt>
                <c:pt idx="11">
                  <c:v>-0.27743086223216007</c:v>
                </c:pt>
                <c:pt idx="12">
                  <c:v>-0.21235731569343169</c:v>
                </c:pt>
                <c:pt idx="13">
                  <c:v>-0.15757508397938569</c:v>
                </c:pt>
                <c:pt idx="14">
                  <c:v>-0.11224922457451358</c:v>
                </c:pt>
                <c:pt idx="15">
                  <c:v>-7.5612534510303142E-2</c:v>
                </c:pt>
                <c:pt idx="16">
                  <c:v>-4.6960054602183998E-2</c:v>
                </c:pt>
                <c:pt idx="17">
                  <c:v>-2.5644019562082732E-2</c:v>
                </c:pt>
                <c:pt idx="18">
                  <c:v>-1.1069217812339827E-2</c:v>
                </c:pt>
                <c:pt idx="19">
                  <c:v>-2.6887277615983418E-3</c:v>
                </c:pt>
                <c:pt idx="20">
                  <c:v>0</c:v>
                </c:pt>
              </c:numCache>
            </c:numRef>
          </c:yVal>
        </c:ser>
        <c:ser>
          <c:idx val="1"/>
          <c:order val="1"/>
          <c:tx>
            <c:v>Downhill</c:v>
          </c:tx>
          <c:spPr>
            <a:ln w="6350">
              <a:solidFill>
                <a:srgbClr val="C00000"/>
              </a:solidFill>
            </a:ln>
          </c:spPr>
          <c:marker>
            <c:symbol val="square"/>
            <c:size val="7"/>
          </c:marker>
          <c:xVal>
            <c:numRef>
              <c:f>StokesReibung!$F$12:$Z$12</c:f>
              <c:numCache>
                <c:formatCode>0.00</c:formatCode>
                <c:ptCount val="21"/>
                <c:pt idx="0">
                  <c:v>2</c:v>
                </c:pt>
                <c:pt idx="1">
                  <c:v>1.8011235639422276</c:v>
                </c:pt>
                <c:pt idx="2">
                  <c:v>1.6183821305178403</c:v>
                </c:pt>
                <c:pt idx="3">
                  <c:v>1.4504666541951508</c:v>
                </c:pt>
                <c:pt idx="4">
                  <c:v>1.2961742933423381</c:v>
                </c:pt>
                <c:pt idx="5">
                  <c:v>1.1543997938210118</c:v>
                </c:pt>
                <c:pt idx="6">
                  <c:v>1.0241275716356433</c:v>
                </c:pt>
                <c:pt idx="7">
                  <c:v>0.90442443792391991</c:v>
                </c:pt>
                <c:pt idx="8">
                  <c:v>0.79443291417438444</c:v>
                </c:pt>
                <c:pt idx="9">
                  <c:v>0.69336508978575884</c:v>
                </c:pt>
                <c:pt idx="10">
                  <c:v>0.60049697796734103</c:v>
                </c:pt>
                <c:pt idx="11">
                  <c:v>0.5151633295496667</c:v>
                </c:pt>
                <c:pt idx="12">
                  <c:v>0.43675286755482001</c:v>
                </c:pt>
                <c:pt idx="13">
                  <c:v>0.36470390838982247</c:v>
                </c:pt>
                <c:pt idx="14">
                  <c:v>0.29850033829606804</c:v>
                </c:pt>
                <c:pt idx="15">
                  <c:v>0.23766791623260053</c:v>
                </c:pt>
                <c:pt idx="16">
                  <c:v>0.18177087670939596</c:v>
                </c:pt>
                <c:pt idx="17">
                  <c:v>0.13040880823546819</c:v>
                </c:pt>
                <c:pt idx="18">
                  <c:v>8.321378502095067E-2</c:v>
                </c:pt>
                <c:pt idx="19">
                  <c:v>3.9847731386457586E-2</c:v>
                </c:pt>
                <c:pt idx="20">
                  <c:v>0</c:v>
                </c:pt>
              </c:numCache>
            </c:numRef>
          </c:xVal>
          <c:yVal>
            <c:numRef>
              <c:f>StokesReibung!$F$13:$Z$13</c:f>
              <c:numCache>
                <c:formatCode>0.00</c:formatCode>
                <c:ptCount val="21"/>
                <c:pt idx="0">
                  <c:v>2</c:v>
                </c:pt>
                <c:pt idx="1">
                  <c:v>1.8622043831793058</c:v>
                </c:pt>
                <c:pt idx="2">
                  <c:v>1.7305763872928455</c:v>
                </c:pt>
                <c:pt idx="3">
                  <c:v>1.6046156283736275</c:v>
                </c:pt>
                <c:pt idx="4">
                  <c:v>1.4838623190018703</c:v>
                </c:pt>
                <c:pt idx="5">
                  <c:v>1.3678939746749994</c:v>
                </c:pt>
                <c:pt idx="6">
                  <c:v>1.2563223873924585</c:v>
                </c:pt>
                <c:pt idx="7">
                  <c:v>1.148790844775974</c:v>
                </c:pt>
                <c:pt idx="8">
                  <c:v>1.0449715748047985</c:v>
                </c:pt>
                <c:pt idx="9">
                  <c:v>0.94456339786160159</c:v>
                </c:pt>
                <c:pt idx="10">
                  <c:v>0.84728956926973797</c:v>
                </c:pt>
                <c:pt idx="11">
                  <c:v>0.75289579686717334</c:v>
                </c:pt>
                <c:pt idx="12">
                  <c:v>0.66114841941620806</c:v>
                </c:pt>
                <c:pt idx="13">
                  <c:v>0.57183273280025904</c:v>
                </c:pt>
                <c:pt idx="14">
                  <c:v>0.48475145201762204</c:v>
                </c:pt>
                <c:pt idx="15">
                  <c:v>0.39972329795489769</c:v>
                </c:pt>
                <c:pt idx="16">
                  <c:v>0.31658169881660747</c:v>
                </c:pt>
                <c:pt idx="17">
                  <c:v>0.23517359690885342</c:v>
                </c:pt>
                <c:pt idx="18">
                  <c:v>0.15535835222956107</c:v>
                </c:pt>
                <c:pt idx="19">
                  <c:v>7.7006735011316607E-2</c:v>
                </c:pt>
                <c:pt idx="20">
                  <c:v>0</c:v>
                </c:pt>
              </c:numCache>
            </c:numRef>
          </c:yVal>
        </c:ser>
        <c:axId val="164695040"/>
        <c:axId val="6210304"/>
      </c:scatterChart>
      <c:valAx>
        <c:axId val="164695040"/>
        <c:scaling>
          <c:orientation val="minMax"/>
          <c:max val="2.5"/>
          <c:min val="-2.5"/>
        </c:scaling>
        <c:axPos val="b"/>
        <c:majorGridlines/>
        <c:numFmt formatCode="0.00" sourceLinked="1"/>
        <c:tickLblPos val="nextTo"/>
        <c:crossAx val="6210304"/>
        <c:crosses val="autoZero"/>
        <c:crossBetween val="midCat"/>
      </c:valAx>
      <c:valAx>
        <c:axId val="6210304"/>
        <c:scaling>
          <c:orientation val="minMax"/>
          <c:max val="2.5"/>
          <c:min val="-2.5"/>
        </c:scaling>
        <c:axPos val="l"/>
        <c:majorGridlines/>
        <c:numFmt formatCode="0.00" sourceLinked="1"/>
        <c:tickLblPos val="nextTo"/>
        <c:crossAx val="16469504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>
        <c:manualLayout>
          <c:layoutTarget val="inner"/>
          <c:xMode val="edge"/>
          <c:yMode val="edge"/>
          <c:x val="5.1485937494565481E-2"/>
          <c:y val="1.7644051942851603E-2"/>
          <c:w val="0.91718482722320605"/>
          <c:h val="0.96471189611430153"/>
        </c:manualLayout>
      </c:layout>
      <c:scatterChart>
        <c:scatterStyle val="smoothMarker"/>
        <c:ser>
          <c:idx val="0"/>
          <c:order val="0"/>
          <c:tx>
            <c:strRef>
              <c:f>Auswertung!$C$4</c:f>
              <c:strCache>
                <c:ptCount val="1"/>
                <c:pt idx="0">
                  <c:v>3-</c:v>
                </c:pt>
              </c:strCache>
            </c:strRef>
          </c:tx>
          <c:trendline>
            <c:trendlineType val="linear"/>
          </c:trendline>
          <c:xVal>
            <c:numRef>
              <c:f>Auswertung!$B$5:$B$14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Auswertung!$C$5:$C$14</c:f>
              <c:numCache>
                <c:formatCode>General</c:formatCode>
                <c:ptCount val="10"/>
                <c:pt idx="1">
                  <c:v>-0.35</c:v>
                </c:pt>
                <c:pt idx="3">
                  <c:v>-0.51600000000000001</c:v>
                </c:pt>
                <c:pt idx="5">
                  <c:v>-0.68400000000000005</c:v>
                </c:pt>
                <c:pt idx="7">
                  <c:v>-0.871</c:v>
                </c:pt>
                <c:pt idx="9">
                  <c:v>-1.0820000000000001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Auswertung!$D$4</c:f>
              <c:strCache>
                <c:ptCount val="1"/>
                <c:pt idx="0">
                  <c:v>2,5-</c:v>
                </c:pt>
              </c:strCache>
            </c:strRef>
          </c:tx>
          <c:trendline>
            <c:trendlineType val="linear"/>
          </c:trendline>
          <c:xVal>
            <c:numRef>
              <c:f>Auswertung!$B$5:$B$14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Auswertung!$D$5:$D$14</c:f>
              <c:numCache>
                <c:formatCode>General</c:formatCode>
                <c:ptCount val="10"/>
                <c:pt idx="1">
                  <c:v>-0.32</c:v>
                </c:pt>
                <c:pt idx="3">
                  <c:v>-0.45300000000000001</c:v>
                </c:pt>
                <c:pt idx="5">
                  <c:v>-0.59799999999999998</c:v>
                </c:pt>
                <c:pt idx="7">
                  <c:v>-0.76500000000000001</c:v>
                </c:pt>
                <c:pt idx="9">
                  <c:v>-0.93899999999999995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Auswertung!$E$4</c:f>
              <c:strCache>
                <c:ptCount val="1"/>
                <c:pt idx="0">
                  <c:v>2-</c:v>
                </c:pt>
              </c:strCache>
            </c:strRef>
          </c:tx>
          <c:trendline>
            <c:trendlineType val="linear"/>
          </c:trendline>
          <c:xVal>
            <c:numRef>
              <c:f>Auswertung!$B$5:$B$14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Auswertung!$E$5:$E$14</c:f>
              <c:numCache>
                <c:formatCode>General</c:formatCode>
                <c:ptCount val="10"/>
                <c:pt idx="1">
                  <c:v>-0.27600000000000002</c:v>
                </c:pt>
                <c:pt idx="3">
                  <c:v>-0.38200000000000001</c:v>
                </c:pt>
                <c:pt idx="5">
                  <c:v>-0.5</c:v>
                </c:pt>
                <c:pt idx="7">
                  <c:v>-0.64500000000000002</c:v>
                </c:pt>
                <c:pt idx="9">
                  <c:v>-0.79500000000000004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Auswertung!$F$4</c:f>
              <c:strCache>
                <c:ptCount val="1"/>
                <c:pt idx="0">
                  <c:v>1,5-</c:v>
                </c:pt>
              </c:strCache>
            </c:strRef>
          </c:tx>
          <c:trendline>
            <c:trendlineType val="linear"/>
          </c:trendline>
          <c:xVal>
            <c:numRef>
              <c:f>Auswertung!$B$5:$B$14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Auswertung!$F$5:$F$14</c:f>
              <c:numCache>
                <c:formatCode>General</c:formatCode>
                <c:ptCount val="10"/>
                <c:pt idx="1">
                  <c:v>-0.224</c:v>
                </c:pt>
                <c:pt idx="3">
                  <c:v>-0.30299999999999999</c:v>
                </c:pt>
                <c:pt idx="5">
                  <c:v>-0.39800000000000002</c:v>
                </c:pt>
                <c:pt idx="7">
                  <c:v>-0.51500000000000001</c:v>
                </c:pt>
                <c:pt idx="9">
                  <c:v>-0.63300000000000001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Auswertung!$G$4</c:f>
              <c:strCache>
                <c:ptCount val="1"/>
                <c:pt idx="0">
                  <c:v>1-</c:v>
                </c:pt>
              </c:strCache>
            </c:strRef>
          </c:tx>
          <c:trendline>
            <c:trendlineType val="linear"/>
          </c:trendline>
          <c:xVal>
            <c:numRef>
              <c:f>Auswertung!$B$5:$B$14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Auswertung!$G$5:$G$14</c:f>
              <c:numCache>
                <c:formatCode>General</c:formatCode>
                <c:ptCount val="10"/>
                <c:pt idx="1">
                  <c:v>-0.16</c:v>
                </c:pt>
                <c:pt idx="3">
                  <c:v>-0.21</c:v>
                </c:pt>
                <c:pt idx="5">
                  <c:v>-0.28299999999999997</c:v>
                </c:pt>
                <c:pt idx="7">
                  <c:v>-0.37</c:v>
                </c:pt>
                <c:pt idx="9">
                  <c:v>-0.45900000000000002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Auswertung!$H$4</c:f>
              <c:strCache>
                <c:ptCount val="1"/>
                <c:pt idx="0">
                  <c:v>0,5-</c:v>
                </c:pt>
              </c:strCache>
            </c:strRef>
          </c:tx>
          <c:xVal>
            <c:numRef>
              <c:f>Auswertung!$B$5:$B$14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Auswertung!$H$5:$H$14</c:f>
              <c:numCache>
                <c:formatCode>General</c:formatCode>
                <c:ptCount val="10"/>
                <c:pt idx="1">
                  <c:v>8.5999999999999993E-2</c:v>
                </c:pt>
                <c:pt idx="3">
                  <c:v>0.115</c:v>
                </c:pt>
                <c:pt idx="5">
                  <c:v>0.155</c:v>
                </c:pt>
                <c:pt idx="7">
                  <c:v>0.193</c:v>
                </c:pt>
                <c:pt idx="9">
                  <c:v>0.25900000000000001</c:v>
                </c:pt>
              </c:numCache>
            </c:numRef>
          </c:yVal>
          <c:smooth val="1"/>
        </c:ser>
        <c:ser>
          <c:idx val="6"/>
          <c:order val="6"/>
          <c:tx>
            <c:strRef>
              <c:f>Auswertung!$I$4</c:f>
              <c:strCache>
                <c:ptCount val="1"/>
                <c:pt idx="0">
                  <c:v>0,5+</c:v>
                </c:pt>
              </c:strCache>
            </c:strRef>
          </c:tx>
          <c:trendline>
            <c:trendlineType val="linear"/>
          </c:trendline>
          <c:xVal>
            <c:numRef>
              <c:f>Auswertung!$B$5:$B$14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Auswertung!$I$5:$I$14</c:f>
              <c:numCache>
                <c:formatCode>General</c:formatCode>
                <c:ptCount val="10"/>
                <c:pt idx="1">
                  <c:v>9.4E-2</c:v>
                </c:pt>
                <c:pt idx="3">
                  <c:v>0.126</c:v>
                </c:pt>
                <c:pt idx="5">
                  <c:v>0.17</c:v>
                </c:pt>
                <c:pt idx="7">
                  <c:v>0.223</c:v>
                </c:pt>
                <c:pt idx="9">
                  <c:v>0.27400000000000002</c:v>
                </c:pt>
              </c:numCache>
            </c:numRef>
          </c:yVal>
          <c:smooth val="1"/>
        </c:ser>
        <c:ser>
          <c:idx val="7"/>
          <c:order val="7"/>
          <c:tx>
            <c:strRef>
              <c:f>Auswertung!$J$4</c:f>
              <c:strCache>
                <c:ptCount val="1"/>
                <c:pt idx="0">
                  <c:v>1+</c:v>
                </c:pt>
              </c:strCache>
            </c:strRef>
          </c:tx>
          <c:trendline>
            <c:trendlineType val="linear"/>
          </c:trendline>
          <c:xVal>
            <c:numRef>
              <c:f>Auswertung!$B$5:$B$14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Auswertung!$J$5:$J$14</c:f>
              <c:numCache>
                <c:formatCode>General</c:formatCode>
                <c:ptCount val="10"/>
                <c:pt idx="1">
                  <c:v>0.19400000000000001</c:v>
                </c:pt>
                <c:pt idx="3">
                  <c:v>0.27200000000000002</c:v>
                </c:pt>
                <c:pt idx="5">
                  <c:v>0.372</c:v>
                </c:pt>
                <c:pt idx="7">
                  <c:v>0.48699999999999999</c:v>
                </c:pt>
                <c:pt idx="9">
                  <c:v>0.60899999999999999</c:v>
                </c:pt>
              </c:numCache>
            </c:numRef>
          </c:yVal>
          <c:smooth val="1"/>
        </c:ser>
        <c:ser>
          <c:idx val="8"/>
          <c:order val="8"/>
          <c:tx>
            <c:strRef>
              <c:f>Auswertung!$K$4</c:f>
              <c:strCache>
                <c:ptCount val="1"/>
                <c:pt idx="0">
                  <c:v>1,5+</c:v>
                </c:pt>
              </c:strCache>
            </c:strRef>
          </c:tx>
          <c:trendline>
            <c:trendlineType val="linear"/>
          </c:trendline>
          <c:xVal>
            <c:numRef>
              <c:f>Auswertung!$B$5:$B$14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Auswertung!$K$5:$K$14</c:f>
              <c:numCache>
                <c:formatCode>General</c:formatCode>
                <c:ptCount val="10"/>
                <c:pt idx="1">
                  <c:v>0.318</c:v>
                </c:pt>
                <c:pt idx="3">
                  <c:v>0.45300000000000001</c:v>
                </c:pt>
                <c:pt idx="5">
                  <c:v>0.623</c:v>
                </c:pt>
                <c:pt idx="7">
                  <c:v>0.81699999999999995</c:v>
                </c:pt>
                <c:pt idx="9">
                  <c:v>1.02</c:v>
                </c:pt>
              </c:numCache>
            </c:numRef>
          </c:yVal>
          <c:smooth val="1"/>
        </c:ser>
        <c:ser>
          <c:idx val="9"/>
          <c:order val="9"/>
          <c:tx>
            <c:strRef>
              <c:f>Auswertung!$L$4</c:f>
              <c:strCache>
                <c:ptCount val="1"/>
                <c:pt idx="0">
                  <c:v>2+</c:v>
                </c:pt>
              </c:strCache>
            </c:strRef>
          </c:tx>
          <c:trendline>
            <c:trendlineType val="linear"/>
          </c:trendline>
          <c:xVal>
            <c:numRef>
              <c:f>Auswertung!$B$5:$B$14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Auswertung!$L$5:$L$14</c:f>
              <c:numCache>
                <c:formatCode>General</c:formatCode>
                <c:ptCount val="10"/>
                <c:pt idx="1">
                  <c:v>0.46899999999999997</c:v>
                </c:pt>
                <c:pt idx="3">
                  <c:v>0.68</c:v>
                </c:pt>
                <c:pt idx="5">
                  <c:v>0.94299999999999995</c:v>
                </c:pt>
                <c:pt idx="7">
                  <c:v>1.23</c:v>
                </c:pt>
                <c:pt idx="9">
                  <c:v>1.53</c:v>
                </c:pt>
              </c:numCache>
            </c:numRef>
          </c:yVal>
          <c:smooth val="1"/>
        </c:ser>
        <c:ser>
          <c:idx val="10"/>
          <c:order val="10"/>
          <c:tx>
            <c:strRef>
              <c:f>Auswertung!$M$4</c:f>
              <c:strCache>
                <c:ptCount val="1"/>
                <c:pt idx="0">
                  <c:v>2,5+</c:v>
                </c:pt>
              </c:strCache>
            </c:strRef>
          </c:tx>
          <c:trendline>
            <c:trendlineType val="linear"/>
          </c:trendline>
          <c:xVal>
            <c:numRef>
              <c:f>Auswertung!$B$5:$B$14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Auswertung!$M$5:$M$14</c:f>
              <c:numCache>
                <c:formatCode>General</c:formatCode>
                <c:ptCount val="10"/>
                <c:pt idx="1">
                  <c:v>0.67900000000000005</c:v>
                </c:pt>
                <c:pt idx="3">
                  <c:v>0.99399999999999999</c:v>
                </c:pt>
                <c:pt idx="5">
                  <c:v>1.3620000000000001</c:v>
                </c:pt>
                <c:pt idx="7">
                  <c:v>1.7609999999999999</c:v>
                </c:pt>
                <c:pt idx="9">
                  <c:v>2.181</c:v>
                </c:pt>
              </c:numCache>
            </c:numRef>
          </c:yVal>
          <c:smooth val="1"/>
        </c:ser>
        <c:ser>
          <c:idx val="11"/>
          <c:order val="11"/>
          <c:tx>
            <c:strRef>
              <c:f>Auswertung!$N$4</c:f>
              <c:strCache>
                <c:ptCount val="1"/>
                <c:pt idx="0">
                  <c:v>3+</c:v>
                </c:pt>
              </c:strCache>
            </c:strRef>
          </c:tx>
          <c:trendline>
            <c:trendlineType val="linear"/>
          </c:trendline>
          <c:xVal>
            <c:numRef>
              <c:f>Auswertung!$B$5:$B$14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Auswertung!$N$5:$N$14</c:f>
              <c:numCache>
                <c:formatCode>General</c:formatCode>
                <c:ptCount val="10"/>
                <c:pt idx="1">
                  <c:v>0.999</c:v>
                </c:pt>
                <c:pt idx="3">
                  <c:v>1.4339999999999999</c:v>
                </c:pt>
                <c:pt idx="5">
                  <c:v>1.931</c:v>
                </c:pt>
                <c:pt idx="7">
                  <c:v>2.4590000000000001</c:v>
                </c:pt>
                <c:pt idx="9">
                  <c:v>3.0009999999999999</c:v>
                </c:pt>
              </c:numCache>
            </c:numRef>
          </c:yVal>
          <c:smooth val="1"/>
        </c:ser>
        <c:axId val="139245056"/>
        <c:axId val="139246592"/>
      </c:scatterChart>
      <c:valAx>
        <c:axId val="139245056"/>
        <c:scaling>
          <c:orientation val="minMax"/>
        </c:scaling>
        <c:axPos val="b"/>
        <c:majorGridlines/>
        <c:numFmt formatCode="General" sourceLinked="1"/>
        <c:tickLblPos val="nextTo"/>
        <c:crossAx val="139246592"/>
        <c:crossesAt val="0"/>
        <c:crossBetween val="midCat"/>
      </c:valAx>
      <c:valAx>
        <c:axId val="139246592"/>
        <c:scaling>
          <c:orientation val="minMax"/>
          <c:max val="3.5"/>
          <c:min val="-1.5"/>
        </c:scaling>
        <c:axPos val="l"/>
        <c:majorGridlines/>
        <c:numFmt formatCode="General" sourceLinked="1"/>
        <c:tickLblPos val="nextTo"/>
        <c:crossAx val="139245056"/>
        <c:crosses val="autoZero"/>
        <c:crossBetween val="midCat"/>
      </c:valAx>
      <c:spPr>
        <a:noFill/>
        <a:ln w="25400">
          <a:noFill/>
        </a:ln>
      </c:spPr>
    </c:plotArea>
    <c:legend>
      <c:legendPos val="r"/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ayout>
        <c:manualLayout>
          <c:xMode val="edge"/>
          <c:yMode val="edge"/>
          <c:x val="0.83764961812206273"/>
          <c:y val="0.32439812849480942"/>
          <c:w val="0.12834825376557671"/>
          <c:h val="0.34484697756046573"/>
        </c:manualLayout>
      </c:layout>
      <c:spPr>
        <a:solidFill>
          <a:schemeClr val="bg1"/>
        </a:solidFill>
      </c:spPr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Auswertung!$U$37</c:f>
              <c:strCache>
                <c:ptCount val="1"/>
                <c:pt idx="0">
                  <c:v>5+</c:v>
                </c:pt>
              </c:strCache>
            </c:strRef>
          </c:tx>
          <c:spPr>
            <a:ln w="28575">
              <a:noFill/>
            </a:ln>
          </c:spPr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Auswertung!$U$38:$U$40</c:f>
              <c:numCache>
                <c:formatCode>General</c:formatCode>
                <c:ptCount val="3"/>
                <c:pt idx="0">
                  <c:v>0.3</c:v>
                </c:pt>
                <c:pt idx="1">
                  <c:v>0.78100000000000003</c:v>
                </c:pt>
                <c:pt idx="2">
                  <c:v>1.587</c:v>
                </c:pt>
              </c:numCache>
            </c:numRef>
          </c:yVal>
        </c:ser>
        <c:ser>
          <c:idx val="1"/>
          <c:order val="1"/>
          <c:tx>
            <c:strRef>
              <c:f>Auswertung!$V$37</c:f>
              <c:strCache>
                <c:ptCount val="1"/>
                <c:pt idx="0">
                  <c:v>4+</c:v>
                </c:pt>
              </c:strCache>
            </c:strRef>
          </c:tx>
          <c:spPr>
            <a:ln w="28575">
              <a:noFill/>
            </a:ln>
          </c:spPr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Auswertung!$V$38:$V$40</c:f>
              <c:numCache>
                <c:formatCode>General</c:formatCode>
                <c:ptCount val="3"/>
                <c:pt idx="0">
                  <c:v>0.30299999999999999</c:v>
                </c:pt>
                <c:pt idx="1">
                  <c:v>0.76200000000000001</c:v>
                </c:pt>
                <c:pt idx="2">
                  <c:v>1.577</c:v>
                </c:pt>
              </c:numCache>
            </c:numRef>
          </c:yVal>
        </c:ser>
        <c:ser>
          <c:idx val="2"/>
          <c:order val="2"/>
          <c:tx>
            <c:strRef>
              <c:f>Auswertung!$W$37</c:f>
              <c:strCache>
                <c:ptCount val="1"/>
                <c:pt idx="0">
                  <c:v>3+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  <c:dispEq val="1"/>
            <c:trendlineLbl>
              <c:numFmt formatCode="General" sourceLinked="0"/>
            </c:trendlineLbl>
          </c:trendline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Auswertung!$W$38:$W$40</c:f>
              <c:numCache>
                <c:formatCode>General</c:formatCode>
                <c:ptCount val="3"/>
                <c:pt idx="0">
                  <c:v>0.29399999999999998</c:v>
                </c:pt>
                <c:pt idx="1">
                  <c:v>0.73399999999999999</c:v>
                </c:pt>
                <c:pt idx="2">
                  <c:v>1.536</c:v>
                </c:pt>
              </c:numCache>
            </c:numRef>
          </c:yVal>
        </c:ser>
        <c:ser>
          <c:idx val="3"/>
          <c:order val="3"/>
          <c:tx>
            <c:strRef>
              <c:f>Auswertung!$X$37</c:f>
              <c:strCache>
                <c:ptCount val="1"/>
                <c:pt idx="0">
                  <c:v>2+</c:v>
                </c:pt>
              </c:strCache>
            </c:strRef>
          </c:tx>
          <c:spPr>
            <a:ln w="28575">
              <a:noFill/>
            </a:ln>
          </c:spPr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Auswertung!$X$38:$X$40</c:f>
              <c:numCache>
                <c:formatCode>General</c:formatCode>
                <c:ptCount val="3"/>
                <c:pt idx="0">
                  <c:v>0.28599999999999998</c:v>
                </c:pt>
                <c:pt idx="1">
                  <c:v>0.68799999999999994</c:v>
                </c:pt>
                <c:pt idx="2">
                  <c:v>1.454</c:v>
                </c:pt>
              </c:numCache>
            </c:numRef>
          </c:yVal>
        </c:ser>
        <c:ser>
          <c:idx val="4"/>
          <c:order val="4"/>
          <c:tx>
            <c:strRef>
              <c:f>Auswertung!$Y$37</c:f>
              <c:strCache>
                <c:ptCount val="1"/>
                <c:pt idx="0">
                  <c:v>1+</c:v>
                </c:pt>
              </c:strCache>
            </c:strRef>
          </c:tx>
          <c:spPr>
            <a:ln w="28575">
              <a:noFill/>
            </a:ln>
          </c:spPr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Auswertung!$Y$38:$Y$40</c:f>
              <c:numCache>
                <c:formatCode>General</c:formatCode>
                <c:ptCount val="3"/>
                <c:pt idx="0">
                  <c:v>0.27500000000000002</c:v>
                </c:pt>
                <c:pt idx="1">
                  <c:v>0.63600000000000001</c:v>
                </c:pt>
              </c:numCache>
            </c:numRef>
          </c:yVal>
        </c:ser>
        <c:ser>
          <c:idx val="5"/>
          <c:order val="5"/>
          <c:tx>
            <c:strRef>
              <c:f>Auswertung!$Z$37</c:f>
              <c:strCache>
                <c:ptCount val="1"/>
                <c:pt idx="0">
                  <c:v>1-</c:v>
                </c:pt>
              </c:strCache>
            </c:strRef>
          </c:tx>
          <c:spPr>
            <a:ln w="28575">
              <a:noFill/>
            </a:ln>
          </c:spPr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Auswertung!$Z$38:$Z$40</c:f>
              <c:numCache>
                <c:formatCode>General</c:formatCode>
                <c:ptCount val="3"/>
                <c:pt idx="0">
                  <c:v>0.22</c:v>
                </c:pt>
                <c:pt idx="1">
                  <c:v>0.33100000000000002</c:v>
                </c:pt>
                <c:pt idx="2">
                  <c:v>0.39200000000000002</c:v>
                </c:pt>
              </c:numCache>
            </c:numRef>
          </c:yVal>
        </c:ser>
        <c:ser>
          <c:idx val="6"/>
          <c:order val="6"/>
          <c:tx>
            <c:strRef>
              <c:f>Auswertung!$AA$37</c:f>
              <c:strCache>
                <c:ptCount val="1"/>
                <c:pt idx="0">
                  <c:v>2-</c:v>
                </c:pt>
              </c:strCache>
            </c:strRef>
          </c:tx>
          <c:spPr>
            <a:ln w="28575">
              <a:noFill/>
            </a:ln>
          </c:spPr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Auswertung!$AA$38:$AA$40</c:f>
              <c:numCache>
                <c:formatCode>General</c:formatCode>
                <c:ptCount val="3"/>
                <c:pt idx="0">
                  <c:v>0.23400000000000001</c:v>
                </c:pt>
                <c:pt idx="1">
                  <c:v>0.41499999999999998</c:v>
                </c:pt>
                <c:pt idx="2">
                  <c:v>0.53600000000000003</c:v>
                </c:pt>
              </c:numCache>
            </c:numRef>
          </c:yVal>
        </c:ser>
        <c:ser>
          <c:idx val="7"/>
          <c:order val="7"/>
          <c:tx>
            <c:strRef>
              <c:f>Auswertung!$AB$37</c:f>
              <c:strCache>
                <c:ptCount val="1"/>
                <c:pt idx="0">
                  <c:v>3-</c:v>
                </c:pt>
              </c:strCache>
            </c:strRef>
          </c:tx>
          <c:spPr>
            <a:ln w="28575">
              <a:noFill/>
            </a:ln>
          </c:spPr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Auswertung!$AB$38:$AB$40</c:f>
              <c:numCache>
                <c:formatCode>General</c:formatCode>
                <c:ptCount val="3"/>
                <c:pt idx="0">
                  <c:v>0.22900000000000001</c:v>
                </c:pt>
                <c:pt idx="1">
                  <c:v>0.41</c:v>
                </c:pt>
                <c:pt idx="2">
                  <c:v>0.56000000000000005</c:v>
                </c:pt>
              </c:numCache>
            </c:numRef>
          </c:yVal>
        </c:ser>
        <c:ser>
          <c:idx val="8"/>
          <c:order val="8"/>
          <c:tx>
            <c:strRef>
              <c:f>Auswertung!$AC$37</c:f>
              <c:strCache>
                <c:ptCount val="1"/>
                <c:pt idx="0">
                  <c:v>4-</c:v>
                </c:pt>
              </c:strCache>
            </c:strRef>
          </c:tx>
          <c:spPr>
            <a:ln w="28575">
              <a:noFill/>
            </a:ln>
          </c:spPr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Auswertung!$AC$38:$AC$40</c:f>
              <c:numCache>
                <c:formatCode>General</c:formatCode>
                <c:ptCount val="3"/>
                <c:pt idx="0">
                  <c:v>0.222</c:v>
                </c:pt>
                <c:pt idx="1">
                  <c:v>0.39100000000000001</c:v>
                </c:pt>
                <c:pt idx="2">
                  <c:v>0.52900000000000003</c:v>
                </c:pt>
              </c:numCache>
            </c:numRef>
          </c:yVal>
        </c:ser>
        <c:ser>
          <c:idx val="9"/>
          <c:order val="9"/>
          <c:tx>
            <c:strRef>
              <c:f>Auswertung!$AD$37</c:f>
              <c:strCache>
                <c:ptCount val="1"/>
                <c:pt idx="0">
                  <c:v>5-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  <c:dispEq val="1"/>
            <c:trendlineLbl>
              <c:numFmt formatCode="General" sourceLinked="0"/>
            </c:trendlineLbl>
          </c:trendline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Auswertung!$AD$38:$AD$40</c:f>
              <c:numCache>
                <c:formatCode>General</c:formatCode>
                <c:ptCount val="3"/>
                <c:pt idx="0">
                  <c:v>0.25</c:v>
                </c:pt>
                <c:pt idx="1">
                  <c:v>0.38500000000000001</c:v>
                </c:pt>
                <c:pt idx="2">
                  <c:v>0.51200000000000001</c:v>
                </c:pt>
              </c:numCache>
            </c:numRef>
          </c:yVal>
        </c:ser>
        <c:axId val="139447680"/>
        <c:axId val="139453568"/>
      </c:scatterChart>
      <c:valAx>
        <c:axId val="139447680"/>
        <c:scaling>
          <c:orientation val="minMax"/>
        </c:scaling>
        <c:axPos val="b"/>
        <c:majorGridlines/>
        <c:numFmt formatCode="General" sourceLinked="1"/>
        <c:tickLblPos val="nextTo"/>
        <c:crossAx val="139453568"/>
        <c:crosses val="autoZero"/>
        <c:crossBetween val="midCat"/>
      </c:valAx>
      <c:valAx>
        <c:axId val="139453568"/>
        <c:scaling>
          <c:orientation val="minMax"/>
        </c:scaling>
        <c:axPos val="l"/>
        <c:majorGridlines/>
        <c:numFmt formatCode="General" sourceLinked="1"/>
        <c:tickLblPos val="nextTo"/>
        <c:crossAx val="139447680"/>
        <c:crosses val="autoZero"/>
        <c:crossBetween val="midCat"/>
        <c:majorUnit val="0.30000000000000032"/>
      </c:valAx>
    </c:plotArea>
    <c:legend>
      <c:legendPos val="r"/>
      <c:legendEntry>
        <c:idx val="10"/>
        <c:delete val="1"/>
      </c:legendEntry>
      <c:legendEntry>
        <c:idx val="11"/>
        <c:delete val="1"/>
      </c:legendEntry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/>
      <c:scatterChart>
        <c:scatterStyle val="lineMarker"/>
        <c:ser>
          <c:idx val="0"/>
          <c:order val="0"/>
          <c:tx>
            <c:strRef>
              <c:f>Auswertung!$AF$37</c:f>
              <c:strCache>
                <c:ptCount val="1"/>
                <c:pt idx="0">
                  <c:v>5+</c:v>
                </c:pt>
              </c:strCache>
            </c:strRef>
          </c:tx>
          <c:spPr>
            <a:ln w="28575">
              <a:noFill/>
            </a:ln>
          </c:spPr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Auswertung!$AF$38:$AF$40</c:f>
              <c:numCache>
                <c:formatCode>General</c:formatCode>
                <c:ptCount val="3"/>
                <c:pt idx="0">
                  <c:v>0.183</c:v>
                </c:pt>
                <c:pt idx="1">
                  <c:v>0.47299999999999998</c:v>
                </c:pt>
                <c:pt idx="2">
                  <c:v>1.0009999999999999</c:v>
                </c:pt>
              </c:numCache>
            </c:numRef>
          </c:yVal>
        </c:ser>
        <c:ser>
          <c:idx val="1"/>
          <c:order val="1"/>
          <c:tx>
            <c:strRef>
              <c:f>Auswertung!$AG$37</c:f>
              <c:strCache>
                <c:ptCount val="1"/>
                <c:pt idx="0">
                  <c:v>4+</c:v>
                </c:pt>
              </c:strCache>
            </c:strRef>
          </c:tx>
          <c:spPr>
            <a:ln w="28575">
              <a:noFill/>
            </a:ln>
          </c:spPr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Auswertung!$AG$38:$AG$40</c:f>
              <c:numCache>
                <c:formatCode>General</c:formatCode>
                <c:ptCount val="3"/>
                <c:pt idx="0">
                  <c:v>0.17599999999999999</c:v>
                </c:pt>
                <c:pt idx="1">
                  <c:v>0.46400000000000002</c:v>
                </c:pt>
                <c:pt idx="2">
                  <c:v>0.98899999999999999</c:v>
                </c:pt>
              </c:numCache>
            </c:numRef>
          </c:yVal>
        </c:ser>
        <c:ser>
          <c:idx val="2"/>
          <c:order val="2"/>
          <c:tx>
            <c:strRef>
              <c:f>Auswertung!$AH$37</c:f>
              <c:strCache>
                <c:ptCount val="1"/>
                <c:pt idx="0">
                  <c:v>3+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</c:trendline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Auswertung!$AH$38:$AH$40</c:f>
              <c:numCache>
                <c:formatCode>General</c:formatCode>
                <c:ptCount val="3"/>
                <c:pt idx="0">
                  <c:v>0.17299999999999999</c:v>
                </c:pt>
                <c:pt idx="1">
                  <c:v>0.44400000000000001</c:v>
                </c:pt>
                <c:pt idx="2">
                  <c:v>0.95499999999999996</c:v>
                </c:pt>
              </c:numCache>
            </c:numRef>
          </c:yVal>
        </c:ser>
        <c:ser>
          <c:idx val="3"/>
          <c:order val="3"/>
          <c:tx>
            <c:strRef>
              <c:f>Auswertung!$AI$37</c:f>
              <c:strCache>
                <c:ptCount val="1"/>
                <c:pt idx="0">
                  <c:v>2+</c:v>
                </c:pt>
              </c:strCache>
            </c:strRef>
          </c:tx>
          <c:spPr>
            <a:ln w="28575">
              <a:noFill/>
            </a:ln>
          </c:spPr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Auswertung!$AI$38:$AI$40</c:f>
              <c:numCache>
                <c:formatCode>General</c:formatCode>
                <c:ptCount val="3"/>
                <c:pt idx="0">
                  <c:v>0.17</c:v>
                </c:pt>
                <c:pt idx="1">
                  <c:v>0.41399999999999998</c:v>
                </c:pt>
                <c:pt idx="2">
                  <c:v>0.89200000000000002</c:v>
                </c:pt>
              </c:numCache>
            </c:numRef>
          </c:yVal>
        </c:ser>
        <c:ser>
          <c:idx val="4"/>
          <c:order val="4"/>
          <c:tx>
            <c:strRef>
              <c:f>Auswertung!$AJ$37</c:f>
              <c:strCache>
                <c:ptCount val="1"/>
                <c:pt idx="0">
                  <c:v>1+</c:v>
                </c:pt>
              </c:strCache>
            </c:strRef>
          </c:tx>
          <c:spPr>
            <a:ln w="28575">
              <a:noFill/>
            </a:ln>
          </c:spPr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Auswertung!$AJ$38:$AJ$40</c:f>
              <c:numCache>
                <c:formatCode>General</c:formatCode>
                <c:ptCount val="3"/>
                <c:pt idx="0">
                  <c:v>0.16</c:v>
                </c:pt>
                <c:pt idx="1">
                  <c:v>0.376</c:v>
                </c:pt>
              </c:numCache>
            </c:numRef>
          </c:yVal>
        </c:ser>
        <c:ser>
          <c:idx val="5"/>
          <c:order val="5"/>
          <c:tx>
            <c:strRef>
              <c:f>Auswertung!$AK$37</c:f>
              <c:strCache>
                <c:ptCount val="1"/>
                <c:pt idx="0">
                  <c:v>1-</c:v>
                </c:pt>
              </c:strCache>
            </c:strRef>
          </c:tx>
          <c:spPr>
            <a:ln w="28575">
              <a:noFill/>
            </a:ln>
          </c:spPr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Auswertung!$AK$38:$AK$40</c:f>
              <c:numCache>
                <c:formatCode>General</c:formatCode>
                <c:ptCount val="3"/>
                <c:pt idx="0">
                  <c:v>0.13</c:v>
                </c:pt>
                <c:pt idx="1">
                  <c:v>0.19700000000000001</c:v>
                </c:pt>
                <c:pt idx="2">
                  <c:v>0.23</c:v>
                </c:pt>
              </c:numCache>
            </c:numRef>
          </c:yVal>
        </c:ser>
        <c:ser>
          <c:idx val="6"/>
          <c:order val="6"/>
          <c:tx>
            <c:strRef>
              <c:f>Auswertung!$AL$37</c:f>
              <c:strCache>
                <c:ptCount val="1"/>
                <c:pt idx="0">
                  <c:v>2-</c:v>
                </c:pt>
              </c:strCache>
            </c:strRef>
          </c:tx>
          <c:spPr>
            <a:ln w="28575">
              <a:noFill/>
            </a:ln>
          </c:spPr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Auswertung!$AL$38:$AL$40</c:f>
              <c:numCache>
                <c:formatCode>General</c:formatCode>
                <c:ptCount val="3"/>
                <c:pt idx="0">
                  <c:v>0.13800000000000001</c:v>
                </c:pt>
                <c:pt idx="1">
                  <c:v>0.24199999999999999</c:v>
                </c:pt>
                <c:pt idx="2">
                  <c:v>0.316</c:v>
                </c:pt>
              </c:numCache>
            </c:numRef>
          </c:yVal>
        </c:ser>
        <c:ser>
          <c:idx val="7"/>
          <c:order val="7"/>
          <c:tx>
            <c:strRef>
              <c:f>Auswertung!$AM$37</c:f>
              <c:strCache>
                <c:ptCount val="1"/>
                <c:pt idx="0">
                  <c:v>3-</c:v>
                </c:pt>
              </c:strCache>
            </c:strRef>
          </c:tx>
          <c:spPr>
            <a:ln w="28575">
              <a:noFill/>
            </a:ln>
          </c:spPr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Auswertung!$AM$38:$AM$40</c:f>
              <c:numCache>
                <c:formatCode>General</c:formatCode>
                <c:ptCount val="3"/>
                <c:pt idx="0">
                  <c:v>0.13400000000000001</c:v>
                </c:pt>
                <c:pt idx="1">
                  <c:v>0.23899999999999999</c:v>
                </c:pt>
                <c:pt idx="2">
                  <c:v>0.32600000000000001</c:v>
                </c:pt>
              </c:numCache>
            </c:numRef>
          </c:yVal>
        </c:ser>
        <c:ser>
          <c:idx val="8"/>
          <c:order val="8"/>
          <c:tx>
            <c:strRef>
              <c:f>Auswertung!$AN$37</c:f>
              <c:strCache>
                <c:ptCount val="1"/>
                <c:pt idx="0">
                  <c:v>4-</c:v>
                </c:pt>
              </c:strCache>
            </c:strRef>
          </c:tx>
          <c:spPr>
            <a:ln w="28575">
              <a:noFill/>
            </a:ln>
          </c:spPr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Auswertung!$AN$38:$AN$40</c:f>
              <c:numCache>
                <c:formatCode>General</c:formatCode>
                <c:ptCount val="3"/>
                <c:pt idx="0">
                  <c:v>0.13600000000000001</c:v>
                </c:pt>
                <c:pt idx="1">
                  <c:v>0.23300000000000001</c:v>
                </c:pt>
                <c:pt idx="2">
                  <c:v>0.309</c:v>
                </c:pt>
              </c:numCache>
            </c:numRef>
          </c:yVal>
        </c:ser>
        <c:ser>
          <c:idx val="9"/>
          <c:order val="9"/>
          <c:tx>
            <c:strRef>
              <c:f>Auswertung!$AO$37</c:f>
              <c:strCache>
                <c:ptCount val="1"/>
                <c:pt idx="0">
                  <c:v>5-</c:v>
                </c:pt>
              </c:strCache>
            </c:strRef>
          </c:tx>
          <c:spPr>
            <a:ln w="28575">
              <a:noFill/>
            </a:ln>
          </c:spPr>
          <c:trendline>
            <c:trendlineType val="poly"/>
            <c:order val="2"/>
          </c:trendline>
          <c:xVal>
            <c:numRef>
              <c:f>Auswertung!$T$38:$T$40</c:f>
              <c:numCache>
                <c:formatCode>General</c:formatCode>
                <c:ptCount val="3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xVal>
          <c:yVal>
            <c:numRef>
              <c:f>Auswertung!$AO$38:$AO$40</c:f>
              <c:numCache>
                <c:formatCode>General</c:formatCode>
                <c:ptCount val="3"/>
                <c:pt idx="0">
                  <c:v>0.16500000000000001</c:v>
                </c:pt>
                <c:pt idx="1">
                  <c:v>0.216</c:v>
                </c:pt>
                <c:pt idx="2">
                  <c:v>0.307</c:v>
                </c:pt>
              </c:numCache>
            </c:numRef>
          </c:yVal>
        </c:ser>
        <c:axId val="139859840"/>
        <c:axId val="139861376"/>
      </c:scatterChart>
      <c:valAx>
        <c:axId val="139859840"/>
        <c:scaling>
          <c:orientation val="minMax"/>
        </c:scaling>
        <c:axPos val="b"/>
        <c:majorGridlines/>
        <c:numFmt formatCode="General" sourceLinked="1"/>
        <c:tickLblPos val="nextTo"/>
        <c:crossAx val="139861376"/>
        <c:crosses val="autoZero"/>
        <c:crossBetween val="midCat"/>
      </c:valAx>
      <c:valAx>
        <c:axId val="139861376"/>
        <c:scaling>
          <c:orientation val="minMax"/>
        </c:scaling>
        <c:axPos val="l"/>
        <c:majorGridlines/>
        <c:numFmt formatCode="General" sourceLinked="1"/>
        <c:tickLblPos val="nextTo"/>
        <c:crossAx val="139859840"/>
        <c:crosses val="autoZero"/>
        <c:crossBetween val="midCat"/>
      </c:valAx>
    </c:plotArea>
    <c:legend>
      <c:legendPos val="r"/>
      <c:legendEntry>
        <c:idx val="10"/>
        <c:delete val="1"/>
      </c:legendEntry>
      <c:legendEntry>
        <c:idx val="11"/>
        <c:delete val="1"/>
      </c:legendEntry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>
        <c:manualLayout>
          <c:layoutTarget val="inner"/>
          <c:xMode val="edge"/>
          <c:yMode val="edge"/>
          <c:x val="8.6486675652075309E-2"/>
          <c:y val="4.9180613765353896E-2"/>
          <c:w val="0.76200811659011392"/>
          <c:h val="0.83984856771342065"/>
        </c:manualLayout>
      </c:layout>
      <c:scatterChart>
        <c:scatterStyle val="lineMarker"/>
        <c:ser>
          <c:idx val="2"/>
          <c:order val="0"/>
          <c:tx>
            <c:v>R=2m</c:v>
          </c:tx>
          <c:spPr>
            <a:ln w="28575">
              <a:noFill/>
            </a:ln>
          </c:spPr>
          <c:trendline>
            <c:trendlineType val="poly"/>
            <c:order val="2"/>
            <c:dispEq val="1"/>
            <c:trendlineLbl>
              <c:layout>
                <c:manualLayout>
                  <c:x val="-8.9286326366885341E-2"/>
                  <c:y val="-0.16415907226448037"/>
                </c:manualLayout>
              </c:layout>
              <c:numFmt formatCode="General" sourceLinked="0"/>
            </c:trendlineLbl>
          </c:trendline>
          <c:xVal>
            <c:numRef>
              <c:f>Auswertung!$T$69:$T$74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1.5</c:v>
                </c:pt>
                <c:pt idx="5">
                  <c:v>3</c:v>
                </c:pt>
              </c:numCache>
            </c:numRef>
          </c:xVal>
          <c:yVal>
            <c:numRef>
              <c:f>Auswertung!$W$69:$W$74</c:f>
              <c:numCache>
                <c:formatCode>General</c:formatCode>
                <c:ptCount val="6"/>
                <c:pt idx="0">
                  <c:v>3.6000000000000004E-2</c:v>
                </c:pt>
                <c:pt idx="1">
                  <c:v>0.128</c:v>
                </c:pt>
                <c:pt idx="2">
                  <c:v>0.27600000000000002</c:v>
                </c:pt>
                <c:pt idx="3">
                  <c:v>0.48</c:v>
                </c:pt>
                <c:pt idx="4">
                  <c:v>0.27600000000000002</c:v>
                </c:pt>
                <c:pt idx="5">
                  <c:v>1.056</c:v>
                </c:pt>
              </c:numCache>
            </c:numRef>
          </c:yVal>
        </c:ser>
        <c:ser>
          <c:idx val="4"/>
          <c:order val="1"/>
          <c:tx>
            <c:v>R=3m</c:v>
          </c:tx>
          <c:spPr>
            <a:ln w="28575">
              <a:noFill/>
            </a:ln>
          </c:spPr>
          <c:trendline>
            <c:trendlineType val="poly"/>
            <c:order val="2"/>
          </c:trendline>
          <c:xVal>
            <c:numRef>
              <c:f>Auswertung!$T$69:$T$74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1.5</c:v>
                </c:pt>
                <c:pt idx="5">
                  <c:v>3</c:v>
                </c:pt>
              </c:numCache>
            </c:numRef>
          </c:xVal>
          <c:yVal>
            <c:numRef>
              <c:f>Auswertung!$Y$69:$Y$74</c:f>
              <c:numCache>
                <c:formatCode>General</c:formatCode>
                <c:ptCount val="6"/>
                <c:pt idx="0">
                  <c:v>5.4000000000000006E-2</c:v>
                </c:pt>
                <c:pt idx="1">
                  <c:v>0.192</c:v>
                </c:pt>
                <c:pt idx="2">
                  <c:v>0.41400000000000003</c:v>
                </c:pt>
                <c:pt idx="3">
                  <c:v>0.72000000000000008</c:v>
                </c:pt>
                <c:pt idx="4">
                  <c:v>0.41400000000000003</c:v>
                </c:pt>
                <c:pt idx="5">
                  <c:v>1.5840000000000001</c:v>
                </c:pt>
              </c:numCache>
            </c:numRef>
          </c:yVal>
        </c:ser>
        <c:axId val="140053120"/>
        <c:axId val="140067200"/>
      </c:scatterChart>
      <c:valAx>
        <c:axId val="140053120"/>
        <c:scaling>
          <c:orientation val="minMax"/>
          <c:max val="3.5"/>
          <c:min val="0"/>
        </c:scaling>
        <c:axPos val="b"/>
        <c:majorGridlines/>
        <c:numFmt formatCode="General" sourceLinked="1"/>
        <c:tickLblPos val="nextTo"/>
        <c:crossAx val="140067200"/>
        <c:crosses val="autoZero"/>
        <c:crossBetween val="midCat"/>
        <c:majorUnit val="0.5"/>
      </c:valAx>
      <c:valAx>
        <c:axId val="140067200"/>
        <c:scaling>
          <c:orientation val="minMax"/>
          <c:max val="1.8"/>
          <c:min val="0"/>
        </c:scaling>
        <c:axPos val="l"/>
        <c:majorGridlines/>
        <c:numFmt formatCode="General" sourceLinked="1"/>
        <c:tickLblPos val="nextTo"/>
        <c:crossAx val="140053120"/>
        <c:crosses val="autoZero"/>
        <c:crossBetween val="midCat"/>
        <c:majorUnit val="0.30000000000000032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>
        <c:manualLayout>
          <c:layoutTarget val="inner"/>
          <c:xMode val="edge"/>
          <c:yMode val="edge"/>
          <c:x val="8.6486675652075309E-2"/>
          <c:y val="4.9180613765353896E-2"/>
          <c:w val="0.76200811659011436"/>
          <c:h val="0.83984856771342065"/>
        </c:manualLayout>
      </c:layout>
      <c:scatterChart>
        <c:scatterStyle val="lineMarker"/>
        <c:ser>
          <c:idx val="2"/>
          <c:order val="0"/>
          <c:tx>
            <c:v>R=2m</c:v>
          </c:tx>
          <c:spPr>
            <a:ln w="28575">
              <a:noFill/>
            </a:ln>
          </c:spPr>
          <c:trendline>
            <c:trendlineType val="poly"/>
            <c:order val="2"/>
          </c:trendline>
          <c:xVal>
            <c:numRef>
              <c:f>Auswertung!$T$84:$T$89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1.5</c:v>
                </c:pt>
                <c:pt idx="5">
                  <c:v>3</c:v>
                </c:pt>
              </c:numCache>
            </c:numRef>
          </c:xVal>
          <c:yVal>
            <c:numRef>
              <c:f>Auswertung!$W$84:$W$89</c:f>
              <c:numCache>
                <c:formatCode>General</c:formatCode>
                <c:ptCount val="6"/>
                <c:pt idx="0">
                  <c:v>0.06</c:v>
                </c:pt>
                <c:pt idx="1">
                  <c:v>0.12</c:v>
                </c:pt>
                <c:pt idx="2">
                  <c:v>0.18</c:v>
                </c:pt>
                <c:pt idx="3">
                  <c:v>0.24</c:v>
                </c:pt>
                <c:pt idx="4">
                  <c:v>0.18</c:v>
                </c:pt>
                <c:pt idx="5">
                  <c:v>0.36</c:v>
                </c:pt>
              </c:numCache>
            </c:numRef>
          </c:yVal>
        </c:ser>
        <c:ser>
          <c:idx val="4"/>
          <c:order val="1"/>
          <c:tx>
            <c:v>R=3m</c:v>
          </c:tx>
          <c:spPr>
            <a:ln w="28575">
              <a:noFill/>
            </a:ln>
          </c:spPr>
          <c:trendline>
            <c:trendlineType val="linear"/>
            <c:dispEq val="1"/>
            <c:trendlineLbl>
              <c:layout>
                <c:manualLayout>
                  <c:x val="8.8109897795970414E-3"/>
                  <c:y val="-8.1617384437660784E-2"/>
                </c:manualLayout>
              </c:layout>
              <c:numFmt formatCode="General" sourceLinked="0"/>
            </c:trendlineLbl>
          </c:trendline>
          <c:xVal>
            <c:numRef>
              <c:f>Auswertung!$T$84:$T$89</c:f>
              <c:numCache>
                <c:formatCode>General</c:formatCode>
                <c:ptCount val="6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1.5</c:v>
                </c:pt>
                <c:pt idx="5">
                  <c:v>3</c:v>
                </c:pt>
              </c:numCache>
            </c:numRef>
          </c:xVal>
          <c:yVal>
            <c:numRef>
              <c:f>Auswertung!$Y$84:$Y$89</c:f>
              <c:numCache>
                <c:formatCode>General</c:formatCode>
                <c:ptCount val="6"/>
                <c:pt idx="0">
                  <c:v>0.08</c:v>
                </c:pt>
                <c:pt idx="1">
                  <c:v>0.16</c:v>
                </c:pt>
                <c:pt idx="2">
                  <c:v>0.24</c:v>
                </c:pt>
                <c:pt idx="3">
                  <c:v>0.32</c:v>
                </c:pt>
                <c:pt idx="4">
                  <c:v>0.24</c:v>
                </c:pt>
                <c:pt idx="5">
                  <c:v>0.48</c:v>
                </c:pt>
              </c:numCache>
            </c:numRef>
          </c:yVal>
        </c:ser>
        <c:axId val="140102272"/>
        <c:axId val="140120448"/>
      </c:scatterChart>
      <c:valAx>
        <c:axId val="140102272"/>
        <c:scaling>
          <c:orientation val="minMax"/>
          <c:max val="3.5"/>
          <c:min val="0"/>
        </c:scaling>
        <c:axPos val="b"/>
        <c:majorGridlines/>
        <c:numFmt formatCode="General" sourceLinked="1"/>
        <c:tickLblPos val="nextTo"/>
        <c:crossAx val="140120448"/>
        <c:crosses val="autoZero"/>
        <c:crossBetween val="midCat"/>
        <c:majorUnit val="0.5"/>
      </c:valAx>
      <c:valAx>
        <c:axId val="140120448"/>
        <c:scaling>
          <c:orientation val="minMax"/>
          <c:max val="1.8"/>
          <c:min val="0"/>
        </c:scaling>
        <c:axPos val="l"/>
        <c:majorGridlines/>
        <c:numFmt formatCode="General" sourceLinked="1"/>
        <c:tickLblPos val="nextTo"/>
        <c:crossAx val="140102272"/>
        <c:crosses val="autoZero"/>
        <c:crossBetween val="midCat"/>
        <c:majorUnit val="0.30000000000000032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5.9281768182733029E-2"/>
          <c:y val="3.3567708798304972E-2"/>
          <c:w val="0.8883029996837245"/>
          <c:h val="0.89069033037536971"/>
        </c:manualLayout>
      </c:layout>
      <c:scatterChart>
        <c:scatterStyle val="lineMarker"/>
        <c:ser>
          <c:idx val="2"/>
          <c:order val="0"/>
          <c:tx>
            <c:strRef>
              <c:f>Vergleich!$B$9</c:f>
              <c:strCache>
                <c:ptCount val="1"/>
                <c:pt idx="0">
                  <c:v>Up min</c:v>
                </c:pt>
              </c:strCache>
            </c:strRef>
          </c:tx>
          <c:spPr>
            <a:ln w="25400">
              <a:solidFill>
                <a:srgbClr val="00B0F0"/>
              </a:solidFill>
              <a:prstDash val="sysDash"/>
            </a:ln>
          </c:spPr>
          <c:marker>
            <c:spPr>
              <a:solidFill>
                <a:srgbClr val="4F81BD"/>
              </a:solidFill>
              <a:ln w="19050">
                <a:solidFill>
                  <a:srgbClr val="00B0F0"/>
                </a:solidFill>
              </a:ln>
            </c:spPr>
          </c:marker>
          <c:xVal>
            <c:numRef>
              <c:f>Vergleich!$C$6:$G$6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Vergleich!$C$9:$G$9</c:f>
              <c:numCache>
                <c:formatCode>General</c:formatCode>
                <c:ptCount val="5"/>
                <c:pt idx="0">
                  <c:v>0.4708</c:v>
                </c:pt>
                <c:pt idx="1">
                  <c:v>0.56430000000000002</c:v>
                </c:pt>
                <c:pt idx="2">
                  <c:v>0.68899999999999995</c:v>
                </c:pt>
                <c:pt idx="3">
                  <c:v>0.84489999999999998</c:v>
                </c:pt>
                <c:pt idx="4">
                  <c:v>1.032</c:v>
                </c:pt>
              </c:numCache>
            </c:numRef>
          </c:yVal>
        </c:ser>
        <c:ser>
          <c:idx val="3"/>
          <c:order val="1"/>
          <c:tx>
            <c:strRef>
              <c:f>Vergleich!$B$10</c:f>
              <c:strCache>
                <c:ptCount val="1"/>
                <c:pt idx="0">
                  <c:v>Up max</c:v>
                </c:pt>
              </c:strCache>
            </c:strRef>
          </c:tx>
          <c:spPr>
            <a:ln w="25400">
              <a:solidFill>
                <a:srgbClr val="4F81BD"/>
              </a:solidFill>
            </a:ln>
          </c:spPr>
          <c:marker>
            <c:spPr>
              <a:solidFill>
                <a:schemeClr val="accent1"/>
              </a:solidFill>
            </c:spPr>
          </c:marker>
          <c:xVal>
            <c:numRef>
              <c:f>Vergleich!$C$6:$G$6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Vergleich!$C$10:$G$10</c:f>
              <c:numCache>
                <c:formatCode>General</c:formatCode>
                <c:ptCount val="5"/>
                <c:pt idx="0">
                  <c:v>0.1336</c:v>
                </c:pt>
                <c:pt idx="1">
                  <c:v>0.20650000000000002</c:v>
                </c:pt>
                <c:pt idx="2">
                  <c:v>0.28129999999999999</c:v>
                </c:pt>
                <c:pt idx="3">
                  <c:v>0.37670000000000003</c:v>
                </c:pt>
                <c:pt idx="4">
                  <c:v>0.49270000000000003</c:v>
                </c:pt>
              </c:numCache>
            </c:numRef>
          </c:yVal>
        </c:ser>
        <c:ser>
          <c:idx val="4"/>
          <c:order val="2"/>
          <c:tx>
            <c:strRef>
              <c:f>Vergleich!$B$11</c:f>
              <c:strCache>
                <c:ptCount val="1"/>
                <c:pt idx="0">
                  <c:v>Stoke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</a:ln>
          </c:spPr>
          <c:marker>
            <c:spPr>
              <a:noFill/>
              <a:ln w="19050">
                <a:solidFill>
                  <a:srgbClr val="FF0000"/>
                </a:solidFill>
              </a:ln>
            </c:spPr>
          </c:marker>
          <c:xVal>
            <c:numRef>
              <c:f>Vergleich!$C$6:$G$6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Vergleich!$C$11:$G$11</c:f>
              <c:numCache>
                <c:formatCode>General</c:formatCode>
                <c:ptCount val="5"/>
                <c:pt idx="0">
                  <c:v>0.377</c:v>
                </c:pt>
                <c:pt idx="1">
                  <c:v>0.56399999999999995</c:v>
                </c:pt>
                <c:pt idx="2">
                  <c:v>0.69699999999999995</c:v>
                </c:pt>
                <c:pt idx="3">
                  <c:v>0.80100000000000005</c:v>
                </c:pt>
                <c:pt idx="4">
                  <c:v>0.88600000000000001</c:v>
                </c:pt>
              </c:numCache>
            </c:numRef>
          </c:yVal>
        </c:ser>
        <c:ser>
          <c:idx val="6"/>
          <c:order val="3"/>
          <c:tx>
            <c:strRef>
              <c:f>Vergleich!$B$13</c:f>
              <c:strCache>
                <c:ptCount val="1"/>
                <c:pt idx="0">
                  <c:v>Up exakt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pPr>
              <a:ln w="19050">
                <a:solidFill>
                  <a:srgbClr val="00B050"/>
                </a:solidFill>
              </a:ln>
            </c:spPr>
          </c:marker>
          <c:xVal>
            <c:numRef>
              <c:f>Vergleich!$C$6:$G$6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Vergleich!$C$13:$G$13</c:f>
              <c:numCache>
                <c:formatCode>General</c:formatCode>
                <c:ptCount val="5"/>
                <c:pt idx="0">
                  <c:v>0.13200000000000001</c:v>
                </c:pt>
                <c:pt idx="1">
                  <c:v>0.26400000000000001</c:v>
                </c:pt>
                <c:pt idx="2">
                  <c:v>0.39600000000000002</c:v>
                </c:pt>
                <c:pt idx="3">
                  <c:v>0.52800000000000002</c:v>
                </c:pt>
                <c:pt idx="4">
                  <c:v>0.66</c:v>
                </c:pt>
              </c:numCache>
            </c:numRef>
          </c:yVal>
        </c:ser>
        <c:ser>
          <c:idx val="7"/>
          <c:order val="4"/>
          <c:tx>
            <c:strRef>
              <c:f>Vergleich!$B$14</c:f>
              <c:strCache>
                <c:ptCount val="1"/>
                <c:pt idx="0">
                  <c:v>Grober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xVal>
            <c:numRef>
              <c:f>Vergleich!$C$6:$G$6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Vergleich!$C$14:$G$14</c:f>
              <c:numCache>
                <c:formatCode>General</c:formatCode>
                <c:ptCount val="5"/>
                <c:pt idx="0">
                  <c:v>0.23416049103469083</c:v>
                </c:pt>
                <c:pt idx="1">
                  <c:v>0.2961921958772244</c:v>
                </c:pt>
                <c:pt idx="2">
                  <c:v>0.37757244663796585</c:v>
                </c:pt>
                <c:pt idx="3">
                  <c:v>0.46832098206938166</c:v>
                </c:pt>
                <c:pt idx="4">
                  <c:v>0.563933139882135</c:v>
                </c:pt>
              </c:numCache>
            </c:numRef>
          </c:yVal>
        </c:ser>
        <c:ser>
          <c:idx val="9"/>
          <c:order val="5"/>
          <c:tx>
            <c:strRef>
              <c:f>Vergleich!$B$16</c:f>
              <c:strCache>
                <c:ptCount val="1"/>
                <c:pt idx="0">
                  <c:v>AimPoint U</c:v>
                </c:pt>
              </c:strCache>
            </c:strRef>
          </c:tx>
          <c:spPr>
            <a:ln w="25400">
              <a:solidFill>
                <a:schemeClr val="bg1">
                  <a:lumMod val="65000"/>
                </a:schemeClr>
              </a:solidFill>
            </a:ln>
          </c:spPr>
          <c:xVal>
            <c:numRef>
              <c:f>Vergleich!$C$6:$G$6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Vergleich!$C$16:$G$16</c:f>
              <c:numCache>
                <c:formatCode>General</c:formatCode>
                <c:ptCount val="5"/>
                <c:pt idx="0">
                  <c:v>0.16275893098287897</c:v>
                </c:pt>
                <c:pt idx="1">
                  <c:v>0.24660543316659966</c:v>
                </c:pt>
                <c:pt idx="2">
                  <c:v>0.38209745218461144</c:v>
                </c:pt>
                <c:pt idx="3">
                  <c:v>0.5699767385325023</c:v>
                </c:pt>
                <c:pt idx="4">
                  <c:v>0.81253067595329664</c:v>
                </c:pt>
              </c:numCache>
            </c:numRef>
          </c:yVal>
        </c:ser>
        <c:axId val="140166272"/>
        <c:axId val="140167808"/>
      </c:scatterChart>
      <c:valAx>
        <c:axId val="140166272"/>
        <c:scaling>
          <c:orientation val="minMax"/>
        </c:scaling>
        <c:axPos val="b"/>
        <c:majorGridlines/>
        <c:numFmt formatCode="General" sourceLinked="1"/>
        <c:tickLblPos val="nextTo"/>
        <c:crossAx val="140167808"/>
        <c:crosses val="autoZero"/>
        <c:crossBetween val="midCat"/>
      </c:valAx>
      <c:valAx>
        <c:axId val="140167808"/>
        <c:scaling>
          <c:orientation val="minMax"/>
          <c:max val="1.4"/>
          <c:min val="0"/>
        </c:scaling>
        <c:axPos val="l"/>
        <c:majorGridlines/>
        <c:numFmt formatCode="General" sourceLinked="1"/>
        <c:tickLblPos val="nextTo"/>
        <c:crossAx val="140166272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752730439211541"/>
          <c:y val="0.1213188827587028"/>
          <c:w val="0.17440801120517221"/>
          <c:h val="0.32803470994697137"/>
        </c:manualLayout>
      </c:layout>
      <c:spPr>
        <a:solidFill>
          <a:sysClr val="window" lastClr="FFFFFF"/>
        </a:solidFill>
      </c:spPr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5.9096801667342339E-2"/>
          <c:y val="3.3874964714078942E-2"/>
          <c:w val="0.8949022401840957"/>
          <c:h val="0.88968978420031597"/>
        </c:manualLayout>
      </c:layout>
      <c:scatterChart>
        <c:scatterStyle val="lineMarker"/>
        <c:ser>
          <c:idx val="0"/>
          <c:order val="0"/>
          <c:tx>
            <c:strRef>
              <c:f>Vergleich!$B$7</c:f>
              <c:strCache>
                <c:ptCount val="1"/>
                <c:pt idx="0">
                  <c:v>Down min</c:v>
                </c:pt>
              </c:strCache>
            </c:strRef>
          </c:tx>
          <c:spPr>
            <a:ln w="28575">
              <a:solidFill>
                <a:schemeClr val="accent1"/>
              </a:solidFill>
            </a:ln>
          </c:spPr>
          <c:xVal>
            <c:numRef>
              <c:f>Vergleich!$C$6:$G$6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Vergleich!$C$7:$G$7</c:f>
              <c:numCache>
                <c:formatCode>General</c:formatCode>
                <c:ptCount val="5"/>
                <c:pt idx="0">
                  <c:v>0.52810000000000001</c:v>
                </c:pt>
                <c:pt idx="1">
                  <c:v>0.68890000000000007</c:v>
                </c:pt>
                <c:pt idx="2">
                  <c:v>0.8778999999999999</c:v>
                </c:pt>
                <c:pt idx="3">
                  <c:v>1.0951</c:v>
                </c:pt>
                <c:pt idx="4">
                  <c:v>1.3405</c:v>
                </c:pt>
              </c:numCache>
            </c:numRef>
          </c:yVal>
        </c:ser>
        <c:ser>
          <c:idx val="1"/>
          <c:order val="1"/>
          <c:tx>
            <c:strRef>
              <c:f>Vergleich!$B$8</c:f>
              <c:strCache>
                <c:ptCount val="1"/>
                <c:pt idx="0">
                  <c:v>Down max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xVal>
            <c:numRef>
              <c:f>Vergleich!$C$6:$G$6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Vergleich!$C$8:$G$8</c:f>
              <c:numCache>
                <c:formatCode>General</c:formatCode>
                <c:ptCount val="5"/>
                <c:pt idx="0">
                  <c:v>0.17169999999999999</c:v>
                </c:pt>
                <c:pt idx="1">
                  <c:v>0.25329999999999997</c:v>
                </c:pt>
                <c:pt idx="2">
                  <c:v>0.36450000000000005</c:v>
                </c:pt>
                <c:pt idx="3">
                  <c:v>0.50529999999999997</c:v>
                </c:pt>
                <c:pt idx="4">
                  <c:v>0.67570000000000008</c:v>
                </c:pt>
              </c:numCache>
            </c:numRef>
          </c:yVal>
        </c:ser>
        <c:ser>
          <c:idx val="4"/>
          <c:order val="2"/>
          <c:tx>
            <c:strRef>
              <c:f>Vergleich!$B$11</c:f>
              <c:strCache>
                <c:ptCount val="1"/>
                <c:pt idx="0">
                  <c:v>Stoke</c:v>
                </c:pt>
              </c:strCache>
            </c:strRef>
          </c:tx>
          <c:spPr>
            <a:ln w="19050">
              <a:solidFill>
                <a:srgbClr val="FF0000"/>
              </a:solidFill>
              <a:prstDash val="dash"/>
            </a:ln>
          </c:spPr>
          <c:marker>
            <c:spPr>
              <a:noFill/>
              <a:ln w="19050">
                <a:solidFill>
                  <a:srgbClr val="FF0000"/>
                </a:solidFill>
              </a:ln>
            </c:spPr>
          </c:marker>
          <c:xVal>
            <c:numRef>
              <c:f>Vergleich!$C$6:$G$6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Vergleich!$C$11:$G$11</c:f>
              <c:numCache>
                <c:formatCode>General</c:formatCode>
                <c:ptCount val="5"/>
                <c:pt idx="0">
                  <c:v>0.377</c:v>
                </c:pt>
                <c:pt idx="1">
                  <c:v>0.56399999999999995</c:v>
                </c:pt>
                <c:pt idx="2">
                  <c:v>0.69699999999999995</c:v>
                </c:pt>
                <c:pt idx="3">
                  <c:v>0.80100000000000005</c:v>
                </c:pt>
                <c:pt idx="4">
                  <c:v>0.88600000000000001</c:v>
                </c:pt>
              </c:numCache>
            </c:numRef>
          </c:yVal>
        </c:ser>
        <c:ser>
          <c:idx val="5"/>
          <c:order val="3"/>
          <c:tx>
            <c:strRef>
              <c:f>Vergleich!$B$12</c:f>
              <c:strCache>
                <c:ptCount val="1"/>
                <c:pt idx="0">
                  <c:v>Down exakt</c:v>
                </c:pt>
              </c:strCache>
            </c:strRef>
          </c:tx>
          <c:spPr>
            <a:ln w="25400">
              <a:solidFill>
                <a:schemeClr val="accent6">
                  <a:lumMod val="75000"/>
                </a:schemeClr>
              </a:solidFill>
            </a:ln>
          </c:spPr>
          <c:xVal>
            <c:numRef>
              <c:f>Vergleich!$C$6:$G$6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Vergleich!$C$12:$G$12</c:f>
              <c:numCache>
                <c:formatCode>General</c:formatCode>
                <c:ptCount val="5"/>
                <c:pt idx="0">
                  <c:v>0.19800000000000001</c:v>
                </c:pt>
                <c:pt idx="1">
                  <c:v>0.39600000000000002</c:v>
                </c:pt>
                <c:pt idx="2">
                  <c:v>0.59400000000000008</c:v>
                </c:pt>
                <c:pt idx="3">
                  <c:v>0.79200000000000004</c:v>
                </c:pt>
                <c:pt idx="4">
                  <c:v>0.99</c:v>
                </c:pt>
              </c:numCache>
            </c:numRef>
          </c:yVal>
        </c:ser>
        <c:ser>
          <c:idx val="2"/>
          <c:order val="4"/>
          <c:tx>
            <c:strRef>
              <c:f>Vergleich!$B$15</c:f>
              <c:strCache>
                <c:ptCount val="1"/>
                <c:pt idx="0">
                  <c:v>AimPoint D</c:v>
                </c:pt>
              </c:strCache>
            </c:strRef>
          </c:tx>
          <c:xVal>
            <c:numRef>
              <c:f>Vergleich!$C$6:$G$6</c:f>
              <c:numCache>
                <c:formatCode>General</c:formatCode>
                <c:ptCount val="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</c:numCache>
            </c:numRef>
          </c:xVal>
          <c:yVal>
            <c:numRef>
              <c:f>Vergleich!$C$15:$G$15</c:f>
              <c:numCache>
                <c:formatCode>General</c:formatCode>
                <c:ptCount val="5"/>
                <c:pt idx="0">
                  <c:v>0.15281042632988318</c:v>
                </c:pt>
                <c:pt idx="1">
                  <c:v>0.21953604271223348</c:v>
                </c:pt>
                <c:pt idx="2">
                  <c:v>0.32481539069993604</c:v>
                </c:pt>
                <c:pt idx="3">
                  <c:v>0.4641539554506191</c:v>
                </c:pt>
                <c:pt idx="4">
                  <c:v>0.63469885259857239</c:v>
                </c:pt>
              </c:numCache>
            </c:numRef>
          </c:yVal>
        </c:ser>
        <c:axId val="140465280"/>
        <c:axId val="140466816"/>
      </c:scatterChart>
      <c:valAx>
        <c:axId val="140465280"/>
        <c:scaling>
          <c:orientation val="minMax"/>
        </c:scaling>
        <c:axPos val="b"/>
        <c:majorGridlines/>
        <c:numFmt formatCode="General" sourceLinked="1"/>
        <c:tickLblPos val="nextTo"/>
        <c:crossAx val="140466816"/>
        <c:crosses val="autoZero"/>
        <c:crossBetween val="midCat"/>
      </c:valAx>
      <c:valAx>
        <c:axId val="140466816"/>
        <c:scaling>
          <c:orientation val="minMax"/>
          <c:max val="1.4"/>
          <c:min val="0"/>
        </c:scaling>
        <c:axPos val="l"/>
        <c:majorGridlines/>
        <c:numFmt formatCode="General" sourceLinked="1"/>
        <c:tickLblPos val="nextTo"/>
        <c:crossAx val="140465280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19172126885075408"/>
          <c:y val="8.7468242671039184E-2"/>
          <c:w val="0.17801352054082178"/>
          <c:h val="0.27586442998972993"/>
        </c:manualLayout>
      </c:layout>
      <c:spPr>
        <a:solidFill>
          <a:sysClr val="window" lastClr="FFFFFF"/>
        </a:solidFill>
      </c:spPr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/>
      <c:scatterChart>
        <c:scatterStyle val="lineMarker"/>
        <c:ser>
          <c:idx val="1"/>
          <c:order val="0"/>
          <c:tx>
            <c:v>Downhill</c:v>
          </c:tx>
          <c:spPr>
            <a:ln w="6350">
              <a:solidFill>
                <a:srgbClr val="C00000"/>
              </a:solidFill>
            </a:ln>
          </c:spPr>
          <c:marker>
            <c:symbol val="square"/>
            <c:size val="7"/>
          </c:marker>
          <c:xVal>
            <c:numRef>
              <c:f>Down_Opt!$E$12:$Y$12</c:f>
              <c:numCache>
                <c:formatCode>General</c:formatCode>
                <c:ptCount val="21"/>
                <c:pt idx="0">
                  <c:v>2</c:v>
                </c:pt>
                <c:pt idx="1">
                  <c:v>1.9898073270854937</c:v>
                </c:pt>
                <c:pt idx="2">
                  <c:v>1.3136721547652148</c:v>
                </c:pt>
                <c:pt idx="3">
                  <c:v>0.87136747889466748</c:v>
                </c:pt>
                <c:pt idx="4">
                  <c:v>0.5794926722435354</c:v>
                </c:pt>
                <c:pt idx="5">
                  <c:v>0.38573995668846051</c:v>
                </c:pt>
                <c:pt idx="6">
                  <c:v>0.25672724464098584</c:v>
                </c:pt>
                <c:pt idx="7">
                  <c:v>0.17082019933828585</c:v>
                </c:pt>
                <c:pt idx="8">
                  <c:v>0.11380673651619788</c:v>
                </c:pt>
                <c:pt idx="9">
                  <c:v>7.6239714339100706E-2</c:v>
                </c:pt>
                <c:pt idx="10">
                  <c:v>5.1775612487953149E-2</c:v>
                </c:pt>
                <c:pt idx="11">
                  <c:v>3.6119230592644547E-2</c:v>
                </c:pt>
                <c:pt idx="12">
                  <c:v>2.6343594322833841E-2</c:v>
                </c:pt>
                <c:pt idx="13">
                  <c:v>2.0445920395889772E-2</c:v>
                </c:pt>
                <c:pt idx="14">
                  <c:v>1.705431581624639E-2</c:v>
                </c:pt>
                <c:pt idx="15">
                  <c:v>1.5232060582029971E-2</c:v>
                </c:pt>
                <c:pt idx="16">
                  <c:v>1.4345869676385847E-2</c:v>
                </c:pt>
                <c:pt idx="17">
                  <c:v>1.3976571613534938E-2</c:v>
                </c:pt>
                <c:pt idx="18">
                  <c:v>1.3858123348439166E-2</c:v>
                </c:pt>
                <c:pt idx="19">
                  <c:v>1.3835483187109698E-2</c:v>
                </c:pt>
                <c:pt idx="20">
                  <c:v>1.383435782926723E-2</c:v>
                </c:pt>
              </c:numCache>
            </c:numRef>
          </c:xVal>
          <c:yVal>
            <c:numRef>
              <c:f>Down_Opt!$E$13:$Y$13</c:f>
              <c:numCache>
                <c:formatCode>General</c:formatCode>
                <c:ptCount val="21"/>
                <c:pt idx="0">
                  <c:v>0.5</c:v>
                </c:pt>
                <c:pt idx="1">
                  <c:v>0.49984201688778412</c:v>
                </c:pt>
                <c:pt idx="2">
                  <c:v>0.46326097179093034</c:v>
                </c:pt>
                <c:pt idx="3">
                  <c:v>0.40271209927839768</c:v>
                </c:pt>
                <c:pt idx="4">
                  <c:v>0.33804712400821646</c:v>
                </c:pt>
                <c:pt idx="5">
                  <c:v>0.2781141561558711</c:v>
                </c:pt>
                <c:pt idx="6">
                  <c:v>0.22629479127385321</c:v>
                </c:pt>
                <c:pt idx="7">
                  <c:v>0.18331791442107309</c:v>
                </c:pt>
                <c:pt idx="8">
                  <c:v>0.1486933791930457</c:v>
                </c:pt>
                <c:pt idx="9">
                  <c:v>0.12143716530372767</c:v>
                </c:pt>
                <c:pt idx="10">
                  <c:v>0.10043001277822039</c:v>
                </c:pt>
                <c:pt idx="11">
                  <c:v>8.458623491056505E-2</c:v>
                </c:pt>
                <c:pt idx="12">
                  <c:v>7.2924976558922772E-2</c:v>
                </c:pt>
                <c:pt idx="13">
                  <c:v>6.4592391575870545E-2</c:v>
                </c:pt>
                <c:pt idx="14">
                  <c:v>5.8860231699740362E-2</c:v>
                </c:pt>
                <c:pt idx="15">
                  <c:v>5.511419075752344E-2</c:v>
                </c:pt>
                <c:pt idx="16">
                  <c:v>5.2838927267960689E-2</c:v>
                </c:pt>
                <c:pt idx="17">
                  <c:v>5.1603359759907097E-2</c:v>
                </c:pt>
                <c:pt idx="18">
                  <c:v>5.1048266026054112E-2</c:v>
                </c:pt>
                <c:pt idx="19">
                  <c:v>5.0877947608958529E-2</c:v>
                </c:pt>
                <c:pt idx="20">
                  <c:v>5.0859906815776568E-2</c:v>
                </c:pt>
              </c:numCache>
            </c:numRef>
          </c:yVal>
        </c:ser>
        <c:axId val="141368320"/>
        <c:axId val="141370112"/>
      </c:scatterChart>
      <c:valAx>
        <c:axId val="141368320"/>
        <c:scaling>
          <c:orientation val="minMax"/>
          <c:max val="2.5"/>
          <c:min val="-2.5"/>
        </c:scaling>
        <c:axPos val="b"/>
        <c:majorGridlines/>
        <c:numFmt formatCode="General" sourceLinked="1"/>
        <c:tickLblPos val="nextTo"/>
        <c:crossAx val="141370112"/>
        <c:crosses val="autoZero"/>
        <c:crossBetween val="midCat"/>
      </c:valAx>
      <c:valAx>
        <c:axId val="141370112"/>
        <c:scaling>
          <c:orientation val="minMax"/>
          <c:max val="2.5"/>
          <c:min val="-2.5"/>
        </c:scaling>
        <c:axPos val="l"/>
        <c:majorGridlines/>
        <c:numFmt formatCode="General" sourceLinked="1"/>
        <c:tickLblPos val="nextTo"/>
        <c:crossAx val="14136832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>
        <c:manualLayout>
          <c:layoutTarget val="inner"/>
          <c:xMode val="edge"/>
          <c:yMode val="edge"/>
          <c:x val="4.8622027744303138E-2"/>
          <c:y val="2.3239179184056193E-2"/>
          <c:w val="0.9017127836732145"/>
          <c:h val="0.95352164163189301"/>
        </c:manualLayout>
      </c:layout>
      <c:scatterChart>
        <c:scatterStyle val="lineMarker"/>
        <c:ser>
          <c:idx val="1"/>
          <c:order val="0"/>
          <c:tx>
            <c:v>Downhill</c:v>
          </c:tx>
          <c:spPr>
            <a:ln w="6350">
              <a:solidFill>
                <a:srgbClr val="C00000"/>
              </a:solidFill>
            </a:ln>
          </c:spPr>
          <c:marker>
            <c:symbol val="square"/>
            <c:size val="7"/>
          </c:marker>
          <c:dPt>
            <c:idx val="12"/>
            <c:marker>
              <c:spPr>
                <a:solidFill>
                  <a:srgbClr val="FFFF00"/>
                </a:solidFill>
              </c:spPr>
            </c:marker>
          </c:dPt>
          <c:xVal>
            <c:numRef>
              <c:f>Down_Opt!$E$12:$Y$12</c:f>
              <c:numCache>
                <c:formatCode>General</c:formatCode>
                <c:ptCount val="21"/>
                <c:pt idx="0">
                  <c:v>2</c:v>
                </c:pt>
                <c:pt idx="1">
                  <c:v>1.9898073270854937</c:v>
                </c:pt>
                <c:pt idx="2">
                  <c:v>1.3136721547652148</c:v>
                </c:pt>
                <c:pt idx="3">
                  <c:v>0.87136747889466748</c:v>
                </c:pt>
                <c:pt idx="4">
                  <c:v>0.5794926722435354</c:v>
                </c:pt>
                <c:pt idx="5">
                  <c:v>0.38573995668846051</c:v>
                </c:pt>
                <c:pt idx="6">
                  <c:v>0.25672724464098584</c:v>
                </c:pt>
                <c:pt idx="7">
                  <c:v>0.17082019933828585</c:v>
                </c:pt>
                <c:pt idx="8">
                  <c:v>0.11380673651619788</c:v>
                </c:pt>
                <c:pt idx="9">
                  <c:v>7.6239714339100706E-2</c:v>
                </c:pt>
                <c:pt idx="10">
                  <c:v>5.1775612487953149E-2</c:v>
                </c:pt>
                <c:pt idx="11">
                  <c:v>3.6119230592644547E-2</c:v>
                </c:pt>
                <c:pt idx="12">
                  <c:v>2.6343594322833841E-2</c:v>
                </c:pt>
                <c:pt idx="13">
                  <c:v>2.0445920395889772E-2</c:v>
                </c:pt>
                <c:pt idx="14">
                  <c:v>1.705431581624639E-2</c:v>
                </c:pt>
                <c:pt idx="15">
                  <c:v>1.5232060582029971E-2</c:v>
                </c:pt>
                <c:pt idx="16">
                  <c:v>1.4345869676385847E-2</c:v>
                </c:pt>
                <c:pt idx="17">
                  <c:v>1.3976571613534938E-2</c:v>
                </c:pt>
                <c:pt idx="18">
                  <c:v>1.3858123348439166E-2</c:v>
                </c:pt>
                <c:pt idx="19">
                  <c:v>1.3835483187109698E-2</c:v>
                </c:pt>
                <c:pt idx="20">
                  <c:v>1.383435782926723E-2</c:v>
                </c:pt>
              </c:numCache>
            </c:numRef>
          </c:xVal>
          <c:yVal>
            <c:numRef>
              <c:f>Down_Opt!$E$13:$Y$13</c:f>
              <c:numCache>
                <c:formatCode>General</c:formatCode>
                <c:ptCount val="21"/>
                <c:pt idx="0">
                  <c:v>0.5</c:v>
                </c:pt>
                <c:pt idx="1">
                  <c:v>0.49984201688778412</c:v>
                </c:pt>
                <c:pt idx="2">
                  <c:v>0.46326097179093034</c:v>
                </c:pt>
                <c:pt idx="3">
                  <c:v>0.40271209927839768</c:v>
                </c:pt>
                <c:pt idx="4">
                  <c:v>0.33804712400821646</c:v>
                </c:pt>
                <c:pt idx="5">
                  <c:v>0.2781141561558711</c:v>
                </c:pt>
                <c:pt idx="6">
                  <c:v>0.22629479127385321</c:v>
                </c:pt>
                <c:pt idx="7">
                  <c:v>0.18331791442107309</c:v>
                </c:pt>
                <c:pt idx="8">
                  <c:v>0.1486933791930457</c:v>
                </c:pt>
                <c:pt idx="9">
                  <c:v>0.12143716530372767</c:v>
                </c:pt>
                <c:pt idx="10">
                  <c:v>0.10043001277822039</c:v>
                </c:pt>
                <c:pt idx="11">
                  <c:v>8.458623491056505E-2</c:v>
                </c:pt>
                <c:pt idx="12">
                  <c:v>7.2924976558922772E-2</c:v>
                </c:pt>
                <c:pt idx="13">
                  <c:v>6.4592391575870545E-2</c:v>
                </c:pt>
                <c:pt idx="14">
                  <c:v>5.8860231699740362E-2</c:v>
                </c:pt>
                <c:pt idx="15">
                  <c:v>5.511419075752344E-2</c:v>
                </c:pt>
                <c:pt idx="16">
                  <c:v>5.2838927267960689E-2</c:v>
                </c:pt>
                <c:pt idx="17">
                  <c:v>5.1603359759907097E-2</c:v>
                </c:pt>
                <c:pt idx="18">
                  <c:v>5.1048266026054112E-2</c:v>
                </c:pt>
                <c:pt idx="19">
                  <c:v>5.0877947608958529E-2</c:v>
                </c:pt>
                <c:pt idx="20">
                  <c:v>5.0859906815776568E-2</c:v>
                </c:pt>
              </c:numCache>
            </c:numRef>
          </c:yVal>
        </c:ser>
        <c:axId val="141419264"/>
        <c:axId val="141420800"/>
      </c:scatterChart>
      <c:valAx>
        <c:axId val="141419264"/>
        <c:scaling>
          <c:orientation val="minMax"/>
          <c:max val="0.5"/>
          <c:min val="-0.5"/>
        </c:scaling>
        <c:axPos val="b"/>
        <c:majorGridlines/>
        <c:numFmt formatCode="General" sourceLinked="1"/>
        <c:tickLblPos val="nextTo"/>
        <c:crossAx val="141420800"/>
        <c:crosses val="autoZero"/>
        <c:crossBetween val="midCat"/>
      </c:valAx>
      <c:valAx>
        <c:axId val="141420800"/>
        <c:scaling>
          <c:orientation val="minMax"/>
          <c:max val="0.5"/>
          <c:min val="-0.5"/>
        </c:scaling>
        <c:axPos val="l"/>
        <c:majorGridlines/>
        <c:numFmt formatCode="General" sourceLinked="1"/>
        <c:tickLblPos val="nextTo"/>
        <c:crossAx val="14141926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6.1296356667200659E-2"/>
          <c:y val="3.218121647837504E-2"/>
          <c:w val="0.91261686987438251"/>
          <c:h val="0.8952052949903001"/>
        </c:manualLayout>
      </c:layout>
      <c:scatterChart>
        <c:scatterStyle val="lineMarker"/>
        <c:ser>
          <c:idx val="0"/>
          <c:order val="0"/>
          <c:tx>
            <c:v>1,5 D min</c:v>
          </c:tx>
          <c:spPr>
            <a:ln w="28575">
              <a:noFill/>
            </a:ln>
          </c:spPr>
          <c:trendline>
            <c:trendlineType val="poly"/>
            <c:order val="2"/>
            <c:dispEq val="1"/>
            <c:trendlineLbl>
              <c:numFmt formatCode="General" sourceLinked="0"/>
            </c:trendlineLbl>
          </c:trendline>
          <c:xVal>
            <c:numRef>
              <c:f>Down_Opt!$AI$6:$AI$15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Down_Opt!$AL$6:$AL$15</c:f>
              <c:numCache>
                <c:formatCode>General</c:formatCode>
                <c:ptCount val="10"/>
                <c:pt idx="0">
                  <c:v>0.47</c:v>
                </c:pt>
                <c:pt idx="1">
                  <c:v>0.52</c:v>
                </c:pt>
                <c:pt idx="2">
                  <c:v>0.6</c:v>
                </c:pt>
                <c:pt idx="3">
                  <c:v>0.68</c:v>
                </c:pt>
                <c:pt idx="4">
                  <c:v>0.78</c:v>
                </c:pt>
                <c:pt idx="5">
                  <c:v>0.88</c:v>
                </c:pt>
                <c:pt idx="6">
                  <c:v>0.99</c:v>
                </c:pt>
                <c:pt idx="7">
                  <c:v>1.1000000000000001</c:v>
                </c:pt>
                <c:pt idx="8">
                  <c:v>1.22</c:v>
                </c:pt>
                <c:pt idx="9">
                  <c:v>1.33</c:v>
                </c:pt>
              </c:numCache>
            </c:numRef>
          </c:yVal>
        </c:ser>
        <c:ser>
          <c:idx val="1"/>
          <c:order val="1"/>
          <c:tx>
            <c:v>1,5 D max</c:v>
          </c:tx>
          <c:spPr>
            <a:ln w="28575">
              <a:noFill/>
            </a:ln>
          </c:spPr>
          <c:trendline>
            <c:trendlineType val="poly"/>
            <c:order val="2"/>
            <c:dispEq val="1"/>
            <c:trendlineLbl>
              <c:numFmt formatCode="General" sourceLinked="0"/>
            </c:trendlineLbl>
          </c:trendline>
          <c:xVal>
            <c:numRef>
              <c:f>Down_Opt!$AI$19:$AI$28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Down_Opt!$AL$19:$AL$28</c:f>
              <c:numCache>
                <c:formatCode>General</c:formatCode>
                <c:ptCount val="10"/>
                <c:pt idx="0">
                  <c:v>0.15</c:v>
                </c:pt>
                <c:pt idx="1">
                  <c:v>0.17</c:v>
                </c:pt>
                <c:pt idx="2">
                  <c:v>0.2</c:v>
                </c:pt>
                <c:pt idx="3">
                  <c:v>0.25</c:v>
                </c:pt>
                <c:pt idx="4">
                  <c:v>0.3</c:v>
                </c:pt>
                <c:pt idx="5">
                  <c:v>0.37</c:v>
                </c:pt>
                <c:pt idx="6">
                  <c:v>0.44</c:v>
                </c:pt>
                <c:pt idx="7">
                  <c:v>0.51</c:v>
                </c:pt>
                <c:pt idx="8">
                  <c:v>0.59</c:v>
                </c:pt>
                <c:pt idx="9">
                  <c:v>0.67</c:v>
                </c:pt>
              </c:numCache>
            </c:numRef>
          </c:yVal>
        </c:ser>
        <c:axId val="141462144"/>
        <c:axId val="141476224"/>
      </c:scatterChart>
      <c:valAx>
        <c:axId val="141462144"/>
        <c:scaling>
          <c:orientation val="minMax"/>
        </c:scaling>
        <c:axPos val="b"/>
        <c:majorGridlines/>
        <c:numFmt formatCode="General" sourceLinked="1"/>
        <c:tickLblPos val="nextTo"/>
        <c:crossAx val="141476224"/>
        <c:crosses val="autoZero"/>
        <c:crossBetween val="midCat"/>
      </c:valAx>
      <c:valAx>
        <c:axId val="141476224"/>
        <c:scaling>
          <c:orientation val="minMax"/>
        </c:scaling>
        <c:axPos val="l"/>
        <c:majorGridlines/>
        <c:numFmt formatCode="General" sourceLinked="1"/>
        <c:tickLblPos val="nextTo"/>
        <c:crossAx val="141462144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2653826558651389"/>
          <c:y val="0.37222343946137165"/>
          <c:w val="0.12383930487147518"/>
          <c:h val="0.10482848339609716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tx>
            <c:strRef>
              <c:f>StokesReibung!$AF$2</c:f>
              <c:strCache>
                <c:ptCount val="1"/>
                <c:pt idx="0">
                  <c:v>0,5</c:v>
                </c:pt>
              </c:strCache>
            </c:strRef>
          </c:tx>
          <c:xVal>
            <c:numRef>
              <c:f>StokesReibung!$AE$3:$AE$12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StokesReibung!$AF$3:$AF$12</c:f>
              <c:numCache>
                <c:formatCode>General</c:formatCode>
                <c:ptCount val="10"/>
                <c:pt idx="0">
                  <c:v>0.191</c:v>
                </c:pt>
                <c:pt idx="1">
                  <c:v>0.28699999999999998</c:v>
                </c:pt>
                <c:pt idx="2">
                  <c:v>0.35499999999999998</c:v>
                </c:pt>
                <c:pt idx="3">
                  <c:v>0.40899999999999997</c:v>
                </c:pt>
                <c:pt idx="4">
                  <c:v>0.45300000000000001</c:v>
                </c:pt>
                <c:pt idx="5">
                  <c:v>0.49099999999999999</c:v>
                </c:pt>
                <c:pt idx="6">
                  <c:v>0.52400000000000002</c:v>
                </c:pt>
                <c:pt idx="7">
                  <c:v>0.55400000000000005</c:v>
                </c:pt>
                <c:pt idx="8">
                  <c:v>0.57999999999999996</c:v>
                </c:pt>
                <c:pt idx="9">
                  <c:v>0.60399999999999998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StokesReibung!$AG$2</c:f>
              <c:strCache>
                <c:ptCount val="1"/>
                <c:pt idx="0">
                  <c:v>1</c:v>
                </c:pt>
              </c:strCache>
            </c:strRef>
          </c:tx>
          <c:xVal>
            <c:numRef>
              <c:f>StokesReibung!$AE$3:$AE$12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StokesReibung!$AG$3:$AG$12</c:f>
              <c:numCache>
                <c:formatCode>General</c:formatCode>
                <c:ptCount val="10"/>
                <c:pt idx="0">
                  <c:v>0.24199999999999999</c:v>
                </c:pt>
                <c:pt idx="1">
                  <c:v>0.38200000000000001</c:v>
                </c:pt>
                <c:pt idx="2">
                  <c:v>0.48799999999999999</c:v>
                </c:pt>
                <c:pt idx="3">
                  <c:v>0.57399999999999995</c:v>
                </c:pt>
                <c:pt idx="4">
                  <c:v>0.64700000000000002</c:v>
                </c:pt>
                <c:pt idx="5">
                  <c:v>0.71099999999999997</c:v>
                </c:pt>
                <c:pt idx="6">
                  <c:v>0.76700000000000002</c:v>
                </c:pt>
                <c:pt idx="7">
                  <c:v>0.81799999999999995</c:v>
                </c:pt>
                <c:pt idx="8">
                  <c:v>0.86399999999999999</c:v>
                </c:pt>
                <c:pt idx="9">
                  <c:v>0.90700000000000003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StokesReibung!$AH$2</c:f>
              <c:strCache>
                <c:ptCount val="1"/>
                <c:pt idx="0">
                  <c:v>1,5</c:v>
                </c:pt>
              </c:strCache>
            </c:strRef>
          </c:tx>
          <c:xVal>
            <c:numRef>
              <c:f>StokesReibung!$AE$3:$AE$12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StokesReibung!$AH$3:$AH$12</c:f>
              <c:numCache>
                <c:formatCode>General</c:formatCode>
                <c:ptCount val="10"/>
                <c:pt idx="0">
                  <c:v>0.27100000000000002</c:v>
                </c:pt>
                <c:pt idx="1">
                  <c:v>0.441</c:v>
                </c:pt>
                <c:pt idx="2">
                  <c:v>0.57399999999999995</c:v>
                </c:pt>
                <c:pt idx="3">
                  <c:v>0.68400000000000005</c:v>
                </c:pt>
                <c:pt idx="4">
                  <c:v>0.77800000000000002</c:v>
                </c:pt>
                <c:pt idx="5">
                  <c:v>0.86199999999999999</c:v>
                </c:pt>
                <c:pt idx="6">
                  <c:v>0.93600000000000005</c:v>
                </c:pt>
                <c:pt idx="7">
                  <c:v>1.004</c:v>
                </c:pt>
                <c:pt idx="8">
                  <c:v>1.0660000000000001</c:v>
                </c:pt>
                <c:pt idx="9">
                  <c:v>1.1240000000000001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StokesReibung!$AI$2</c:f>
              <c:strCache>
                <c:ptCount val="1"/>
                <c:pt idx="0">
                  <c:v>2</c:v>
                </c:pt>
              </c:strCache>
            </c:strRef>
          </c:tx>
          <c:xVal>
            <c:numRef>
              <c:f>StokesReibung!$AE$3:$AE$12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StokesReibung!$AI$3:$AI$12</c:f>
              <c:numCache>
                <c:formatCode>General</c:formatCode>
                <c:ptCount val="10"/>
                <c:pt idx="0">
                  <c:v>0.29099999999999998</c:v>
                </c:pt>
                <c:pt idx="1">
                  <c:v>0.48299999999999998</c:v>
                </c:pt>
                <c:pt idx="2">
                  <c:v>0.63600000000000001</c:v>
                </c:pt>
                <c:pt idx="3">
                  <c:v>0.76500000000000001</c:v>
                </c:pt>
                <c:pt idx="4">
                  <c:v>0.877</c:v>
                </c:pt>
                <c:pt idx="5">
                  <c:v>0.97699999999999998</c:v>
                </c:pt>
                <c:pt idx="6">
                  <c:v>1.0669999999999999</c:v>
                </c:pt>
                <c:pt idx="7">
                  <c:v>1.149</c:v>
                </c:pt>
                <c:pt idx="8">
                  <c:v>1.2250000000000001</c:v>
                </c:pt>
                <c:pt idx="9">
                  <c:v>1.2949999999999999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StokesReibung!$AJ$2</c:f>
              <c:strCache>
                <c:ptCount val="1"/>
                <c:pt idx="0">
                  <c:v>2,5</c:v>
                </c:pt>
              </c:strCache>
            </c:strRef>
          </c:tx>
          <c:xVal>
            <c:numRef>
              <c:f>StokesReibung!$AE$3:$AE$12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StokesReibung!$AJ$3:$AJ$12</c:f>
              <c:numCache>
                <c:formatCode>General</c:formatCode>
                <c:ptCount val="10"/>
                <c:pt idx="0">
                  <c:v>0.30599999999999999</c:v>
                </c:pt>
                <c:pt idx="1">
                  <c:v>0.51600000000000001</c:v>
                </c:pt>
                <c:pt idx="2">
                  <c:v>0.68500000000000005</c:v>
                </c:pt>
                <c:pt idx="3">
                  <c:v>0.83</c:v>
                </c:pt>
                <c:pt idx="4">
                  <c:v>0.95699999999999996</c:v>
                </c:pt>
                <c:pt idx="5">
                  <c:v>1.07</c:v>
                </c:pt>
                <c:pt idx="6">
                  <c:v>1.173</c:v>
                </c:pt>
                <c:pt idx="7">
                  <c:v>1.268</c:v>
                </c:pt>
                <c:pt idx="8">
                  <c:v>1.355</c:v>
                </c:pt>
                <c:pt idx="9">
                  <c:v>1.4370000000000001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StokesReibung!$AK$2</c:f>
              <c:strCache>
                <c:ptCount val="1"/>
                <c:pt idx="0">
                  <c:v>3</c:v>
                </c:pt>
              </c:strCache>
            </c:strRef>
          </c:tx>
          <c:xVal>
            <c:numRef>
              <c:f>StokesReibung!$AE$3:$AE$12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StokesReibung!$AK$3:$AK$12</c:f>
              <c:numCache>
                <c:formatCode>General</c:formatCode>
                <c:ptCount val="10"/>
                <c:pt idx="0">
                  <c:v>0.318</c:v>
                </c:pt>
                <c:pt idx="1">
                  <c:v>0.54200000000000004</c:v>
                </c:pt>
                <c:pt idx="2">
                  <c:v>0.72499999999999998</c:v>
                </c:pt>
                <c:pt idx="3">
                  <c:v>0.88300000000000001</c:v>
                </c:pt>
                <c:pt idx="4">
                  <c:v>1.0229999999999999</c:v>
                </c:pt>
                <c:pt idx="5">
                  <c:v>1.1479999999999999</c:v>
                </c:pt>
                <c:pt idx="6">
                  <c:v>1.2629999999999999</c:v>
                </c:pt>
                <c:pt idx="7">
                  <c:v>1.3680000000000001</c:v>
                </c:pt>
                <c:pt idx="8">
                  <c:v>1.466</c:v>
                </c:pt>
                <c:pt idx="9">
                  <c:v>1.5580000000000001</c:v>
                </c:pt>
              </c:numCache>
            </c:numRef>
          </c:yVal>
          <c:smooth val="1"/>
        </c:ser>
        <c:axId val="6223744"/>
        <c:axId val="6225280"/>
      </c:scatterChart>
      <c:valAx>
        <c:axId val="6223744"/>
        <c:scaling>
          <c:orientation val="minMax"/>
        </c:scaling>
        <c:axPos val="b"/>
        <c:majorGridlines/>
        <c:numFmt formatCode="General" sourceLinked="1"/>
        <c:tickLblPos val="nextTo"/>
        <c:crossAx val="6225280"/>
        <c:crosses val="autoZero"/>
        <c:crossBetween val="midCat"/>
      </c:valAx>
      <c:valAx>
        <c:axId val="6225280"/>
        <c:scaling>
          <c:orientation val="minMax"/>
        </c:scaling>
        <c:axPos val="l"/>
        <c:majorGridlines/>
        <c:numFmt formatCode="General" sourceLinked="1"/>
        <c:tickLblPos val="nextTo"/>
        <c:crossAx val="62237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/>
      <c:scatterChart>
        <c:scatterStyle val="lineMarker"/>
        <c:ser>
          <c:idx val="1"/>
          <c:order val="0"/>
          <c:tx>
            <c:v>Uphil-00l</c:v>
          </c:tx>
          <c:spPr>
            <a:ln w="19050">
              <a:solidFill>
                <a:srgbClr val="0070C0"/>
              </a:solidFill>
            </a:ln>
          </c:spPr>
          <c:marker>
            <c:symbol val="none"/>
          </c:marker>
          <c:xVal>
            <c:numRef>
              <c:f>Up_Opt!$E$12:$Y$12</c:f>
              <c:numCache>
                <c:formatCode>General</c:formatCode>
                <c:ptCount val="21"/>
                <c:pt idx="0">
                  <c:v>2</c:v>
                </c:pt>
                <c:pt idx="1">
                  <c:v>1.9987735212903059</c:v>
                </c:pt>
                <c:pt idx="2">
                  <c:v>1.2612631362696618</c:v>
                </c:pt>
                <c:pt idx="3">
                  <c:v>0.8141879321234462</c:v>
                </c:pt>
                <c:pt idx="4">
                  <c:v>0.53638478331572936</c:v>
                </c:pt>
                <c:pt idx="5">
                  <c:v>0.36008255749071383</c:v>
                </c:pt>
                <c:pt idx="6">
                  <c:v>0.24617247339165127</c:v>
                </c:pt>
                <c:pt idx="7">
                  <c:v>0.1714557597723454</c:v>
                </c:pt>
                <c:pt idx="8">
                  <c:v>0.1218310589871725</c:v>
                </c:pt>
                <c:pt idx="9">
                  <c:v>8.8538560154943546E-2</c:v>
                </c:pt>
                <c:pt idx="10">
                  <c:v>6.6030099626198213E-2</c:v>
                </c:pt>
                <c:pt idx="11">
                  <c:v>5.0730254317855605E-2</c:v>
                </c:pt>
                <c:pt idx="12">
                  <c:v>4.0298960841309794E-2</c:v>
                </c:pt>
                <c:pt idx="13">
                  <c:v>3.3183393409432327E-2</c:v>
                </c:pt>
                <c:pt idx="14">
                  <c:v>2.8340414850700713E-2</c:v>
                </c:pt>
                <c:pt idx="15">
                  <c:v>2.506167255291647E-2</c:v>
                </c:pt>
                <c:pt idx="16">
                  <c:v>2.2861621406358612E-2</c:v>
                </c:pt>
                <c:pt idx="17">
                  <c:v>2.1404789731126916E-2</c:v>
                </c:pt>
                <c:pt idx="18">
                  <c:v>2.0457907299377132E-2</c:v>
                </c:pt>
                <c:pt idx="19">
                  <c:v>1.9858016174441051E-2</c:v>
                </c:pt>
                <c:pt idx="20">
                  <c:v>1.9491000076009124E-2</c:v>
                </c:pt>
              </c:numCache>
            </c:numRef>
          </c:xVal>
          <c:yVal>
            <c:numRef>
              <c:f>Up_Opt!$E$13:$Y$13</c:f>
              <c:numCache>
                <c:formatCode>General</c:formatCode>
                <c:ptCount val="21"/>
                <c:pt idx="0">
                  <c:v>-0.5</c:v>
                </c:pt>
                <c:pt idx="1">
                  <c:v>-0.49942362986594746</c:v>
                </c:pt>
                <c:pt idx="2">
                  <c:v>-0.18394052133170763</c:v>
                </c:pt>
                <c:pt idx="3">
                  <c:v>-3.2343094100191094E-2</c:v>
                </c:pt>
                <c:pt idx="4">
                  <c:v>3.8489285293526354E-2</c:v>
                </c:pt>
                <c:pt idx="5">
                  <c:v>6.91904525770769E-2</c:v>
                </c:pt>
                <c:pt idx="6">
                  <c:v>8.0066074808849086E-2</c:v>
                </c:pt>
                <c:pt idx="7">
                  <c:v>8.1409698029381028E-2</c:v>
                </c:pt>
                <c:pt idx="8">
                  <c:v>7.8468022585191699E-2</c:v>
                </c:pt>
                <c:pt idx="9">
                  <c:v>7.3899074399171427E-2</c:v>
                </c:pt>
                <c:pt idx="10">
                  <c:v>6.9018058359715861E-2</c:v>
                </c:pt>
                <c:pt idx="11">
                  <c:v>6.4440820471059812E-2</c:v>
                </c:pt>
                <c:pt idx="12">
                  <c:v>6.0420942279236334E-2</c:v>
                </c:pt>
                <c:pt idx="13">
                  <c:v>5.7027951085768191E-2</c:v>
                </c:pt>
                <c:pt idx="14">
                  <c:v>5.4241819797880897E-2</c:v>
                </c:pt>
                <c:pt idx="15">
                  <c:v>5.2002833609141819E-2</c:v>
                </c:pt>
                <c:pt idx="16">
                  <c:v>5.0237476511024282E-2</c:v>
                </c:pt>
                <c:pt idx="17">
                  <c:v>4.8871401533181369E-2</c:v>
                </c:pt>
                <c:pt idx="18">
                  <c:v>4.7835472874903306E-2</c:v>
                </c:pt>
                <c:pt idx="19">
                  <c:v>4.7068142777103361E-2</c:v>
                </c:pt>
                <c:pt idx="20">
                  <c:v>4.6515951736419425E-2</c:v>
                </c:pt>
              </c:numCache>
            </c:numRef>
          </c:yVal>
        </c:ser>
        <c:axId val="141543296"/>
        <c:axId val="141544832"/>
      </c:scatterChart>
      <c:valAx>
        <c:axId val="141543296"/>
        <c:scaling>
          <c:orientation val="minMax"/>
          <c:max val="2.5"/>
          <c:min val="-2.5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sz="1000"/>
            </a:pPr>
            <a:endParaRPr lang="de-DE"/>
          </a:p>
        </c:txPr>
        <c:crossAx val="141544832"/>
        <c:crosses val="autoZero"/>
        <c:crossBetween val="midCat"/>
      </c:valAx>
      <c:valAx>
        <c:axId val="141544832"/>
        <c:scaling>
          <c:orientation val="minMax"/>
          <c:max val="2.5"/>
          <c:min val="-2.5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000"/>
            </a:pPr>
            <a:endParaRPr lang="de-DE"/>
          </a:p>
        </c:txPr>
        <c:crossAx val="14154329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4"/>
  <c:chart>
    <c:autoTitleDeleted val="1"/>
    <c:plotArea>
      <c:layout>
        <c:manualLayout>
          <c:layoutTarget val="inner"/>
          <c:xMode val="edge"/>
          <c:yMode val="edge"/>
          <c:x val="4.2645919260092445E-2"/>
          <c:y val="2.3239179184056224E-2"/>
          <c:w val="0.90175415573053352"/>
          <c:h val="0.95352164163189324"/>
        </c:manualLayout>
      </c:layout>
      <c:scatterChart>
        <c:scatterStyle val="lineMarker"/>
        <c:ser>
          <c:idx val="1"/>
          <c:order val="0"/>
          <c:tx>
            <c:v>Downhill</c:v>
          </c:tx>
          <c:spPr>
            <a:ln w="19050">
              <a:solidFill>
                <a:srgbClr val="0070C0"/>
              </a:solidFill>
            </a:ln>
          </c:spPr>
          <c:marker>
            <c:spPr>
              <a:solidFill>
                <a:srgbClr val="0070C0"/>
              </a:solidFill>
              <a:ln>
                <a:solidFill>
                  <a:srgbClr val="0070C0"/>
                </a:solidFill>
              </a:ln>
            </c:spPr>
          </c:marker>
          <c:xVal>
            <c:numRef>
              <c:f>Up_Opt!$E$12:$Y$12</c:f>
              <c:numCache>
                <c:formatCode>General</c:formatCode>
                <c:ptCount val="21"/>
                <c:pt idx="0">
                  <c:v>2</c:v>
                </c:pt>
                <c:pt idx="1">
                  <c:v>1.9987735212903059</c:v>
                </c:pt>
                <c:pt idx="2">
                  <c:v>1.2612631362696618</c:v>
                </c:pt>
                <c:pt idx="3">
                  <c:v>0.8141879321234462</c:v>
                </c:pt>
                <c:pt idx="4">
                  <c:v>0.53638478331572936</c:v>
                </c:pt>
                <c:pt idx="5">
                  <c:v>0.36008255749071383</c:v>
                </c:pt>
                <c:pt idx="6">
                  <c:v>0.24617247339165127</c:v>
                </c:pt>
                <c:pt idx="7">
                  <c:v>0.1714557597723454</c:v>
                </c:pt>
                <c:pt idx="8">
                  <c:v>0.1218310589871725</c:v>
                </c:pt>
                <c:pt idx="9">
                  <c:v>8.8538560154943546E-2</c:v>
                </c:pt>
                <c:pt idx="10">
                  <c:v>6.6030099626198213E-2</c:v>
                </c:pt>
                <c:pt idx="11">
                  <c:v>5.0730254317855605E-2</c:v>
                </c:pt>
                <c:pt idx="12">
                  <c:v>4.0298960841309794E-2</c:v>
                </c:pt>
                <c:pt idx="13">
                  <c:v>3.3183393409432327E-2</c:v>
                </c:pt>
                <c:pt idx="14">
                  <c:v>2.8340414850700713E-2</c:v>
                </c:pt>
                <c:pt idx="15">
                  <c:v>2.506167255291647E-2</c:v>
                </c:pt>
                <c:pt idx="16">
                  <c:v>2.2861621406358612E-2</c:v>
                </c:pt>
                <c:pt idx="17">
                  <c:v>2.1404789731126916E-2</c:v>
                </c:pt>
                <c:pt idx="18">
                  <c:v>2.0457907299377132E-2</c:v>
                </c:pt>
                <c:pt idx="19">
                  <c:v>1.9858016174441051E-2</c:v>
                </c:pt>
                <c:pt idx="20">
                  <c:v>1.9491000076009124E-2</c:v>
                </c:pt>
              </c:numCache>
            </c:numRef>
          </c:xVal>
          <c:yVal>
            <c:numRef>
              <c:f>Up_Opt!$E$13:$Y$13</c:f>
              <c:numCache>
                <c:formatCode>General</c:formatCode>
                <c:ptCount val="21"/>
                <c:pt idx="0">
                  <c:v>-0.5</c:v>
                </c:pt>
                <c:pt idx="1">
                  <c:v>-0.49942362986594746</c:v>
                </c:pt>
                <c:pt idx="2">
                  <c:v>-0.18394052133170763</c:v>
                </c:pt>
                <c:pt idx="3">
                  <c:v>-3.2343094100191094E-2</c:v>
                </c:pt>
                <c:pt idx="4">
                  <c:v>3.8489285293526354E-2</c:v>
                </c:pt>
                <c:pt idx="5">
                  <c:v>6.91904525770769E-2</c:v>
                </c:pt>
                <c:pt idx="6">
                  <c:v>8.0066074808849086E-2</c:v>
                </c:pt>
                <c:pt idx="7">
                  <c:v>8.1409698029381028E-2</c:v>
                </c:pt>
                <c:pt idx="8">
                  <c:v>7.8468022585191699E-2</c:v>
                </c:pt>
                <c:pt idx="9">
                  <c:v>7.3899074399171427E-2</c:v>
                </c:pt>
                <c:pt idx="10">
                  <c:v>6.9018058359715861E-2</c:v>
                </c:pt>
                <c:pt idx="11">
                  <c:v>6.4440820471059812E-2</c:v>
                </c:pt>
                <c:pt idx="12">
                  <c:v>6.0420942279236334E-2</c:v>
                </c:pt>
                <c:pt idx="13">
                  <c:v>5.7027951085768191E-2</c:v>
                </c:pt>
                <c:pt idx="14">
                  <c:v>5.4241819797880897E-2</c:v>
                </c:pt>
                <c:pt idx="15">
                  <c:v>5.2002833609141819E-2</c:v>
                </c:pt>
                <c:pt idx="16">
                  <c:v>5.0237476511024282E-2</c:v>
                </c:pt>
                <c:pt idx="17">
                  <c:v>4.8871401533181369E-2</c:v>
                </c:pt>
                <c:pt idx="18">
                  <c:v>4.7835472874903306E-2</c:v>
                </c:pt>
                <c:pt idx="19">
                  <c:v>4.7068142777103361E-2</c:v>
                </c:pt>
                <c:pt idx="20">
                  <c:v>4.6515951736419425E-2</c:v>
                </c:pt>
              </c:numCache>
            </c:numRef>
          </c:yVal>
        </c:ser>
        <c:axId val="141579776"/>
        <c:axId val="141581696"/>
      </c:scatterChart>
      <c:valAx>
        <c:axId val="141579776"/>
        <c:scaling>
          <c:orientation val="minMax"/>
          <c:max val="0.5"/>
          <c:min val="-0.5"/>
        </c:scaling>
        <c:axPos val="b"/>
        <c:majorGridlines/>
        <c:numFmt formatCode="General" sourceLinked="1"/>
        <c:tickLblPos val="nextTo"/>
        <c:crossAx val="141581696"/>
        <c:crosses val="autoZero"/>
        <c:crossBetween val="midCat"/>
      </c:valAx>
      <c:valAx>
        <c:axId val="141581696"/>
        <c:scaling>
          <c:orientation val="minMax"/>
          <c:max val="0.5"/>
          <c:min val="-0.5"/>
        </c:scaling>
        <c:axPos val="l"/>
        <c:majorGridlines/>
        <c:numFmt formatCode="General" sourceLinked="1"/>
        <c:tickLblPos val="nextTo"/>
        <c:crossAx val="141579776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>
        <c:manualLayout>
          <c:layoutTarget val="inner"/>
          <c:xMode val="edge"/>
          <c:yMode val="edge"/>
          <c:x val="6.3907654840494613E-2"/>
          <c:y val="3.8853962152368783E-2"/>
          <c:w val="0.9066502471539124"/>
          <c:h val="0.87347620917464053"/>
        </c:manualLayout>
      </c:layout>
      <c:scatterChart>
        <c:scatterStyle val="lineMarker"/>
        <c:ser>
          <c:idx val="0"/>
          <c:order val="0"/>
          <c:tx>
            <c:v>1,5 Up min</c:v>
          </c:tx>
          <c:spPr>
            <a:ln w="28575">
              <a:noFill/>
            </a:ln>
          </c:spPr>
          <c:trendline>
            <c:trendlineType val="poly"/>
            <c:order val="2"/>
            <c:dispEq val="1"/>
            <c:trendlineLbl>
              <c:layout/>
              <c:numFmt formatCode="General" sourceLinked="0"/>
            </c:trendlineLbl>
          </c:trendline>
          <c:xVal>
            <c:numRef>
              <c:f>Up_Opt!$AI$6:$AI$15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Up_Opt!$AP$6:$AP$15</c:f>
              <c:numCache>
                <c:formatCode>General</c:formatCode>
                <c:ptCount val="10"/>
                <c:pt idx="0">
                  <c:v>0.44</c:v>
                </c:pt>
                <c:pt idx="1">
                  <c:v>0.47</c:v>
                </c:pt>
                <c:pt idx="2">
                  <c:v>0.51</c:v>
                </c:pt>
                <c:pt idx="3">
                  <c:v>0.56000000000000005</c:v>
                </c:pt>
                <c:pt idx="4">
                  <c:v>0.62</c:v>
                </c:pt>
                <c:pt idx="5">
                  <c:v>0.69</c:v>
                </c:pt>
                <c:pt idx="6">
                  <c:v>0.77</c:v>
                </c:pt>
                <c:pt idx="7">
                  <c:v>0.85</c:v>
                </c:pt>
                <c:pt idx="8">
                  <c:v>0.93</c:v>
                </c:pt>
                <c:pt idx="9">
                  <c:v>1.03</c:v>
                </c:pt>
              </c:numCache>
            </c:numRef>
          </c:yVal>
        </c:ser>
        <c:ser>
          <c:idx val="1"/>
          <c:order val="1"/>
          <c:tx>
            <c:v>1,5 Up max</c:v>
          </c:tx>
          <c:spPr>
            <a:ln w="28575">
              <a:noFill/>
            </a:ln>
          </c:spPr>
          <c:trendline>
            <c:trendlineType val="poly"/>
            <c:order val="2"/>
            <c:dispEq val="1"/>
            <c:trendlineLbl>
              <c:layout/>
              <c:numFmt formatCode="General" sourceLinked="0"/>
            </c:trendlineLbl>
          </c:trendline>
          <c:xVal>
            <c:numRef>
              <c:f>Up_Opt!$AI$19:$AI$28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Up_Opt!$AP$19:$AP$28</c:f>
              <c:numCache>
                <c:formatCode>General</c:formatCode>
                <c:ptCount val="10"/>
                <c:pt idx="0">
                  <c:v>0.14000000000000001</c:v>
                </c:pt>
                <c:pt idx="1">
                  <c:v>0.15</c:v>
                </c:pt>
                <c:pt idx="2">
                  <c:v>0.17</c:v>
                </c:pt>
                <c:pt idx="3">
                  <c:v>0.2</c:v>
                </c:pt>
                <c:pt idx="4">
                  <c:v>0.24</c:v>
                </c:pt>
                <c:pt idx="5">
                  <c:v>0.28999999999999998</c:v>
                </c:pt>
                <c:pt idx="6">
                  <c:v>0.33</c:v>
                </c:pt>
                <c:pt idx="7">
                  <c:v>0.38</c:v>
                </c:pt>
                <c:pt idx="8">
                  <c:v>0.43</c:v>
                </c:pt>
                <c:pt idx="9">
                  <c:v>0.49</c:v>
                </c:pt>
              </c:numCache>
            </c:numRef>
          </c:yVal>
        </c:ser>
        <c:axId val="141647872"/>
        <c:axId val="141649408"/>
      </c:scatterChart>
      <c:valAx>
        <c:axId val="141647872"/>
        <c:scaling>
          <c:orientation val="minMax"/>
        </c:scaling>
        <c:axPos val="b"/>
        <c:majorGridlines/>
        <c:numFmt formatCode="General" sourceLinked="1"/>
        <c:tickLblPos val="nextTo"/>
        <c:crossAx val="141649408"/>
        <c:crosses val="autoZero"/>
        <c:crossBetween val="midCat"/>
      </c:valAx>
      <c:valAx>
        <c:axId val="141649408"/>
        <c:scaling>
          <c:orientation val="minMax"/>
        </c:scaling>
        <c:axPos val="l"/>
        <c:majorGridlines/>
        <c:numFmt formatCode="General" sourceLinked="1"/>
        <c:tickLblPos val="nextTo"/>
        <c:crossAx val="141647872"/>
        <c:crosses val="autoZero"/>
        <c:crossBetween val="midCat"/>
      </c:valAx>
    </c:plotArea>
    <c:legend>
      <c:legendPos val="r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82969147121450126"/>
          <c:y val="0.34222938668099556"/>
          <c:w val="0.12769056835932038"/>
          <c:h val="0.12656457312914618"/>
        </c:manualLayout>
      </c:layout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tx>
            <c:strRef>
              <c:f>StokesReibung!$AF$2</c:f>
              <c:strCache>
                <c:ptCount val="1"/>
                <c:pt idx="0">
                  <c:v>0,5</c:v>
                </c:pt>
              </c:strCache>
            </c:strRef>
          </c:tx>
          <c:xVal>
            <c:numRef>
              <c:f>StokesReibung!$AE$29:$AE$38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StokesReibung!$AF$29:$AF$38</c:f>
              <c:numCache>
                <c:formatCode>General</c:formatCode>
                <c:ptCount val="10"/>
                <c:pt idx="0">
                  <c:v>0.123</c:v>
                </c:pt>
                <c:pt idx="1">
                  <c:v>0.17100000000000001</c:v>
                </c:pt>
                <c:pt idx="2">
                  <c:v>0.20300000000000001</c:v>
                </c:pt>
                <c:pt idx="3">
                  <c:v>0.22600000000000001</c:v>
                </c:pt>
                <c:pt idx="4">
                  <c:v>0.246</c:v>
                </c:pt>
                <c:pt idx="5">
                  <c:v>0.26200000000000001</c:v>
                </c:pt>
                <c:pt idx="6">
                  <c:v>0.27500000000000002</c:v>
                </c:pt>
                <c:pt idx="7">
                  <c:v>0.28799999999999998</c:v>
                </c:pt>
                <c:pt idx="8">
                  <c:v>0.29799999999999999</c:v>
                </c:pt>
                <c:pt idx="9">
                  <c:v>0.308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StokesReibung!$AG$2</c:f>
              <c:strCache>
                <c:ptCount val="1"/>
                <c:pt idx="0">
                  <c:v>1</c:v>
                </c:pt>
              </c:strCache>
            </c:strRef>
          </c:tx>
          <c:xVal>
            <c:numRef>
              <c:f>StokesReibung!$AE$29:$AE$38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StokesReibung!$AG$29:$AG$38</c:f>
              <c:numCache>
                <c:formatCode>General</c:formatCode>
                <c:ptCount val="10"/>
                <c:pt idx="0">
                  <c:v>0.16800000000000001</c:v>
                </c:pt>
                <c:pt idx="1">
                  <c:v>0.246</c:v>
                </c:pt>
                <c:pt idx="2">
                  <c:v>0.3</c:v>
                </c:pt>
                <c:pt idx="3">
                  <c:v>0.34200000000000003</c:v>
                </c:pt>
                <c:pt idx="4">
                  <c:v>0.376</c:v>
                </c:pt>
                <c:pt idx="5">
                  <c:v>0.40500000000000003</c:v>
                </c:pt>
                <c:pt idx="6">
                  <c:v>0.43099999999999999</c:v>
                </c:pt>
                <c:pt idx="7">
                  <c:v>0.45300000000000001</c:v>
                </c:pt>
                <c:pt idx="8">
                  <c:v>0.47299999999999998</c:v>
                </c:pt>
                <c:pt idx="9">
                  <c:v>0.49099999999999999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StokesReibung!$AH$2</c:f>
              <c:strCache>
                <c:ptCount val="1"/>
                <c:pt idx="0">
                  <c:v>1,5</c:v>
                </c:pt>
              </c:strCache>
            </c:strRef>
          </c:tx>
          <c:xVal>
            <c:numRef>
              <c:f>StokesReibung!$AE$29:$AE$38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StokesReibung!$AH$29:$AH$38</c:f>
              <c:numCache>
                <c:formatCode>General</c:formatCode>
                <c:ptCount val="10"/>
                <c:pt idx="0">
                  <c:v>0.19700000000000001</c:v>
                </c:pt>
                <c:pt idx="1">
                  <c:v>0.29699999999999999</c:v>
                </c:pt>
                <c:pt idx="2">
                  <c:v>0.36899999999999999</c:v>
                </c:pt>
                <c:pt idx="3">
                  <c:v>0.42599999999999999</c:v>
                </c:pt>
                <c:pt idx="4">
                  <c:v>0.47299999999999998</c:v>
                </c:pt>
                <c:pt idx="5">
                  <c:v>0.51300000000000001</c:v>
                </c:pt>
                <c:pt idx="6">
                  <c:v>0.54800000000000004</c:v>
                </c:pt>
                <c:pt idx="7">
                  <c:v>0.57999999999999996</c:v>
                </c:pt>
                <c:pt idx="8">
                  <c:v>0.60799999999999998</c:v>
                </c:pt>
                <c:pt idx="9">
                  <c:v>0.63400000000000001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StokesReibung!$AI$2</c:f>
              <c:strCache>
                <c:ptCount val="1"/>
                <c:pt idx="0">
                  <c:v>2</c:v>
                </c:pt>
              </c:strCache>
            </c:strRef>
          </c:tx>
          <c:xVal>
            <c:numRef>
              <c:f>StokesReibung!$AE$29:$AE$38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StokesReibung!$AI$29:$AI$38</c:f>
              <c:numCache>
                <c:formatCode>General</c:formatCode>
                <c:ptCount val="10"/>
                <c:pt idx="0">
                  <c:v>0.218</c:v>
                </c:pt>
                <c:pt idx="1">
                  <c:v>0.33600000000000002</c:v>
                </c:pt>
                <c:pt idx="2">
                  <c:v>0.42299999999999999</c:v>
                </c:pt>
                <c:pt idx="3">
                  <c:v>0.49199999999999999</c:v>
                </c:pt>
                <c:pt idx="4">
                  <c:v>0.55000000000000004</c:v>
                </c:pt>
                <c:pt idx="5">
                  <c:v>0.60099999999999998</c:v>
                </c:pt>
                <c:pt idx="6">
                  <c:v>0.64500000000000002</c:v>
                </c:pt>
                <c:pt idx="7">
                  <c:v>0.68400000000000005</c:v>
                </c:pt>
                <c:pt idx="8">
                  <c:v>0.72</c:v>
                </c:pt>
                <c:pt idx="9">
                  <c:v>0.753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StokesReibung!$AJ$2</c:f>
              <c:strCache>
                <c:ptCount val="1"/>
                <c:pt idx="0">
                  <c:v>2,5</c:v>
                </c:pt>
              </c:strCache>
            </c:strRef>
          </c:tx>
          <c:xVal>
            <c:numRef>
              <c:f>StokesReibung!$AE$29:$AE$38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StokesReibung!$AJ$29:$AJ$38</c:f>
              <c:numCache>
                <c:formatCode>General</c:formatCode>
                <c:ptCount val="10"/>
                <c:pt idx="0">
                  <c:v>0.23400000000000001</c:v>
                </c:pt>
                <c:pt idx="1">
                  <c:v>0.36799999999999999</c:v>
                </c:pt>
                <c:pt idx="2">
                  <c:v>0.46700000000000003</c:v>
                </c:pt>
                <c:pt idx="3">
                  <c:v>0.54800000000000004</c:v>
                </c:pt>
                <c:pt idx="4">
                  <c:v>0.61599999999999999</c:v>
                </c:pt>
                <c:pt idx="5">
                  <c:v>0.67500000000000004</c:v>
                </c:pt>
                <c:pt idx="6">
                  <c:v>0.72699999999999998</c:v>
                </c:pt>
                <c:pt idx="7">
                  <c:v>0.77400000000000002</c:v>
                </c:pt>
                <c:pt idx="8">
                  <c:v>0.81599999999999995</c:v>
                </c:pt>
                <c:pt idx="9">
                  <c:v>0.85599999999999998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StokesReibung!$AK$2</c:f>
              <c:strCache>
                <c:ptCount val="1"/>
                <c:pt idx="0">
                  <c:v>3</c:v>
                </c:pt>
              </c:strCache>
            </c:strRef>
          </c:tx>
          <c:xVal>
            <c:numRef>
              <c:f>StokesReibung!$AE$29:$AE$38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StokesReibung!$AK$29:$AK$38</c:f>
              <c:numCache>
                <c:formatCode>General</c:formatCode>
                <c:ptCount val="10"/>
                <c:pt idx="0">
                  <c:v>0.247</c:v>
                </c:pt>
                <c:pt idx="1">
                  <c:v>0.39400000000000002</c:v>
                </c:pt>
                <c:pt idx="2">
                  <c:v>0.505</c:v>
                </c:pt>
                <c:pt idx="3">
                  <c:v>0.59499999999999997</c:v>
                </c:pt>
                <c:pt idx="4">
                  <c:v>0.67200000000000004</c:v>
                </c:pt>
                <c:pt idx="5">
                  <c:v>0.73899999999999999</c:v>
                </c:pt>
                <c:pt idx="6">
                  <c:v>0.79900000000000004</c:v>
                </c:pt>
                <c:pt idx="7">
                  <c:v>0.85199999999999998</c:v>
                </c:pt>
                <c:pt idx="8">
                  <c:v>0.90100000000000002</c:v>
                </c:pt>
                <c:pt idx="9">
                  <c:v>0.94699999999999995</c:v>
                </c:pt>
              </c:numCache>
            </c:numRef>
          </c:yVal>
          <c:smooth val="1"/>
        </c:ser>
        <c:axId val="6236800"/>
        <c:axId val="6246784"/>
      </c:scatterChart>
      <c:valAx>
        <c:axId val="6236800"/>
        <c:scaling>
          <c:orientation val="minMax"/>
        </c:scaling>
        <c:axPos val="b"/>
        <c:majorGridlines/>
        <c:numFmt formatCode="General" sourceLinked="1"/>
        <c:tickLblPos val="nextTo"/>
        <c:crossAx val="6246784"/>
        <c:crosses val="autoZero"/>
        <c:crossBetween val="midCat"/>
      </c:valAx>
      <c:valAx>
        <c:axId val="6246784"/>
        <c:scaling>
          <c:orientation val="minMax"/>
        </c:scaling>
        <c:axPos val="l"/>
        <c:majorGridlines/>
        <c:numFmt formatCode="General" sourceLinked="1"/>
        <c:tickLblPos val="nextTo"/>
        <c:crossAx val="6236800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tx>
            <c:strRef>
              <c:f>StokesReibung!$AF$2</c:f>
              <c:strCache>
                <c:ptCount val="1"/>
                <c:pt idx="0">
                  <c:v>0,5</c:v>
                </c:pt>
              </c:strCache>
            </c:strRef>
          </c:tx>
          <c:xVal>
            <c:numRef>
              <c:f>StokesReibung!$AE$42:$AE$51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StokesReibung!$AF$42:$AF$51</c:f>
              <c:numCache>
                <c:formatCode>General</c:formatCode>
                <c:ptCount val="10"/>
                <c:pt idx="0">
                  <c:v>0.08</c:v>
                </c:pt>
                <c:pt idx="1">
                  <c:v>0.105</c:v>
                </c:pt>
                <c:pt idx="2">
                  <c:v>0.121</c:v>
                </c:pt>
                <c:pt idx="3">
                  <c:v>0.13300000000000001</c:v>
                </c:pt>
                <c:pt idx="4">
                  <c:v>0.14199999999999999</c:v>
                </c:pt>
                <c:pt idx="5">
                  <c:v>0.15</c:v>
                </c:pt>
                <c:pt idx="6">
                  <c:v>0.156</c:v>
                </c:pt>
                <c:pt idx="7">
                  <c:v>0.16200000000000001</c:v>
                </c:pt>
                <c:pt idx="8">
                  <c:v>0.16700000000000001</c:v>
                </c:pt>
                <c:pt idx="9">
                  <c:v>0.17100000000000001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StokesReibung!$AG$2</c:f>
              <c:strCache>
                <c:ptCount val="1"/>
                <c:pt idx="0">
                  <c:v>1</c:v>
                </c:pt>
              </c:strCache>
            </c:strRef>
          </c:tx>
          <c:xVal>
            <c:numRef>
              <c:f>StokesReibung!$AE$42:$AE$51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StokesReibung!$AG$42:$AG$51</c:f>
              <c:numCache>
                <c:formatCode>General</c:formatCode>
                <c:ptCount val="10"/>
                <c:pt idx="0">
                  <c:v>0.11600000000000001</c:v>
                </c:pt>
                <c:pt idx="1">
                  <c:v>0.16</c:v>
                </c:pt>
                <c:pt idx="2">
                  <c:v>0.189</c:v>
                </c:pt>
                <c:pt idx="3">
                  <c:v>0.21</c:v>
                </c:pt>
                <c:pt idx="4">
                  <c:v>0.22800000000000001</c:v>
                </c:pt>
                <c:pt idx="5">
                  <c:v>0.24199999999999999</c:v>
                </c:pt>
                <c:pt idx="6">
                  <c:v>0.254</c:v>
                </c:pt>
                <c:pt idx="7">
                  <c:v>0.26500000000000001</c:v>
                </c:pt>
                <c:pt idx="8">
                  <c:v>0.27500000000000002</c:v>
                </c:pt>
                <c:pt idx="9">
                  <c:v>0.28399999999999997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StokesReibung!$AH$2</c:f>
              <c:strCache>
                <c:ptCount val="1"/>
                <c:pt idx="0">
                  <c:v>1,5</c:v>
                </c:pt>
              </c:strCache>
            </c:strRef>
          </c:tx>
          <c:xVal>
            <c:numRef>
              <c:f>StokesReibung!$AE$42:$AE$51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StokesReibung!$AH$42:$AH$51</c:f>
              <c:numCache>
                <c:formatCode>General</c:formatCode>
                <c:ptCount val="10"/>
                <c:pt idx="0">
                  <c:v>0.14099999999999999</c:v>
                </c:pt>
                <c:pt idx="1">
                  <c:v>0.2</c:v>
                </c:pt>
                <c:pt idx="2">
                  <c:v>0.24</c:v>
                </c:pt>
                <c:pt idx="3">
                  <c:v>0.27</c:v>
                </c:pt>
                <c:pt idx="4">
                  <c:v>0.29499999999999998</c:v>
                </c:pt>
                <c:pt idx="5">
                  <c:v>0.315</c:v>
                </c:pt>
                <c:pt idx="6">
                  <c:v>0.33300000000000002</c:v>
                </c:pt>
                <c:pt idx="7">
                  <c:v>0.34899999999999998</c:v>
                </c:pt>
                <c:pt idx="8">
                  <c:v>0.36299999999999999</c:v>
                </c:pt>
                <c:pt idx="9">
                  <c:v>0.376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StokesReibung!$AI$2</c:f>
              <c:strCache>
                <c:ptCount val="1"/>
                <c:pt idx="0">
                  <c:v>2</c:v>
                </c:pt>
              </c:strCache>
            </c:strRef>
          </c:tx>
          <c:xVal>
            <c:numRef>
              <c:f>StokesReibung!$AE$42:$AE$51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StokesReibung!$AI$42:$AI$51</c:f>
              <c:numCache>
                <c:formatCode>General</c:formatCode>
                <c:ptCount val="10"/>
                <c:pt idx="0">
                  <c:v>0.16</c:v>
                </c:pt>
                <c:pt idx="1">
                  <c:v>0.23200000000000001</c:v>
                </c:pt>
                <c:pt idx="2">
                  <c:v>0.28199999999999997</c:v>
                </c:pt>
                <c:pt idx="3">
                  <c:v>0.32</c:v>
                </c:pt>
                <c:pt idx="4">
                  <c:v>0.35099999999999998</c:v>
                </c:pt>
                <c:pt idx="5">
                  <c:v>0.378</c:v>
                </c:pt>
                <c:pt idx="6">
                  <c:v>0.4</c:v>
                </c:pt>
                <c:pt idx="7">
                  <c:v>0.42099999999999999</c:v>
                </c:pt>
                <c:pt idx="8">
                  <c:v>0.439</c:v>
                </c:pt>
                <c:pt idx="9">
                  <c:v>0.45500000000000002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StokesReibung!$AJ$2</c:f>
              <c:strCache>
                <c:ptCount val="1"/>
                <c:pt idx="0">
                  <c:v>2,5</c:v>
                </c:pt>
              </c:strCache>
            </c:strRef>
          </c:tx>
          <c:xVal>
            <c:numRef>
              <c:f>StokesReibung!$AE$42:$AE$51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StokesReibung!$AJ$42:$AJ$51</c:f>
              <c:numCache>
                <c:formatCode>General</c:formatCode>
                <c:ptCount val="10"/>
                <c:pt idx="0">
                  <c:v>0.17499999999999999</c:v>
                </c:pt>
                <c:pt idx="1">
                  <c:v>0.25900000000000001</c:v>
                </c:pt>
                <c:pt idx="2">
                  <c:v>0.317</c:v>
                </c:pt>
                <c:pt idx="3">
                  <c:v>0.36299999999999999</c:v>
                </c:pt>
                <c:pt idx="4">
                  <c:v>0.4</c:v>
                </c:pt>
                <c:pt idx="5">
                  <c:v>0.432</c:v>
                </c:pt>
                <c:pt idx="6">
                  <c:v>0.46</c:v>
                </c:pt>
                <c:pt idx="7">
                  <c:v>0.48399999999999999</c:v>
                </c:pt>
                <c:pt idx="8">
                  <c:v>0.50600000000000001</c:v>
                </c:pt>
                <c:pt idx="9">
                  <c:v>0.52600000000000002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StokesReibung!$AK$2</c:f>
              <c:strCache>
                <c:ptCount val="1"/>
                <c:pt idx="0">
                  <c:v>3</c:v>
                </c:pt>
              </c:strCache>
            </c:strRef>
          </c:tx>
          <c:xVal>
            <c:numRef>
              <c:f>StokesReibung!$AE$42:$AE$51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StokesReibung!$AK$42:$AK$51</c:f>
              <c:numCache>
                <c:formatCode>General</c:formatCode>
                <c:ptCount val="10"/>
                <c:pt idx="0">
                  <c:v>0.188</c:v>
                </c:pt>
                <c:pt idx="1">
                  <c:v>0.28199999999999997</c:v>
                </c:pt>
                <c:pt idx="2">
                  <c:v>0.34899999999999998</c:v>
                </c:pt>
                <c:pt idx="3">
                  <c:v>0.40100000000000002</c:v>
                </c:pt>
                <c:pt idx="4">
                  <c:v>0.44400000000000001</c:v>
                </c:pt>
                <c:pt idx="5">
                  <c:v>0.48</c:v>
                </c:pt>
                <c:pt idx="6">
                  <c:v>0.51300000000000001</c:v>
                </c:pt>
                <c:pt idx="7">
                  <c:v>0.54100000000000004</c:v>
                </c:pt>
                <c:pt idx="8">
                  <c:v>0.56699999999999995</c:v>
                </c:pt>
                <c:pt idx="9">
                  <c:v>0.59</c:v>
                </c:pt>
              </c:numCache>
            </c:numRef>
          </c:yVal>
          <c:smooth val="1"/>
        </c:ser>
        <c:axId val="6262144"/>
        <c:axId val="6276224"/>
      </c:scatterChart>
      <c:valAx>
        <c:axId val="6262144"/>
        <c:scaling>
          <c:orientation val="minMax"/>
        </c:scaling>
        <c:axPos val="b"/>
        <c:majorGridlines/>
        <c:numFmt formatCode="General" sourceLinked="1"/>
        <c:tickLblPos val="nextTo"/>
        <c:crossAx val="6276224"/>
        <c:crosses val="autoZero"/>
        <c:crossBetween val="midCat"/>
      </c:valAx>
      <c:valAx>
        <c:axId val="6276224"/>
        <c:scaling>
          <c:orientation val="minMax"/>
        </c:scaling>
        <c:axPos val="l"/>
        <c:majorGridlines/>
        <c:numFmt formatCode="General" sourceLinked="1"/>
        <c:tickLblPos val="nextTo"/>
        <c:crossAx val="62621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plotArea>
      <c:layout/>
      <c:scatterChart>
        <c:scatterStyle val="smoothMarker"/>
        <c:ser>
          <c:idx val="0"/>
          <c:order val="0"/>
          <c:tx>
            <c:strRef>
              <c:f>StokesReibung!$AF$2</c:f>
              <c:strCache>
                <c:ptCount val="1"/>
                <c:pt idx="0">
                  <c:v>0,5</c:v>
                </c:pt>
              </c:strCache>
            </c:strRef>
          </c:tx>
          <c:xVal>
            <c:numRef>
              <c:f>StokesReibung!$AE$16:$AE$25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StokesReibung!$AF$16:$AF$25</c:f>
              <c:numCache>
                <c:formatCode>General</c:formatCode>
                <c:ptCount val="10"/>
                <c:pt idx="0">
                  <c:v>0.16</c:v>
                </c:pt>
                <c:pt idx="1">
                  <c:v>0.23200000000000001</c:v>
                </c:pt>
                <c:pt idx="2">
                  <c:v>0.28199999999999997</c:v>
                </c:pt>
                <c:pt idx="3">
                  <c:v>0.32</c:v>
                </c:pt>
                <c:pt idx="4">
                  <c:v>0.35099999999999998</c:v>
                </c:pt>
                <c:pt idx="5">
                  <c:v>0.377</c:v>
                </c:pt>
                <c:pt idx="6">
                  <c:v>0.4</c:v>
                </c:pt>
                <c:pt idx="7">
                  <c:v>0.42</c:v>
                </c:pt>
                <c:pt idx="8">
                  <c:v>0.439</c:v>
                </c:pt>
                <c:pt idx="9">
                  <c:v>0.45500000000000002</c:v>
                </c:pt>
              </c:numCache>
            </c:numRef>
          </c:yVal>
          <c:smooth val="1"/>
        </c:ser>
        <c:ser>
          <c:idx val="1"/>
          <c:order val="1"/>
          <c:tx>
            <c:strRef>
              <c:f>StokesReibung!$AG$2</c:f>
              <c:strCache>
                <c:ptCount val="1"/>
                <c:pt idx="0">
                  <c:v>1</c:v>
                </c:pt>
              </c:strCache>
            </c:strRef>
          </c:tx>
          <c:xVal>
            <c:numRef>
              <c:f>StokesReibung!$AE$16:$AE$25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StokesReibung!$AG$16:$AG$25</c:f>
              <c:numCache>
                <c:formatCode>General</c:formatCode>
                <c:ptCount val="10"/>
                <c:pt idx="0">
                  <c:v>0.20899999999999999</c:v>
                </c:pt>
                <c:pt idx="1">
                  <c:v>0.32</c:v>
                </c:pt>
                <c:pt idx="2">
                  <c:v>0.4</c:v>
                </c:pt>
                <c:pt idx="3">
                  <c:v>0.46400000000000002</c:v>
                </c:pt>
                <c:pt idx="4">
                  <c:v>0.51800000000000002</c:v>
                </c:pt>
                <c:pt idx="5">
                  <c:v>0.56299999999999994</c:v>
                </c:pt>
                <c:pt idx="6">
                  <c:v>0.60399999999999998</c:v>
                </c:pt>
                <c:pt idx="7">
                  <c:v>0.64</c:v>
                </c:pt>
                <c:pt idx="8">
                  <c:v>0.67200000000000004</c:v>
                </c:pt>
                <c:pt idx="9">
                  <c:v>0.70199999999999996</c:v>
                </c:pt>
              </c:numCache>
            </c:numRef>
          </c:yVal>
          <c:smooth val="1"/>
        </c:ser>
        <c:ser>
          <c:idx val="2"/>
          <c:order val="2"/>
          <c:tx>
            <c:strRef>
              <c:f>StokesReibung!$AH$2</c:f>
              <c:strCache>
                <c:ptCount val="1"/>
                <c:pt idx="0">
                  <c:v>1,5</c:v>
                </c:pt>
              </c:strCache>
            </c:strRef>
          </c:tx>
          <c:trendline>
            <c:trendlineType val="power"/>
            <c:dispEq val="1"/>
            <c:trendlineLbl>
              <c:layout>
                <c:manualLayout>
                  <c:x val="-0.34032239720035606"/>
                  <c:y val="-9.857557574028078E-2"/>
                </c:manualLayout>
              </c:layout>
              <c:numFmt formatCode="General" sourceLinked="0"/>
              <c:spPr>
                <a:solidFill>
                  <a:srgbClr val="FFFF99"/>
                </a:solidFill>
              </c:spPr>
            </c:trendlineLbl>
          </c:trendline>
          <c:xVal>
            <c:numRef>
              <c:f>StokesReibung!$AE$16:$AE$25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StokesReibung!$AH$16:$AH$25</c:f>
              <c:numCache>
                <c:formatCode>General</c:formatCode>
                <c:ptCount val="10"/>
                <c:pt idx="0">
                  <c:v>0.23899999999999999</c:v>
                </c:pt>
                <c:pt idx="1">
                  <c:v>0.377</c:v>
                </c:pt>
                <c:pt idx="2">
                  <c:v>0.48</c:v>
                </c:pt>
                <c:pt idx="3">
                  <c:v>0.56399999999999995</c:v>
                </c:pt>
                <c:pt idx="4">
                  <c:v>0.63500000000000001</c:v>
                </c:pt>
                <c:pt idx="5">
                  <c:v>0.69699999999999995</c:v>
                </c:pt>
                <c:pt idx="6">
                  <c:v>0.751</c:v>
                </c:pt>
                <c:pt idx="7">
                  <c:v>0.80100000000000005</c:v>
                </c:pt>
                <c:pt idx="8">
                  <c:v>0.84499999999999997</c:v>
                </c:pt>
                <c:pt idx="9">
                  <c:v>0.88600000000000001</c:v>
                </c:pt>
              </c:numCache>
            </c:numRef>
          </c:yVal>
          <c:smooth val="1"/>
        </c:ser>
        <c:ser>
          <c:idx val="3"/>
          <c:order val="3"/>
          <c:tx>
            <c:strRef>
              <c:f>StokesReibung!$AI$2</c:f>
              <c:strCache>
                <c:ptCount val="1"/>
                <c:pt idx="0">
                  <c:v>2</c:v>
                </c:pt>
              </c:strCache>
            </c:strRef>
          </c:tx>
          <c:xVal>
            <c:numRef>
              <c:f>StokesReibung!$AE$16:$AE$25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StokesReibung!$AI$16:$AI$25</c:f>
              <c:numCache>
                <c:formatCode>General</c:formatCode>
                <c:ptCount val="10"/>
                <c:pt idx="0">
                  <c:v>0.26</c:v>
                </c:pt>
                <c:pt idx="1">
                  <c:v>0.41799999999999998</c:v>
                </c:pt>
                <c:pt idx="2">
                  <c:v>0.54</c:v>
                </c:pt>
                <c:pt idx="3">
                  <c:v>0.64</c:v>
                </c:pt>
                <c:pt idx="4">
                  <c:v>0.72599999999999998</c:v>
                </c:pt>
                <c:pt idx="5">
                  <c:v>0.80100000000000005</c:v>
                </c:pt>
                <c:pt idx="6">
                  <c:v>0.86799999999999999</c:v>
                </c:pt>
                <c:pt idx="7">
                  <c:v>0.92900000000000005</c:v>
                </c:pt>
                <c:pt idx="8">
                  <c:v>0.98399999999999999</c:v>
                </c:pt>
                <c:pt idx="9">
                  <c:v>1.036</c:v>
                </c:pt>
              </c:numCache>
            </c:numRef>
          </c:yVal>
          <c:smooth val="1"/>
        </c:ser>
        <c:ser>
          <c:idx val="4"/>
          <c:order val="4"/>
          <c:tx>
            <c:strRef>
              <c:f>StokesReibung!$AJ$2</c:f>
              <c:strCache>
                <c:ptCount val="1"/>
                <c:pt idx="0">
                  <c:v>2,5</c:v>
                </c:pt>
              </c:strCache>
            </c:strRef>
          </c:tx>
          <c:xVal>
            <c:numRef>
              <c:f>StokesReibung!$AE$16:$AE$25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StokesReibung!$AJ$16:$AJ$25</c:f>
              <c:numCache>
                <c:formatCode>General</c:formatCode>
                <c:ptCount val="10"/>
                <c:pt idx="0">
                  <c:v>0.27600000000000002</c:v>
                </c:pt>
                <c:pt idx="1">
                  <c:v>0.45100000000000001</c:v>
                </c:pt>
                <c:pt idx="2">
                  <c:v>0.58799999999999997</c:v>
                </c:pt>
                <c:pt idx="3">
                  <c:v>0.70199999999999996</c:v>
                </c:pt>
                <c:pt idx="4">
                  <c:v>0.8</c:v>
                </c:pt>
                <c:pt idx="5">
                  <c:v>0.88700000000000001</c:v>
                </c:pt>
                <c:pt idx="6">
                  <c:v>0.96499999999999997</c:v>
                </c:pt>
                <c:pt idx="7">
                  <c:v>1.036</c:v>
                </c:pt>
                <c:pt idx="8">
                  <c:v>1.101</c:v>
                </c:pt>
                <c:pt idx="9">
                  <c:v>1.1619999999999999</c:v>
                </c:pt>
              </c:numCache>
            </c:numRef>
          </c:yVal>
          <c:smooth val="1"/>
        </c:ser>
        <c:ser>
          <c:idx val="5"/>
          <c:order val="5"/>
          <c:tx>
            <c:strRef>
              <c:f>StokesReibung!$AK$2</c:f>
              <c:strCache>
                <c:ptCount val="1"/>
                <c:pt idx="0">
                  <c:v>3</c:v>
                </c:pt>
              </c:strCache>
            </c:strRef>
          </c:tx>
          <c:xVal>
            <c:numRef>
              <c:f>StokesReibung!$AE$16:$AE$25</c:f>
              <c:numCache>
                <c:formatCode>General</c:formatCode>
                <c:ptCount val="10"/>
                <c:pt idx="0">
                  <c:v>0.5</c:v>
                </c:pt>
                <c:pt idx="1">
                  <c:v>1</c:v>
                </c:pt>
                <c:pt idx="2">
                  <c:v>1.5</c:v>
                </c:pt>
                <c:pt idx="3">
                  <c:v>2</c:v>
                </c:pt>
                <c:pt idx="4">
                  <c:v>2.5</c:v>
                </c:pt>
                <c:pt idx="5">
                  <c:v>3</c:v>
                </c:pt>
                <c:pt idx="6">
                  <c:v>3.5</c:v>
                </c:pt>
                <c:pt idx="7">
                  <c:v>4</c:v>
                </c:pt>
                <c:pt idx="8">
                  <c:v>4.5</c:v>
                </c:pt>
                <c:pt idx="9">
                  <c:v>5</c:v>
                </c:pt>
              </c:numCache>
            </c:numRef>
          </c:xVal>
          <c:yVal>
            <c:numRef>
              <c:f>StokesReibung!$AK$16:$AK$25</c:f>
              <c:numCache>
                <c:formatCode>General</c:formatCode>
                <c:ptCount val="10"/>
                <c:pt idx="0">
                  <c:v>0.28799999999999998</c:v>
                </c:pt>
                <c:pt idx="1">
                  <c:v>0.47799999999999998</c:v>
                </c:pt>
                <c:pt idx="2">
                  <c:v>0.628</c:v>
                </c:pt>
                <c:pt idx="3">
                  <c:v>0.754</c:v>
                </c:pt>
                <c:pt idx="4">
                  <c:v>0.86299999999999999</c:v>
                </c:pt>
                <c:pt idx="5">
                  <c:v>0.96099999999999997</c:v>
                </c:pt>
                <c:pt idx="6">
                  <c:v>1.0489999999999999</c:v>
                </c:pt>
                <c:pt idx="7">
                  <c:v>1.129</c:v>
                </c:pt>
                <c:pt idx="8">
                  <c:v>1.202</c:v>
                </c:pt>
                <c:pt idx="9">
                  <c:v>1.2709999999999999</c:v>
                </c:pt>
              </c:numCache>
            </c:numRef>
          </c:yVal>
          <c:smooth val="1"/>
        </c:ser>
        <c:axId val="8201344"/>
        <c:axId val="8202880"/>
      </c:scatterChart>
      <c:valAx>
        <c:axId val="8201344"/>
        <c:scaling>
          <c:orientation val="minMax"/>
        </c:scaling>
        <c:axPos val="b"/>
        <c:majorGridlines/>
        <c:numFmt formatCode="General" sourceLinked="1"/>
        <c:tickLblPos val="nextTo"/>
        <c:crossAx val="8202880"/>
        <c:crosses val="autoZero"/>
        <c:crossBetween val="midCat"/>
      </c:valAx>
      <c:valAx>
        <c:axId val="8202880"/>
        <c:scaling>
          <c:orientation val="minMax"/>
        </c:scaling>
        <c:axPos val="l"/>
        <c:majorGridlines/>
        <c:numFmt formatCode="General" sourceLinked="1"/>
        <c:tickLblPos val="nextTo"/>
        <c:crossAx val="8201344"/>
        <c:crosses val="autoZero"/>
        <c:crossBetween val="midCat"/>
      </c:valAx>
    </c:plotArea>
    <c:legend>
      <c:legendPos val="r"/>
    </c:legend>
    <c:plotVisOnly val="1"/>
  </c:chart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chart>
    <c:autoTitleDeleted val="1"/>
    <c:plotArea>
      <c:layout/>
      <c:scatterChart>
        <c:scatterStyle val="lineMarker"/>
        <c:ser>
          <c:idx val="1"/>
          <c:order val="0"/>
          <c:tx>
            <c:v>Downhil-00l</c:v>
          </c:tx>
          <c:spPr>
            <a:ln w="6350">
              <a:solidFill>
                <a:srgbClr val="C00000"/>
              </a:solidFill>
            </a:ln>
          </c:spPr>
          <c:marker>
            <c:symbol val="square"/>
            <c:size val="7"/>
          </c:marker>
          <c:xVal>
            <c:numRef>
              <c:f>Down_00!$E$11:$Y$11</c:f>
              <c:numCache>
                <c:formatCode>General</c:formatCode>
                <c:ptCount val="21"/>
                <c:pt idx="0">
                  <c:v>2</c:v>
                </c:pt>
                <c:pt idx="1">
                  <c:v>1.9923647634027901</c:v>
                </c:pt>
                <c:pt idx="2">
                  <c:v>1.602298803534346</c:v>
                </c:pt>
                <c:pt idx="3">
                  <c:v>1.2816675303343805</c:v>
                </c:pt>
                <c:pt idx="4">
                  <c:v>1.0183708458664735</c:v>
                </c:pt>
                <c:pt idx="5">
                  <c:v>0.80258484995714952</c:v>
                </c:pt>
                <c:pt idx="6">
                  <c:v>0.62628914933993185</c:v>
                </c:pt>
                <c:pt idx="7">
                  <c:v>0.48289959389931525</c:v>
                </c:pt>
                <c:pt idx="8">
                  <c:v>0.36698103317817976</c:v>
                </c:pt>
                <c:pt idx="9">
                  <c:v>0.27402119127810587</c:v>
                </c:pt>
                <c:pt idx="10">
                  <c:v>0.20025149280680377</c:v>
                </c:pt>
                <c:pt idx="11">
                  <c:v>0.14250414376254739</c:v>
                </c:pt>
                <c:pt idx="12">
                  <c:v>9.8097333716401058E-2</c:v>
                </c:pt>
                <c:pt idx="13">
                  <c:v>6.4742329306463953E-2</c:v>
                </c:pt>
                <c:pt idx="14">
                  <c:v>4.046765163723931E-2</c:v>
                </c:pt>
                <c:pt idx="15">
                  <c:v>2.3556599356901131E-2</c:v>
                </c:pt>
                <c:pt idx="16">
                  <c:v>1.2495188200406293E-2</c:v>
                </c:pt>
                <c:pt idx="17">
                  <c:v>5.9281976957625826E-3</c:v>
                </c:pt>
                <c:pt idx="18">
                  <c:v>2.6215094698500696E-3</c:v>
                </c:pt>
                <c:pt idx="19">
                  <c:v>1.4293813584174142E-3</c:v>
                </c:pt>
                <c:pt idx="20">
                  <c:v>1.2661355339385061E-3</c:v>
                </c:pt>
              </c:numCache>
            </c:numRef>
          </c:xVal>
          <c:yVal>
            <c:numRef>
              <c:f>Down_00!$E$12:$Y$12</c:f>
              <c:numCache>
                <c:formatCode>General</c:formatCode>
                <c:ptCount val="21"/>
                <c:pt idx="0">
                  <c:v>1.9999999999999998</c:v>
                </c:pt>
                <c:pt idx="1">
                  <c:v>1.9958225478645135</c:v>
                </c:pt>
                <c:pt idx="2">
                  <c:v>1.768037176971021</c:v>
                </c:pt>
                <c:pt idx="3">
                  <c:v>1.5557098925989221</c:v>
                </c:pt>
                <c:pt idx="4">
                  <c:v>1.359149110996833</c:v>
                </c:pt>
                <c:pt idx="5">
                  <c:v>1.1782623621496484</c:v>
                </c:pt>
                <c:pt idx="6">
                  <c:v>1.0127025629166546</c:v>
                </c:pt>
                <c:pt idx="7">
                  <c:v>0.86196984925969589</c:v>
                </c:pt>
                <c:pt idx="8">
                  <c:v>0.72548222615308489</c:v>
                </c:pt>
                <c:pt idx="9">
                  <c:v>0.60262429330298684</c:v>
                </c:pt>
                <c:pt idx="10">
                  <c:v>0.49278054300773766</c:v>
                </c:pt>
                <c:pt idx="11">
                  <c:v>0.39535780683620514</c:v>
                </c:pt>
                <c:pt idx="12">
                  <c:v>0.30980008431785278</c:v>
                </c:pt>
                <c:pt idx="13">
                  <c:v>0.23559803911826238</c:v>
                </c:pt>
                <c:pt idx="14">
                  <c:v>0.17229477167708329</c:v>
                </c:pt>
                <c:pt idx="15">
                  <c:v>0.11948898243986505</c:v>
                </c:pt>
                <c:pt idx="16">
                  <c:v>7.6836253754969164E-2</c:v>
                </c:pt>
                <c:pt idx="17">
                  <c:v>4.40488170934763E-2</c:v>
                </c:pt>
                <c:pt idx="18">
                  <c:v>2.0893651392843271E-2</c:v>
                </c:pt>
                <c:pt idx="19">
                  <c:v>7.1872922986853105E-3</c:v>
                </c:pt>
                <c:pt idx="20">
                  <c:v>2.7745159115954987E-3</c:v>
                </c:pt>
              </c:numCache>
            </c:numRef>
          </c:yVal>
        </c:ser>
        <c:ser>
          <c:idx val="0"/>
          <c:order val="1"/>
          <c:tx>
            <c:v>Downhill-05</c:v>
          </c:tx>
          <c:xVal>
            <c:numRef>
              <c:f>Down_05!$E$11:$Y$11</c:f>
              <c:numCache>
                <c:formatCode>General</c:formatCode>
                <c:ptCount val="21"/>
                <c:pt idx="0">
                  <c:v>1.9320000000000002</c:v>
                </c:pt>
                <c:pt idx="1">
                  <c:v>1.9135099631979111</c:v>
                </c:pt>
                <c:pt idx="2">
                  <c:v>0.88702951091336035</c:v>
                </c:pt>
                <c:pt idx="3">
                  <c:v>0.30519118194471972</c:v>
                </c:pt>
                <c:pt idx="4">
                  <c:v>-2.4041046155066192E-2</c:v>
                </c:pt>
                <c:pt idx="5">
                  <c:v>-0.20936707960856449</c:v>
                </c:pt>
                <c:pt idx="6">
                  <c:v>-0.31274644171429733</c:v>
                </c:pt>
                <c:pt idx="7">
                  <c:v>-0.36964483730706466</c:v>
                </c:pt>
                <c:pt idx="8">
                  <c:v>-0.4003865128932298</c:v>
                </c:pt>
                <c:pt idx="9">
                  <c:v>-0.41659244175457832</c:v>
                </c:pt>
                <c:pt idx="10">
                  <c:v>-0.4248659115682023</c:v>
                </c:pt>
                <c:pt idx="11">
                  <c:v>-0.42891774223718393</c:v>
                </c:pt>
                <c:pt idx="12">
                  <c:v>-0.43079786643265994</c:v>
                </c:pt>
                <c:pt idx="13">
                  <c:v>-0.43161073642358572</c:v>
                </c:pt>
                <c:pt idx="14">
                  <c:v>-0.43193056524020879</c:v>
                </c:pt>
                <c:pt idx="15">
                  <c:v>-0.4320411629901928</c:v>
                </c:pt>
                <c:pt idx="16">
                  <c:v>-0.43207298535638516</c:v>
                </c:pt>
                <c:pt idx="17">
                  <c:v>-0.43207992550342222</c:v>
                </c:pt>
                <c:pt idx="18">
                  <c:v>-0.43208088586198912</c:v>
                </c:pt>
                <c:pt idx="19">
                  <c:v>-0.43208094235440964</c:v>
                </c:pt>
                <c:pt idx="20">
                  <c:v>-0.43208094276676778</c:v>
                </c:pt>
              </c:numCache>
            </c:numRef>
          </c:xVal>
          <c:yVal>
            <c:numRef>
              <c:f>Down_05!$E$12:$Y$12</c:f>
              <c:numCache>
                <c:formatCode>General</c:formatCode>
                <c:ptCount val="21"/>
                <c:pt idx="0">
                  <c:v>0.51800000000000002</c:v>
                </c:pt>
                <c:pt idx="1">
                  <c:v>0.51457301062173555</c:v>
                </c:pt>
                <c:pt idx="2">
                  <c:v>0.28831778649307771</c:v>
                </c:pt>
                <c:pt idx="3">
                  <c:v>0.11466635138477155</c:v>
                </c:pt>
                <c:pt idx="4">
                  <c:v>-1.0426439302752E-2</c:v>
                </c:pt>
                <c:pt idx="5">
                  <c:v>-9.6805408614937027E-2</c:v>
                </c:pt>
                <c:pt idx="6">
                  <c:v>-0.15452062940981059</c:v>
                </c:pt>
                <c:pt idx="7">
                  <c:v>-0.19197658842445042</c:v>
                </c:pt>
                <c:pt idx="8">
                  <c:v>-0.21559775072073928</c:v>
                </c:pt>
                <c:pt idx="9">
                  <c:v>-0.23004528080997022</c:v>
                </c:pt>
                <c:pt idx="10">
                  <c:v>-0.23858090859511649</c:v>
                </c:pt>
                <c:pt idx="11">
                  <c:v>-0.24342117873379332</c:v>
                </c:pt>
                <c:pt idx="12">
                  <c:v>-0.24603152646392834</c:v>
                </c:pt>
                <c:pt idx="13">
                  <c:v>-0.24735283116837747</c:v>
                </c:pt>
                <c:pt idx="14">
                  <c:v>-0.24796867650335241</c:v>
                </c:pt>
                <c:pt idx="15">
                  <c:v>-0.24822546979603755</c:v>
                </c:pt>
                <c:pt idx="16">
                  <c:v>-0.24831696831994587</c:v>
                </c:pt>
                <c:pt idx="17">
                  <c:v>-0.24834271131471775</c:v>
                </c:pt>
                <c:pt idx="18">
                  <c:v>-0.24834762191516235</c:v>
                </c:pt>
                <c:pt idx="19">
                  <c:v>-0.24834806985988267</c:v>
                </c:pt>
                <c:pt idx="20">
                  <c:v>-0.24834807652367374</c:v>
                </c:pt>
              </c:numCache>
            </c:numRef>
          </c:yVal>
        </c:ser>
        <c:ser>
          <c:idx val="2"/>
          <c:order val="2"/>
          <c:tx>
            <c:v>Downhill-10</c:v>
          </c:tx>
          <c:xVal>
            <c:numRef>
              <c:f>Down_10!$E$11:$Y$11</c:f>
              <c:numCache>
                <c:formatCode>General</c:formatCode>
                <c:ptCount val="21"/>
                <c:pt idx="0">
                  <c:v>1.9999999999999998</c:v>
                </c:pt>
                <c:pt idx="1">
                  <c:v>1.992987676589713</c:v>
                </c:pt>
                <c:pt idx="2">
                  <c:v>1.5711203240975846</c:v>
                </c:pt>
                <c:pt idx="3">
                  <c:v>1.2042334898107341</c:v>
                </c:pt>
                <c:pt idx="4">
                  <c:v>0.88699441601297369</c:v>
                </c:pt>
                <c:pt idx="5">
                  <c:v>0.61446009225674314</c:v>
                </c:pt>
                <c:pt idx="6">
                  <c:v>0.38205422638760744</c:v>
                </c:pt>
                <c:pt idx="7">
                  <c:v>0.18554423688297961</c:v>
                </c:pt>
                <c:pt idx="8">
                  <c:v>2.1018269137383472E-2</c:v>
                </c:pt>
                <c:pt idx="9">
                  <c:v>-0.11513776100281525</c:v>
                </c:pt>
                <c:pt idx="10">
                  <c:v>-0.22626309222269825</c:v>
                </c:pt>
                <c:pt idx="11">
                  <c:v>-0.31544500568193667</c:v>
                </c:pt>
                <c:pt idx="12">
                  <c:v>-0.3855416684052595</c:v>
                </c:pt>
                <c:pt idx="13">
                  <c:v>-0.43920492161037972</c:v>
                </c:pt>
                <c:pt idx="14">
                  <c:v>-0.4789029986426252</c:v>
                </c:pt>
                <c:pt idx="15">
                  <c:v>-0.50694314896055559</c:v>
                </c:pt>
                <c:pt idx="16">
                  <c:v>-0.5254941294910962</c:v>
                </c:pt>
                <c:pt idx="17">
                  <c:v>-0.53660849393787968</c:v>
                </c:pt>
                <c:pt idx="18">
                  <c:v>-0.54224453870139255</c:v>
                </c:pt>
                <c:pt idx="19">
                  <c:v>-0.54428755359106429</c:v>
                </c:pt>
                <c:pt idx="20">
                  <c:v>-0.54456902892253822</c:v>
                </c:pt>
              </c:numCache>
            </c:numRef>
          </c:xVal>
          <c:yVal>
            <c:numRef>
              <c:f>Down_10!$E$12:$Y$12</c:f>
              <c:numCache>
                <c:formatCode>General</c:formatCode>
                <c:ptCount val="21"/>
                <c:pt idx="0">
                  <c:v>1.9999999999999998</c:v>
                </c:pt>
                <c:pt idx="1">
                  <c:v>1.994584564651434</c:v>
                </c:pt>
                <c:pt idx="2">
                  <c:v>1.6519197157588623</c:v>
                </c:pt>
                <c:pt idx="3">
                  <c:v>1.3257758830169371</c:v>
                </c:pt>
                <c:pt idx="4">
                  <c:v>1.0203718497708651</c:v>
                </c:pt>
                <c:pt idx="5">
                  <c:v>0.73779795403404402</c:v>
                </c:pt>
                <c:pt idx="6">
                  <c:v>0.47879007518529049</c:v>
                </c:pt>
                <c:pt idx="7">
                  <c:v>0.2432416293190014</c:v>
                </c:pt>
                <c:pt idx="8">
                  <c:v>3.0542537563093664E-2</c:v>
                </c:pt>
                <c:pt idx="9">
                  <c:v>-0.16019672130887042</c:v>
                </c:pt>
                <c:pt idx="10">
                  <c:v>-0.32999769724847727</c:v>
                </c:pt>
                <c:pt idx="11">
                  <c:v>-0.4799177966325292</c:v>
                </c:pt>
                <c:pt idx="12">
                  <c:v>-0.61098839437743546</c:v>
                </c:pt>
                <c:pt idx="13">
                  <c:v>-0.7241758550724362</c:v>
                </c:pt>
                <c:pt idx="14">
                  <c:v>-0.82035781370462946</c:v>
                </c:pt>
                <c:pt idx="15">
                  <c:v>-0.90030958631158997</c:v>
                </c:pt>
                <c:pt idx="16">
                  <c:v>-0.96469733144360603</c:v>
                </c:pt>
                <c:pt idx="17">
                  <c:v>-1.0140759011663265</c:v>
                </c:pt>
                <c:pt idx="18">
                  <c:v>-1.0488906173874515</c:v>
                </c:pt>
                <c:pt idx="19">
                  <c:v>-1.0694847490040065</c:v>
                </c:pt>
                <c:pt idx="20">
                  <c:v>-1.0761329749517738</c:v>
                </c:pt>
              </c:numCache>
            </c:numRef>
          </c:yVal>
        </c:ser>
        <c:axId val="8253440"/>
        <c:axId val="8254976"/>
      </c:scatterChart>
      <c:valAx>
        <c:axId val="8253440"/>
        <c:scaling>
          <c:orientation val="minMax"/>
          <c:max val="2.5"/>
          <c:min val="-2.5"/>
        </c:scaling>
        <c:axPos val="b"/>
        <c:majorGridlines/>
        <c:numFmt formatCode="General" sourceLinked="1"/>
        <c:tickLblPos val="nextTo"/>
        <c:txPr>
          <a:bodyPr/>
          <a:lstStyle/>
          <a:p>
            <a:pPr>
              <a:defRPr sz="1000">
                <a:solidFill>
                  <a:sysClr val="windowText" lastClr="000000"/>
                </a:solidFill>
              </a:defRPr>
            </a:pPr>
            <a:endParaRPr lang="de-DE"/>
          </a:p>
        </c:txPr>
        <c:crossAx val="8254976"/>
        <c:crosses val="autoZero"/>
        <c:crossBetween val="midCat"/>
      </c:valAx>
      <c:valAx>
        <c:axId val="8254976"/>
        <c:scaling>
          <c:orientation val="minMax"/>
          <c:max val="2.5"/>
          <c:min val="-2.5"/>
        </c:scaling>
        <c:axPos val="l"/>
        <c:majorGridlines/>
        <c:numFmt formatCode="General" sourceLinked="1"/>
        <c:tickLblPos val="nextTo"/>
        <c:txPr>
          <a:bodyPr/>
          <a:lstStyle/>
          <a:p>
            <a:pPr>
              <a:defRPr sz="1000">
                <a:solidFill>
                  <a:sysClr val="windowText" lastClr="000000"/>
                </a:solidFill>
              </a:defRPr>
            </a:pPr>
            <a:endParaRPr lang="de-DE"/>
          </a:p>
        </c:txPr>
        <c:crossAx val="8253440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de-DE"/>
  <c:style val="4"/>
  <c:chart>
    <c:autoTitleDeleted val="1"/>
    <c:plotArea>
      <c:layout>
        <c:manualLayout>
          <c:layoutTarget val="inner"/>
          <c:xMode val="edge"/>
          <c:yMode val="edge"/>
          <c:x val="4.2645919260092445E-2"/>
          <c:y val="2.3239179184056193E-2"/>
          <c:w val="0.90175415573053352"/>
          <c:h val="0.95352164163189246"/>
        </c:manualLayout>
      </c:layout>
      <c:scatterChart>
        <c:scatterStyle val="lineMarker"/>
        <c:ser>
          <c:idx val="1"/>
          <c:order val="0"/>
          <c:tx>
            <c:v>Downhill</c:v>
          </c:tx>
          <c:spPr>
            <a:ln w="19050">
              <a:solidFill>
                <a:schemeClr val="accent2">
                  <a:lumMod val="75000"/>
                </a:schemeClr>
              </a:solidFill>
            </a:ln>
          </c:spPr>
          <c:marker>
            <c:spPr>
              <a:solidFill>
                <a:schemeClr val="accent2">
                  <a:lumMod val="75000"/>
                </a:schemeClr>
              </a:solidFill>
            </c:spPr>
          </c:marker>
          <c:xVal>
            <c:numRef>
              <c:f>Down_00!$E$11:$Y$11</c:f>
              <c:numCache>
                <c:formatCode>General</c:formatCode>
                <c:ptCount val="21"/>
                <c:pt idx="0">
                  <c:v>2</c:v>
                </c:pt>
                <c:pt idx="1">
                  <c:v>1.9923647634027901</c:v>
                </c:pt>
                <c:pt idx="2">
                  <c:v>1.602298803534346</c:v>
                </c:pt>
                <c:pt idx="3">
                  <c:v>1.2816675303343805</c:v>
                </c:pt>
                <c:pt idx="4">
                  <c:v>1.0183708458664735</c:v>
                </c:pt>
                <c:pt idx="5">
                  <c:v>0.80258484995714952</c:v>
                </c:pt>
                <c:pt idx="6">
                  <c:v>0.62628914933993185</c:v>
                </c:pt>
                <c:pt idx="7">
                  <c:v>0.48289959389931525</c:v>
                </c:pt>
                <c:pt idx="8">
                  <c:v>0.36698103317817976</c:v>
                </c:pt>
                <c:pt idx="9">
                  <c:v>0.27402119127810587</c:v>
                </c:pt>
                <c:pt idx="10">
                  <c:v>0.20025149280680377</c:v>
                </c:pt>
                <c:pt idx="11">
                  <c:v>0.14250414376254739</c:v>
                </c:pt>
                <c:pt idx="12">
                  <c:v>9.8097333716401058E-2</c:v>
                </c:pt>
                <c:pt idx="13">
                  <c:v>6.4742329306463953E-2</c:v>
                </c:pt>
                <c:pt idx="14">
                  <c:v>4.046765163723931E-2</c:v>
                </c:pt>
                <c:pt idx="15">
                  <c:v>2.3556599356901131E-2</c:v>
                </c:pt>
                <c:pt idx="16">
                  <c:v>1.2495188200406293E-2</c:v>
                </c:pt>
                <c:pt idx="17">
                  <c:v>5.9281976957625826E-3</c:v>
                </c:pt>
                <c:pt idx="18">
                  <c:v>2.6215094698500696E-3</c:v>
                </c:pt>
                <c:pt idx="19">
                  <c:v>1.4293813584174142E-3</c:v>
                </c:pt>
                <c:pt idx="20">
                  <c:v>1.2661355339385061E-3</c:v>
                </c:pt>
              </c:numCache>
            </c:numRef>
          </c:xVal>
          <c:yVal>
            <c:numRef>
              <c:f>Down_00!$E$12:$Y$12</c:f>
              <c:numCache>
                <c:formatCode>General</c:formatCode>
                <c:ptCount val="21"/>
                <c:pt idx="0">
                  <c:v>1.9999999999999998</c:v>
                </c:pt>
                <c:pt idx="1">
                  <c:v>1.9958225478645135</c:v>
                </c:pt>
                <c:pt idx="2">
                  <c:v>1.768037176971021</c:v>
                </c:pt>
                <c:pt idx="3">
                  <c:v>1.5557098925989221</c:v>
                </c:pt>
                <c:pt idx="4">
                  <c:v>1.359149110996833</c:v>
                </c:pt>
                <c:pt idx="5">
                  <c:v>1.1782623621496484</c:v>
                </c:pt>
                <c:pt idx="6">
                  <c:v>1.0127025629166546</c:v>
                </c:pt>
                <c:pt idx="7">
                  <c:v>0.86196984925969589</c:v>
                </c:pt>
                <c:pt idx="8">
                  <c:v>0.72548222615308489</c:v>
                </c:pt>
                <c:pt idx="9">
                  <c:v>0.60262429330298684</c:v>
                </c:pt>
                <c:pt idx="10">
                  <c:v>0.49278054300773766</c:v>
                </c:pt>
                <c:pt idx="11">
                  <c:v>0.39535780683620514</c:v>
                </c:pt>
                <c:pt idx="12">
                  <c:v>0.30980008431785278</c:v>
                </c:pt>
                <c:pt idx="13">
                  <c:v>0.23559803911826238</c:v>
                </c:pt>
                <c:pt idx="14">
                  <c:v>0.17229477167708329</c:v>
                </c:pt>
                <c:pt idx="15">
                  <c:v>0.11948898243986505</c:v>
                </c:pt>
                <c:pt idx="16">
                  <c:v>7.6836253754969164E-2</c:v>
                </c:pt>
                <c:pt idx="17">
                  <c:v>4.40488170934763E-2</c:v>
                </c:pt>
                <c:pt idx="18">
                  <c:v>2.0893651392843271E-2</c:v>
                </c:pt>
                <c:pt idx="19">
                  <c:v>7.1872922986853105E-3</c:v>
                </c:pt>
                <c:pt idx="20">
                  <c:v>2.7745159115954987E-3</c:v>
                </c:pt>
              </c:numCache>
            </c:numRef>
          </c:yVal>
        </c:ser>
        <c:axId val="36841344"/>
        <c:axId val="36851712"/>
      </c:scatterChart>
      <c:valAx>
        <c:axId val="36841344"/>
        <c:scaling>
          <c:orientation val="minMax"/>
          <c:max val="0.5"/>
          <c:min val="-0.5"/>
        </c:scaling>
        <c:axPos val="b"/>
        <c:majorGridlines/>
        <c:numFmt formatCode="General" sourceLinked="1"/>
        <c:tickLblPos val="nextTo"/>
        <c:crossAx val="36851712"/>
        <c:crosses val="autoZero"/>
        <c:crossBetween val="midCat"/>
      </c:valAx>
      <c:valAx>
        <c:axId val="36851712"/>
        <c:scaling>
          <c:orientation val="minMax"/>
          <c:max val="0.5"/>
          <c:min val="-0.5"/>
        </c:scaling>
        <c:axPos val="l"/>
        <c:majorGridlines/>
        <c:numFmt formatCode="General" sourceLinked="1"/>
        <c:tickLblPos val="nextTo"/>
        <c:crossAx val="36841344"/>
        <c:crosses val="autoZero"/>
        <c:crossBetween val="midCat"/>
      </c:valAx>
    </c:plotArea>
    <c:plotVisOnly val="1"/>
  </c:chart>
  <c:spPr>
    <a:ln>
      <a:noFill/>
    </a:ln>
  </c:sp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image" Target="../media/image1.jpeg"/><Relationship Id="rId1" Type="http://schemas.openxmlformats.org/officeDocument/2006/relationships/chart" Target="../charts/chart30.xml"/><Relationship Id="rId6" Type="http://schemas.openxmlformats.org/officeDocument/2006/relationships/chart" Target="../charts/chart34.xml"/><Relationship Id="rId5" Type="http://schemas.openxmlformats.org/officeDocument/2006/relationships/chart" Target="../charts/chart33.xml"/><Relationship Id="rId4" Type="http://schemas.openxmlformats.org/officeDocument/2006/relationships/chart" Target="../charts/chart32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4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428624</xdr:colOff>
      <xdr:row>24</xdr:row>
      <xdr:rowOff>104774</xdr:rowOff>
    </xdr:from>
    <xdr:to>
      <xdr:col>19</xdr:col>
      <xdr:colOff>57149</xdr:colOff>
      <xdr:row>56</xdr:row>
      <xdr:rowOff>76200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12</xdr:row>
      <xdr:rowOff>9524</xdr:rowOff>
    </xdr:from>
    <xdr:to>
      <xdr:col>15</xdr:col>
      <xdr:colOff>9525</xdr:colOff>
      <xdr:row>29</xdr:row>
      <xdr:rowOff>190499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18</xdr:row>
      <xdr:rowOff>9525</xdr:rowOff>
    </xdr:from>
    <xdr:to>
      <xdr:col>14</xdr:col>
      <xdr:colOff>371475</xdr:colOff>
      <xdr:row>33</xdr:row>
      <xdr:rowOff>180975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28575</xdr:colOff>
      <xdr:row>18</xdr:row>
      <xdr:rowOff>9524</xdr:rowOff>
    </xdr:from>
    <xdr:to>
      <xdr:col>28</xdr:col>
      <xdr:colOff>28575</xdr:colOff>
      <xdr:row>33</xdr:row>
      <xdr:rowOff>171449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16</xdr:row>
      <xdr:rowOff>1</xdr:rowOff>
    </xdr:from>
    <xdr:to>
      <xdr:col>13</xdr:col>
      <xdr:colOff>361950</xdr:colOff>
      <xdr:row>41</xdr:row>
      <xdr:rowOff>1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1230</xdr:colOff>
      <xdr:row>2</xdr:row>
      <xdr:rowOff>85726</xdr:rowOff>
    </xdr:from>
    <xdr:to>
      <xdr:col>18</xdr:col>
      <xdr:colOff>373379</xdr:colOff>
      <xdr:row>15</xdr:row>
      <xdr:rowOff>76200</xdr:rowOff>
    </xdr:to>
    <xdr:pic>
      <xdr:nvPicPr>
        <xdr:cNvPr id="27" name="Grafik 26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6230" y="466726"/>
          <a:ext cx="1515149" cy="2466974"/>
        </a:xfrm>
        <a:prstGeom prst="rect">
          <a:avLst/>
        </a:prstGeom>
      </xdr:spPr>
    </xdr:pic>
    <xdr:clientData/>
  </xdr:twoCellAnchor>
  <xdr:twoCellAnchor>
    <xdr:from>
      <xdr:col>20</xdr:col>
      <xdr:colOff>9526</xdr:colOff>
      <xdr:row>41</xdr:row>
      <xdr:rowOff>1</xdr:rowOff>
    </xdr:from>
    <xdr:to>
      <xdr:col>30</xdr:col>
      <xdr:colOff>371475</xdr:colOff>
      <xdr:row>56</xdr:row>
      <xdr:rowOff>9525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0</xdr:colOff>
      <xdr:row>41</xdr:row>
      <xdr:rowOff>0</xdr:rowOff>
    </xdr:from>
    <xdr:to>
      <xdr:col>41</xdr:col>
      <xdr:colOff>371475</xdr:colOff>
      <xdr:row>56</xdr:row>
      <xdr:rowOff>9525</xdr:rowOff>
    </xdr:to>
    <xdr:graphicFrame macro="">
      <xdr:nvGraphicFramePr>
        <xdr:cNvPr id="6" name="Diagramm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0</xdr:colOff>
      <xdr:row>58</xdr:row>
      <xdr:rowOff>171450</xdr:rowOff>
    </xdr:from>
    <xdr:to>
      <xdr:col>41</xdr:col>
      <xdr:colOff>361949</xdr:colOff>
      <xdr:row>73</xdr:row>
      <xdr:rowOff>180974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31</xdr:col>
      <xdr:colOff>0</xdr:colOff>
      <xdr:row>73</xdr:row>
      <xdr:rowOff>180975</xdr:rowOff>
    </xdr:from>
    <xdr:to>
      <xdr:col>41</xdr:col>
      <xdr:colOff>361949</xdr:colOff>
      <xdr:row>88</xdr:row>
      <xdr:rowOff>190499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24</xdr:row>
      <xdr:rowOff>28575</xdr:rowOff>
    </xdr:from>
    <xdr:to>
      <xdr:col>25</xdr:col>
      <xdr:colOff>9525</xdr:colOff>
      <xdr:row>46</xdr:row>
      <xdr:rowOff>38100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25</xdr:col>
      <xdr:colOff>9525</xdr:colOff>
      <xdr:row>22</xdr:row>
      <xdr:rowOff>161925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219075</xdr:colOff>
      <xdr:row>3</xdr:row>
      <xdr:rowOff>104775</xdr:rowOff>
    </xdr:from>
    <xdr:to>
      <xdr:col>11</xdr:col>
      <xdr:colOff>198075</xdr:colOff>
      <xdr:row>9</xdr:row>
      <xdr:rowOff>41775</xdr:rowOff>
    </xdr:to>
    <xdr:sp macro="" textlink="">
      <xdr:nvSpPr>
        <xdr:cNvPr id="4" name="Pfeil nach rechts 3"/>
        <xdr:cNvSpPr/>
      </xdr:nvSpPr>
      <xdr:spPr>
        <a:xfrm rot="5400000">
          <a:off x="3669075" y="1036275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10</xdr:col>
      <xdr:colOff>238125</xdr:colOff>
      <xdr:row>27</xdr:row>
      <xdr:rowOff>57150</xdr:rowOff>
    </xdr:from>
    <xdr:to>
      <xdr:col>11</xdr:col>
      <xdr:colOff>217125</xdr:colOff>
      <xdr:row>32</xdr:row>
      <xdr:rowOff>184650</xdr:rowOff>
    </xdr:to>
    <xdr:sp macro="" textlink="">
      <xdr:nvSpPr>
        <xdr:cNvPr id="5" name="Pfeil nach rechts 4"/>
        <xdr:cNvSpPr/>
      </xdr:nvSpPr>
      <xdr:spPr>
        <a:xfrm rot="16200000">
          <a:off x="3688125" y="5560650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18</xdr:row>
      <xdr:rowOff>19050</xdr:rowOff>
    </xdr:from>
    <xdr:to>
      <xdr:col>16</xdr:col>
      <xdr:colOff>342900</xdr:colOff>
      <xdr:row>49</xdr:row>
      <xdr:rowOff>180976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198075</xdr:colOff>
      <xdr:row>22</xdr:row>
      <xdr:rowOff>40050</xdr:rowOff>
    </xdr:from>
    <xdr:to>
      <xdr:col>3</xdr:col>
      <xdr:colOff>177075</xdr:colOff>
      <xdr:row>27</xdr:row>
      <xdr:rowOff>167550</xdr:rowOff>
    </xdr:to>
    <xdr:sp macro="" textlink="">
      <xdr:nvSpPr>
        <xdr:cNvPr id="3" name="Pfeil nach rechts 2"/>
        <xdr:cNvSpPr/>
      </xdr:nvSpPr>
      <xdr:spPr>
        <a:xfrm rot="5400000">
          <a:off x="600075" y="4400550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16</xdr:col>
      <xdr:colOff>266700</xdr:colOff>
      <xdr:row>18</xdr:row>
      <xdr:rowOff>0</xdr:rowOff>
    </xdr:from>
    <xdr:to>
      <xdr:col>33</xdr:col>
      <xdr:colOff>200025</xdr:colOff>
      <xdr:row>49</xdr:row>
      <xdr:rowOff>161926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121875</xdr:colOff>
      <xdr:row>22</xdr:row>
      <xdr:rowOff>21000</xdr:rowOff>
    </xdr:from>
    <xdr:to>
      <xdr:col>22</xdr:col>
      <xdr:colOff>100875</xdr:colOff>
      <xdr:row>27</xdr:row>
      <xdr:rowOff>148500</xdr:rowOff>
    </xdr:to>
    <xdr:sp macro="" textlink="">
      <xdr:nvSpPr>
        <xdr:cNvPr id="5" name="Pfeil nach rechts 4"/>
        <xdr:cNvSpPr/>
      </xdr:nvSpPr>
      <xdr:spPr>
        <a:xfrm rot="5400000">
          <a:off x="7762875" y="4381500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24</xdr:col>
      <xdr:colOff>109539</xdr:colOff>
      <xdr:row>32</xdr:row>
      <xdr:rowOff>57151</xdr:rowOff>
    </xdr:from>
    <xdr:to>
      <xdr:col>25</xdr:col>
      <xdr:colOff>340539</xdr:colOff>
      <xdr:row>35</xdr:row>
      <xdr:rowOff>97651</xdr:rowOff>
    </xdr:to>
    <xdr:sp macro="" textlink="">
      <xdr:nvSpPr>
        <xdr:cNvPr id="9" name="Ellipse 8"/>
        <xdr:cNvSpPr/>
      </xdr:nvSpPr>
      <xdr:spPr>
        <a:xfrm>
          <a:off x="9253539" y="6153151"/>
          <a:ext cx="612000" cy="612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33</xdr:col>
      <xdr:colOff>380998</xdr:colOff>
      <xdr:row>30</xdr:row>
      <xdr:rowOff>1</xdr:rowOff>
    </xdr:from>
    <xdr:to>
      <xdr:col>49</xdr:col>
      <xdr:colOff>361949</xdr:colOff>
      <xdr:row>51</xdr:row>
      <xdr:rowOff>1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18</xdr:row>
      <xdr:rowOff>76200</xdr:rowOff>
    </xdr:from>
    <xdr:to>
      <xdr:col>16</xdr:col>
      <xdr:colOff>371475</xdr:colOff>
      <xdr:row>50</xdr:row>
      <xdr:rowOff>47626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217125</xdr:colOff>
      <xdr:row>40</xdr:row>
      <xdr:rowOff>116250</xdr:rowOff>
    </xdr:from>
    <xdr:to>
      <xdr:col>3</xdr:col>
      <xdr:colOff>196125</xdr:colOff>
      <xdr:row>46</xdr:row>
      <xdr:rowOff>53250</xdr:rowOff>
    </xdr:to>
    <xdr:sp macro="" textlink="">
      <xdr:nvSpPr>
        <xdr:cNvPr id="3" name="Pfeil nach rechts 2"/>
        <xdr:cNvSpPr/>
      </xdr:nvSpPr>
      <xdr:spPr>
        <a:xfrm rot="16200000">
          <a:off x="619125" y="7905750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16</xdr:col>
      <xdr:colOff>333375</xdr:colOff>
      <xdr:row>18</xdr:row>
      <xdr:rowOff>76200</xdr:rowOff>
    </xdr:from>
    <xdr:to>
      <xdr:col>33</xdr:col>
      <xdr:colOff>257175</xdr:colOff>
      <xdr:row>50</xdr:row>
      <xdr:rowOff>47626</xdr:rowOff>
    </xdr:to>
    <xdr:graphicFrame macro="">
      <xdr:nvGraphicFramePr>
        <xdr:cNvPr id="4" name="Diagram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20</xdr:col>
      <xdr:colOff>331425</xdr:colOff>
      <xdr:row>40</xdr:row>
      <xdr:rowOff>106725</xdr:rowOff>
    </xdr:from>
    <xdr:to>
      <xdr:col>21</xdr:col>
      <xdr:colOff>310425</xdr:colOff>
      <xdr:row>46</xdr:row>
      <xdr:rowOff>43725</xdr:rowOff>
    </xdr:to>
    <xdr:sp macro="" textlink="">
      <xdr:nvSpPr>
        <xdr:cNvPr id="5" name="Pfeil nach rechts 4"/>
        <xdr:cNvSpPr/>
      </xdr:nvSpPr>
      <xdr:spPr>
        <a:xfrm rot="16200000">
          <a:off x="7591425" y="8086725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24</xdr:col>
      <xdr:colOff>134942</xdr:colOff>
      <xdr:row>32</xdr:row>
      <xdr:rowOff>136525</xdr:rowOff>
    </xdr:from>
    <xdr:to>
      <xdr:col>25</xdr:col>
      <xdr:colOff>365942</xdr:colOff>
      <xdr:row>35</xdr:row>
      <xdr:rowOff>177025</xdr:rowOff>
    </xdr:to>
    <xdr:sp macro="" textlink="">
      <xdr:nvSpPr>
        <xdr:cNvPr id="8" name="Ellipse 7"/>
        <xdr:cNvSpPr/>
      </xdr:nvSpPr>
      <xdr:spPr>
        <a:xfrm>
          <a:off x="9278942" y="6232525"/>
          <a:ext cx="612000" cy="612000"/>
        </a:xfrm>
        <a:prstGeom prst="ellipse">
          <a:avLst/>
        </a:prstGeom>
        <a:noFill/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34</xdr:col>
      <xdr:colOff>1</xdr:colOff>
      <xdr:row>30</xdr:row>
      <xdr:rowOff>0</xdr:rowOff>
    </xdr:from>
    <xdr:to>
      <xdr:col>50</xdr:col>
      <xdr:colOff>0</xdr:colOff>
      <xdr:row>50</xdr:row>
      <xdr:rowOff>180975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19</xdr:row>
      <xdr:rowOff>142875</xdr:rowOff>
    </xdr:from>
    <xdr:to>
      <xdr:col>21</xdr:col>
      <xdr:colOff>219075</xdr:colOff>
      <xdr:row>51</xdr:row>
      <xdr:rowOff>114301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</xdr:colOff>
      <xdr:row>18</xdr:row>
      <xdr:rowOff>38100</xdr:rowOff>
    </xdr:from>
    <xdr:to>
      <xdr:col>21</xdr:col>
      <xdr:colOff>209550</xdr:colOff>
      <xdr:row>50</xdr:row>
      <xdr:rowOff>9526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38</xdr:col>
      <xdr:colOff>314325</xdr:colOff>
      <xdr:row>0</xdr:row>
      <xdr:rowOff>0</xdr:rowOff>
    </xdr:from>
    <xdr:to>
      <xdr:col>48</xdr:col>
      <xdr:colOff>409575</xdr:colOff>
      <xdr:row>11</xdr:row>
      <xdr:rowOff>171451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38</xdr:col>
      <xdr:colOff>276225</xdr:colOff>
      <xdr:row>26</xdr:row>
      <xdr:rowOff>9525</xdr:rowOff>
    </xdr:from>
    <xdr:to>
      <xdr:col>48</xdr:col>
      <xdr:colOff>371475</xdr:colOff>
      <xdr:row>37</xdr:row>
      <xdr:rowOff>180976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38</xdr:col>
      <xdr:colOff>285750</xdr:colOff>
      <xdr:row>39</xdr:row>
      <xdr:rowOff>9525</xdr:rowOff>
    </xdr:from>
    <xdr:to>
      <xdr:col>48</xdr:col>
      <xdr:colOff>381000</xdr:colOff>
      <xdr:row>50</xdr:row>
      <xdr:rowOff>180976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38</xdr:col>
      <xdr:colOff>295275</xdr:colOff>
      <xdr:row>13</xdr:row>
      <xdr:rowOff>0</xdr:rowOff>
    </xdr:from>
    <xdr:to>
      <xdr:col>48</xdr:col>
      <xdr:colOff>390525</xdr:colOff>
      <xdr:row>24</xdr:row>
      <xdr:rowOff>171451</xdr:rowOff>
    </xdr:to>
    <xdr:graphicFrame macro="">
      <xdr:nvGraphicFramePr>
        <xdr:cNvPr id="11" name="Diagramm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76200</xdr:rowOff>
    </xdr:from>
    <xdr:to>
      <xdr:col>16</xdr:col>
      <xdr:colOff>371475</xdr:colOff>
      <xdr:row>49</xdr:row>
      <xdr:rowOff>47626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198075</xdr:colOff>
      <xdr:row>21</xdr:row>
      <xdr:rowOff>116250</xdr:rowOff>
    </xdr:from>
    <xdr:to>
      <xdr:col>3</xdr:col>
      <xdr:colOff>177075</xdr:colOff>
      <xdr:row>27</xdr:row>
      <xdr:rowOff>53250</xdr:rowOff>
    </xdr:to>
    <xdr:sp macro="" textlink="">
      <xdr:nvSpPr>
        <xdr:cNvPr id="4" name="Pfeil nach rechts 3"/>
        <xdr:cNvSpPr/>
      </xdr:nvSpPr>
      <xdr:spPr>
        <a:xfrm rot="5400000">
          <a:off x="600075" y="4476750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17</xdr:col>
      <xdr:colOff>66675</xdr:colOff>
      <xdr:row>17</xdr:row>
      <xdr:rowOff>76200</xdr:rowOff>
    </xdr:from>
    <xdr:to>
      <xdr:col>33</xdr:col>
      <xdr:colOff>371475</xdr:colOff>
      <xdr:row>49</xdr:row>
      <xdr:rowOff>47626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64725</xdr:colOff>
      <xdr:row>21</xdr:row>
      <xdr:rowOff>78150</xdr:rowOff>
    </xdr:from>
    <xdr:to>
      <xdr:col>22</xdr:col>
      <xdr:colOff>43725</xdr:colOff>
      <xdr:row>27</xdr:row>
      <xdr:rowOff>15150</xdr:rowOff>
    </xdr:to>
    <xdr:sp macro="" textlink="">
      <xdr:nvSpPr>
        <xdr:cNvPr id="6" name="Pfeil nach rechts 5"/>
        <xdr:cNvSpPr/>
      </xdr:nvSpPr>
      <xdr:spPr>
        <a:xfrm rot="5400000">
          <a:off x="7705725" y="4438650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17</xdr:col>
      <xdr:colOff>349798</xdr:colOff>
      <xdr:row>18</xdr:row>
      <xdr:rowOff>38100</xdr:rowOff>
    </xdr:from>
    <xdr:to>
      <xdr:col>33</xdr:col>
      <xdr:colOff>13798</xdr:colOff>
      <xdr:row>48</xdr:row>
      <xdr:rowOff>83100</xdr:rowOff>
    </xdr:to>
    <xdr:sp macro="" textlink="">
      <xdr:nvSpPr>
        <xdr:cNvPr id="7" name="Ellipse 6"/>
        <xdr:cNvSpPr/>
      </xdr:nvSpPr>
      <xdr:spPr>
        <a:xfrm>
          <a:off x="6826798" y="3467100"/>
          <a:ext cx="5760000" cy="5760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41</xdr:col>
      <xdr:colOff>227732</xdr:colOff>
      <xdr:row>3</xdr:row>
      <xdr:rowOff>12989</xdr:rowOff>
    </xdr:from>
    <xdr:to>
      <xdr:col>54</xdr:col>
      <xdr:colOff>704849</xdr:colOff>
      <xdr:row>30</xdr:row>
      <xdr:rowOff>150668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19050</xdr:rowOff>
    </xdr:from>
    <xdr:to>
      <xdr:col>16</xdr:col>
      <xdr:colOff>361950</xdr:colOff>
      <xdr:row>48</xdr:row>
      <xdr:rowOff>180976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198075</xdr:colOff>
      <xdr:row>21</xdr:row>
      <xdr:rowOff>40050</xdr:rowOff>
    </xdr:from>
    <xdr:to>
      <xdr:col>3</xdr:col>
      <xdr:colOff>177075</xdr:colOff>
      <xdr:row>26</xdr:row>
      <xdr:rowOff>167550</xdr:rowOff>
    </xdr:to>
    <xdr:sp macro="" textlink="">
      <xdr:nvSpPr>
        <xdr:cNvPr id="4" name="Pfeil nach rechts 3"/>
        <xdr:cNvSpPr/>
      </xdr:nvSpPr>
      <xdr:spPr>
        <a:xfrm rot="5400000">
          <a:off x="600075" y="4400550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17</xdr:col>
      <xdr:colOff>47625</xdr:colOff>
      <xdr:row>17</xdr:row>
      <xdr:rowOff>19050</xdr:rowOff>
    </xdr:from>
    <xdr:to>
      <xdr:col>33</xdr:col>
      <xdr:colOff>361950</xdr:colOff>
      <xdr:row>48</xdr:row>
      <xdr:rowOff>180976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121875</xdr:colOff>
      <xdr:row>21</xdr:row>
      <xdr:rowOff>21000</xdr:rowOff>
    </xdr:from>
    <xdr:to>
      <xdr:col>22</xdr:col>
      <xdr:colOff>100875</xdr:colOff>
      <xdr:row>26</xdr:row>
      <xdr:rowOff>148500</xdr:rowOff>
    </xdr:to>
    <xdr:sp macro="" textlink="">
      <xdr:nvSpPr>
        <xdr:cNvPr id="6" name="Pfeil nach rechts 5"/>
        <xdr:cNvSpPr/>
      </xdr:nvSpPr>
      <xdr:spPr>
        <a:xfrm rot="5400000">
          <a:off x="7762875" y="4381500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17</xdr:col>
      <xdr:colOff>368848</xdr:colOff>
      <xdr:row>17</xdr:row>
      <xdr:rowOff>171450</xdr:rowOff>
    </xdr:from>
    <xdr:to>
      <xdr:col>33</xdr:col>
      <xdr:colOff>32848</xdr:colOff>
      <xdr:row>48</xdr:row>
      <xdr:rowOff>25950</xdr:rowOff>
    </xdr:to>
    <xdr:sp macro="" textlink="">
      <xdr:nvSpPr>
        <xdr:cNvPr id="7" name="Ellipse 6"/>
        <xdr:cNvSpPr/>
      </xdr:nvSpPr>
      <xdr:spPr>
        <a:xfrm>
          <a:off x="6845848" y="3409950"/>
          <a:ext cx="5760000" cy="5760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41</xdr:col>
      <xdr:colOff>228598</xdr:colOff>
      <xdr:row>3</xdr:row>
      <xdr:rowOff>0</xdr:rowOff>
    </xdr:from>
    <xdr:to>
      <xdr:col>54</xdr:col>
      <xdr:colOff>752475</xdr:colOff>
      <xdr:row>30</xdr:row>
      <xdr:rowOff>9525</xdr:rowOff>
    </xdr:to>
    <xdr:graphicFrame macro="">
      <xdr:nvGraphicFramePr>
        <xdr:cNvPr id="9" name="Diagram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48</xdr:col>
      <xdr:colOff>352425</xdr:colOff>
      <xdr:row>30</xdr:row>
      <xdr:rowOff>171450</xdr:rowOff>
    </xdr:from>
    <xdr:to>
      <xdr:col>54</xdr:col>
      <xdr:colOff>752474</xdr:colOff>
      <xdr:row>48</xdr:row>
      <xdr:rowOff>152400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9525</xdr:rowOff>
    </xdr:from>
    <xdr:to>
      <xdr:col>16</xdr:col>
      <xdr:colOff>371475</xdr:colOff>
      <xdr:row>48</xdr:row>
      <xdr:rowOff>171451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217125</xdr:colOff>
      <xdr:row>21</xdr:row>
      <xdr:rowOff>30525</xdr:rowOff>
    </xdr:from>
    <xdr:to>
      <xdr:col>3</xdr:col>
      <xdr:colOff>196125</xdr:colOff>
      <xdr:row>26</xdr:row>
      <xdr:rowOff>158025</xdr:rowOff>
    </xdr:to>
    <xdr:sp macro="" textlink="">
      <xdr:nvSpPr>
        <xdr:cNvPr id="4" name="Pfeil nach rechts 3"/>
        <xdr:cNvSpPr/>
      </xdr:nvSpPr>
      <xdr:spPr>
        <a:xfrm rot="5400000">
          <a:off x="619125" y="4391025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17</xdr:col>
      <xdr:colOff>9525</xdr:colOff>
      <xdr:row>17</xdr:row>
      <xdr:rowOff>0</xdr:rowOff>
    </xdr:from>
    <xdr:to>
      <xdr:col>34</xdr:col>
      <xdr:colOff>0</xdr:colOff>
      <xdr:row>48</xdr:row>
      <xdr:rowOff>161926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121875</xdr:colOff>
      <xdr:row>21</xdr:row>
      <xdr:rowOff>11475</xdr:rowOff>
    </xdr:from>
    <xdr:to>
      <xdr:col>22</xdr:col>
      <xdr:colOff>100875</xdr:colOff>
      <xdr:row>26</xdr:row>
      <xdr:rowOff>138975</xdr:rowOff>
    </xdr:to>
    <xdr:sp macro="" textlink="">
      <xdr:nvSpPr>
        <xdr:cNvPr id="6" name="Pfeil nach rechts 5"/>
        <xdr:cNvSpPr/>
      </xdr:nvSpPr>
      <xdr:spPr>
        <a:xfrm rot="5400000">
          <a:off x="7762875" y="4371975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17</xdr:col>
      <xdr:colOff>359323</xdr:colOff>
      <xdr:row>17</xdr:row>
      <xdr:rowOff>152400</xdr:rowOff>
    </xdr:from>
    <xdr:to>
      <xdr:col>33</xdr:col>
      <xdr:colOff>23323</xdr:colOff>
      <xdr:row>48</xdr:row>
      <xdr:rowOff>6900</xdr:rowOff>
    </xdr:to>
    <xdr:sp macro="" textlink="">
      <xdr:nvSpPr>
        <xdr:cNvPr id="7" name="Ellipse 6"/>
        <xdr:cNvSpPr/>
      </xdr:nvSpPr>
      <xdr:spPr>
        <a:xfrm>
          <a:off x="6836323" y="3390900"/>
          <a:ext cx="5760000" cy="5760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34</xdr:col>
      <xdr:colOff>28575</xdr:colOff>
      <xdr:row>17</xdr:row>
      <xdr:rowOff>9525</xdr:rowOff>
    </xdr:from>
    <xdr:to>
      <xdr:col>45</xdr:col>
      <xdr:colOff>371475</xdr:colOff>
      <xdr:row>32</xdr:row>
      <xdr:rowOff>114300</xdr:rowOff>
    </xdr:to>
    <xdr:graphicFrame macro="">
      <xdr:nvGraphicFramePr>
        <xdr:cNvPr id="10" name="Diagramm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76200</xdr:rowOff>
    </xdr:from>
    <xdr:to>
      <xdr:col>16</xdr:col>
      <xdr:colOff>371475</xdr:colOff>
      <xdr:row>49</xdr:row>
      <xdr:rowOff>47626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217125</xdr:colOff>
      <xdr:row>39</xdr:row>
      <xdr:rowOff>116250</xdr:rowOff>
    </xdr:from>
    <xdr:to>
      <xdr:col>3</xdr:col>
      <xdr:colOff>196125</xdr:colOff>
      <xdr:row>45</xdr:row>
      <xdr:rowOff>53250</xdr:rowOff>
    </xdr:to>
    <xdr:sp macro="" textlink="">
      <xdr:nvSpPr>
        <xdr:cNvPr id="4" name="Pfeil nach rechts 3"/>
        <xdr:cNvSpPr/>
      </xdr:nvSpPr>
      <xdr:spPr>
        <a:xfrm rot="16200000">
          <a:off x="619125" y="7905750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17</xdr:col>
      <xdr:colOff>66675</xdr:colOff>
      <xdr:row>17</xdr:row>
      <xdr:rowOff>76200</xdr:rowOff>
    </xdr:from>
    <xdr:to>
      <xdr:col>33</xdr:col>
      <xdr:colOff>371475</xdr:colOff>
      <xdr:row>49</xdr:row>
      <xdr:rowOff>47626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36150</xdr:colOff>
      <xdr:row>39</xdr:row>
      <xdr:rowOff>106725</xdr:rowOff>
    </xdr:from>
    <xdr:to>
      <xdr:col>22</xdr:col>
      <xdr:colOff>15150</xdr:colOff>
      <xdr:row>45</xdr:row>
      <xdr:rowOff>43725</xdr:rowOff>
    </xdr:to>
    <xdr:sp macro="" textlink="">
      <xdr:nvSpPr>
        <xdr:cNvPr id="6" name="Pfeil nach rechts 5"/>
        <xdr:cNvSpPr/>
      </xdr:nvSpPr>
      <xdr:spPr>
        <a:xfrm rot="16200000">
          <a:off x="7677150" y="7896225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17</xdr:col>
      <xdr:colOff>349798</xdr:colOff>
      <xdr:row>18</xdr:row>
      <xdr:rowOff>38100</xdr:rowOff>
    </xdr:from>
    <xdr:to>
      <xdr:col>33</xdr:col>
      <xdr:colOff>13798</xdr:colOff>
      <xdr:row>48</xdr:row>
      <xdr:rowOff>83100</xdr:rowOff>
    </xdr:to>
    <xdr:sp macro="" textlink="">
      <xdr:nvSpPr>
        <xdr:cNvPr id="7" name="Ellipse 6"/>
        <xdr:cNvSpPr/>
      </xdr:nvSpPr>
      <xdr:spPr>
        <a:xfrm>
          <a:off x="6826798" y="3467100"/>
          <a:ext cx="5760000" cy="5760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34</xdr:col>
      <xdr:colOff>19049</xdr:colOff>
      <xdr:row>17</xdr:row>
      <xdr:rowOff>9525</xdr:rowOff>
    </xdr:from>
    <xdr:to>
      <xdr:col>46</xdr:col>
      <xdr:colOff>9524</xdr:colOff>
      <xdr:row>32</xdr:row>
      <xdr:rowOff>114300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76200</xdr:rowOff>
    </xdr:from>
    <xdr:to>
      <xdr:col>16</xdr:col>
      <xdr:colOff>371475</xdr:colOff>
      <xdr:row>49</xdr:row>
      <xdr:rowOff>47626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217125</xdr:colOff>
      <xdr:row>39</xdr:row>
      <xdr:rowOff>116250</xdr:rowOff>
    </xdr:from>
    <xdr:to>
      <xdr:col>3</xdr:col>
      <xdr:colOff>196125</xdr:colOff>
      <xdr:row>45</xdr:row>
      <xdr:rowOff>53250</xdr:rowOff>
    </xdr:to>
    <xdr:sp macro="" textlink="">
      <xdr:nvSpPr>
        <xdr:cNvPr id="4" name="Pfeil nach rechts 3"/>
        <xdr:cNvSpPr/>
      </xdr:nvSpPr>
      <xdr:spPr>
        <a:xfrm rot="16200000">
          <a:off x="619125" y="7905750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17</xdr:col>
      <xdr:colOff>66675</xdr:colOff>
      <xdr:row>17</xdr:row>
      <xdr:rowOff>76200</xdr:rowOff>
    </xdr:from>
    <xdr:to>
      <xdr:col>33</xdr:col>
      <xdr:colOff>371475</xdr:colOff>
      <xdr:row>49</xdr:row>
      <xdr:rowOff>47626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45675</xdr:colOff>
      <xdr:row>39</xdr:row>
      <xdr:rowOff>106725</xdr:rowOff>
    </xdr:from>
    <xdr:to>
      <xdr:col>22</xdr:col>
      <xdr:colOff>24675</xdr:colOff>
      <xdr:row>45</xdr:row>
      <xdr:rowOff>43725</xdr:rowOff>
    </xdr:to>
    <xdr:sp macro="" textlink="">
      <xdr:nvSpPr>
        <xdr:cNvPr id="6" name="Pfeil nach rechts 5"/>
        <xdr:cNvSpPr/>
      </xdr:nvSpPr>
      <xdr:spPr>
        <a:xfrm rot="16200000">
          <a:off x="7686675" y="7896225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17</xdr:col>
      <xdr:colOff>349798</xdr:colOff>
      <xdr:row>18</xdr:row>
      <xdr:rowOff>38100</xdr:rowOff>
    </xdr:from>
    <xdr:to>
      <xdr:col>33</xdr:col>
      <xdr:colOff>13798</xdr:colOff>
      <xdr:row>48</xdr:row>
      <xdr:rowOff>83100</xdr:rowOff>
    </xdr:to>
    <xdr:sp macro="" textlink="">
      <xdr:nvSpPr>
        <xdr:cNvPr id="7" name="Ellipse 6"/>
        <xdr:cNvSpPr/>
      </xdr:nvSpPr>
      <xdr:spPr>
        <a:xfrm>
          <a:off x="6826798" y="3467100"/>
          <a:ext cx="5760000" cy="5760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41</xdr:col>
      <xdr:colOff>209549</xdr:colOff>
      <xdr:row>3</xdr:row>
      <xdr:rowOff>28575</xdr:rowOff>
    </xdr:from>
    <xdr:to>
      <xdr:col>54</xdr:col>
      <xdr:colOff>723900</xdr:colOff>
      <xdr:row>30</xdr:row>
      <xdr:rowOff>47625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17</xdr:row>
      <xdr:rowOff>76200</xdr:rowOff>
    </xdr:from>
    <xdr:to>
      <xdr:col>16</xdr:col>
      <xdr:colOff>371475</xdr:colOff>
      <xdr:row>49</xdr:row>
      <xdr:rowOff>47626</xdr:rowOff>
    </xdr:to>
    <xdr:graphicFrame macro="">
      <xdr:nvGraphicFramePr>
        <xdr:cNvPr id="3" name="Diagram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198075</xdr:colOff>
      <xdr:row>39</xdr:row>
      <xdr:rowOff>106725</xdr:rowOff>
    </xdr:from>
    <xdr:to>
      <xdr:col>3</xdr:col>
      <xdr:colOff>177075</xdr:colOff>
      <xdr:row>45</xdr:row>
      <xdr:rowOff>43725</xdr:rowOff>
    </xdr:to>
    <xdr:sp macro="" textlink="">
      <xdr:nvSpPr>
        <xdr:cNvPr id="4" name="Pfeil nach rechts 3"/>
        <xdr:cNvSpPr/>
      </xdr:nvSpPr>
      <xdr:spPr>
        <a:xfrm rot="16200000">
          <a:off x="600075" y="7896225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17</xdr:col>
      <xdr:colOff>66675</xdr:colOff>
      <xdr:row>17</xdr:row>
      <xdr:rowOff>76200</xdr:rowOff>
    </xdr:from>
    <xdr:to>
      <xdr:col>33</xdr:col>
      <xdr:colOff>371475</xdr:colOff>
      <xdr:row>49</xdr:row>
      <xdr:rowOff>47626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74250</xdr:colOff>
      <xdr:row>39</xdr:row>
      <xdr:rowOff>116250</xdr:rowOff>
    </xdr:from>
    <xdr:to>
      <xdr:col>22</xdr:col>
      <xdr:colOff>53250</xdr:colOff>
      <xdr:row>45</xdr:row>
      <xdr:rowOff>53250</xdr:rowOff>
    </xdr:to>
    <xdr:sp macro="" textlink="">
      <xdr:nvSpPr>
        <xdr:cNvPr id="6" name="Pfeil nach rechts 5"/>
        <xdr:cNvSpPr/>
      </xdr:nvSpPr>
      <xdr:spPr>
        <a:xfrm rot="16200000">
          <a:off x="7715250" y="7905750"/>
          <a:ext cx="1080000" cy="360000"/>
        </a:xfrm>
        <a:prstGeom prst="rightArrow">
          <a:avLst/>
        </a:prstGeom>
        <a:solidFill>
          <a:srgbClr val="FFFF00"/>
        </a:solidFill>
        <a:ln w="19050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17</xdr:col>
      <xdr:colOff>349798</xdr:colOff>
      <xdr:row>18</xdr:row>
      <xdr:rowOff>38100</xdr:rowOff>
    </xdr:from>
    <xdr:to>
      <xdr:col>33</xdr:col>
      <xdr:colOff>13798</xdr:colOff>
      <xdr:row>48</xdr:row>
      <xdr:rowOff>83100</xdr:rowOff>
    </xdr:to>
    <xdr:sp macro="" textlink="">
      <xdr:nvSpPr>
        <xdr:cNvPr id="7" name="Ellipse 6"/>
        <xdr:cNvSpPr/>
      </xdr:nvSpPr>
      <xdr:spPr>
        <a:xfrm>
          <a:off x="6826798" y="3467100"/>
          <a:ext cx="5760000" cy="5760000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e-DE" sz="1100"/>
        </a:p>
      </xdr:txBody>
    </xdr:sp>
    <xdr:clientData/>
  </xdr:twoCellAnchor>
  <xdr:twoCellAnchor>
    <xdr:from>
      <xdr:col>34</xdr:col>
      <xdr:colOff>19049</xdr:colOff>
      <xdr:row>17</xdr:row>
      <xdr:rowOff>9525</xdr:rowOff>
    </xdr:from>
    <xdr:to>
      <xdr:col>46</xdr:col>
      <xdr:colOff>9524</xdr:colOff>
      <xdr:row>32</xdr:row>
      <xdr:rowOff>114300</xdr:rowOff>
    </xdr:to>
    <xdr:graphicFrame macro="">
      <xdr:nvGraphicFramePr>
        <xdr:cNvPr id="8" name="Diagram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4"/>
  <sheetViews>
    <sheetView workbookViewId="0"/>
  </sheetViews>
  <sheetFormatPr baseColWidth="10" defaultRowHeight="15"/>
  <cols>
    <col min="1" max="1" width="6.7109375" customWidth="1"/>
    <col min="2" max="2" width="1.7109375" style="1" customWidth="1"/>
    <col min="3" max="11" width="5.7109375" style="1" customWidth="1"/>
    <col min="12" max="19" width="5.7109375" customWidth="1"/>
    <col min="20" max="20" width="2.7109375" customWidth="1"/>
    <col min="21" max="23" width="6.7109375" customWidth="1"/>
  </cols>
  <sheetData>
    <row r="1" spans="1:23">
      <c r="A1" s="4"/>
      <c r="B1" s="4"/>
      <c r="C1" s="5"/>
      <c r="D1" s="145" t="s">
        <v>12</v>
      </c>
      <c r="E1" s="145"/>
      <c r="F1" s="146"/>
      <c r="G1" s="145"/>
      <c r="H1" s="147"/>
      <c r="I1" s="10">
        <v>2</v>
      </c>
      <c r="J1" s="142" t="s">
        <v>0</v>
      </c>
      <c r="K1" s="142"/>
      <c r="L1" s="142"/>
      <c r="M1" s="11">
        <f>x0Meter</f>
        <v>2</v>
      </c>
      <c r="N1" s="148" t="s">
        <v>13</v>
      </c>
      <c r="O1" s="149"/>
      <c r="P1" s="149"/>
      <c r="Q1" s="149"/>
      <c r="R1" s="149"/>
      <c r="S1" s="4"/>
    </row>
    <row r="2" spans="1:23">
      <c r="A2" s="4"/>
      <c r="B2" s="4"/>
      <c r="C2" s="5"/>
      <c r="D2" s="5"/>
      <c r="E2" s="5"/>
      <c r="F2" s="5"/>
      <c r="G2" s="5"/>
      <c r="H2" s="5"/>
      <c r="I2" s="10">
        <v>-2</v>
      </c>
      <c r="J2" s="142" t="s">
        <v>1</v>
      </c>
      <c r="K2" s="142"/>
      <c r="L2" s="142"/>
      <c r="M2" s="11">
        <f>-y0Meter</f>
        <v>2</v>
      </c>
      <c r="N2" s="4"/>
      <c r="O2" s="4"/>
      <c r="P2" s="4"/>
      <c r="Q2" s="5"/>
      <c r="R2" s="4"/>
      <c r="S2" s="4"/>
    </row>
    <row r="3" spans="1:23">
      <c r="A3" s="4"/>
      <c r="B3" s="4"/>
      <c r="C3" s="5"/>
      <c r="D3" s="5"/>
      <c r="E3" s="5"/>
      <c r="F3" s="5"/>
      <c r="G3" s="5"/>
      <c r="H3" s="5"/>
      <c r="I3" s="11">
        <f>-(x0Meter*9.81*SIN(Phi/180*PI()))/vy0</f>
        <v>-0.71653034181622688</v>
      </c>
      <c r="J3" s="142" t="s">
        <v>2</v>
      </c>
      <c r="K3" s="142"/>
      <c r="L3" s="142"/>
      <c r="M3" s="11">
        <f>-SQRT(-x0Meter*x0Meter/y0Meter*9.81/2*SIN(Phi/180*PI()))</f>
        <v>-0.71653034181622688</v>
      </c>
      <c r="N3" s="4"/>
      <c r="O3" s="4"/>
      <c r="P3" s="4"/>
      <c r="Q3" s="5"/>
      <c r="R3" s="4"/>
      <c r="S3" s="4"/>
    </row>
    <row r="4" spans="1:23">
      <c r="A4" s="4"/>
      <c r="B4" s="4"/>
      <c r="C4" s="5"/>
      <c r="D4" s="5"/>
      <c r="E4" s="5"/>
      <c r="F4" s="5"/>
      <c r="G4" s="5"/>
      <c r="H4" s="5"/>
      <c r="I4" s="11">
        <f>SQRT(-2*y0Meter*9.81*SIN(Phi/180*PI()))</f>
        <v>1.4330606836324538</v>
      </c>
      <c r="J4" s="142" t="s">
        <v>3</v>
      </c>
      <c r="K4" s="142"/>
      <c r="L4" s="142"/>
      <c r="M4" s="11">
        <f>$M$3/$M$1*($M$2-0.5*POWER($M$1/$M$3,2)*9.81*SIN(Phi/180*PI()))</f>
        <v>-7.9550848332690869E-17</v>
      </c>
      <c r="N4" s="4"/>
      <c r="O4" s="4"/>
      <c r="P4" s="4"/>
      <c r="Q4" s="5"/>
      <c r="R4" s="4"/>
      <c r="S4" s="4"/>
    </row>
    <row r="5" spans="1:23">
      <c r="A5" s="4"/>
      <c r="B5" s="4"/>
      <c r="C5" s="5"/>
      <c r="D5" s="5"/>
      <c r="E5" s="5"/>
      <c r="F5" s="5"/>
      <c r="G5" s="5"/>
      <c r="H5" s="5"/>
      <c r="I5" s="14">
        <f>180/PI()*ATAN(vy0/vx0)</f>
        <v>-63.43494882292201</v>
      </c>
      <c r="J5" s="142" t="s">
        <v>4</v>
      </c>
      <c r="K5" s="142"/>
      <c r="L5" s="142"/>
      <c r="M5" s="11">
        <f>180/PI()*ATAN(M4/M3)</f>
        <v>6.3611093629270335E-15</v>
      </c>
      <c r="N5" s="4"/>
      <c r="O5" s="4"/>
      <c r="P5" s="4"/>
      <c r="Q5" s="4"/>
      <c r="R5" s="4"/>
      <c r="S5" s="4"/>
    </row>
    <row r="6" spans="1:23">
      <c r="A6" s="4"/>
      <c r="B6" s="4"/>
      <c r="C6" s="5"/>
      <c r="D6" s="5"/>
      <c r="E6" s="5"/>
      <c r="F6" s="5"/>
      <c r="G6" s="5"/>
      <c r="H6" s="5"/>
      <c r="I6" s="10">
        <v>3</v>
      </c>
      <c r="J6" s="142" t="s">
        <v>5</v>
      </c>
      <c r="K6" s="142"/>
      <c r="L6" s="142"/>
      <c r="M6" s="11">
        <f>Phi</f>
        <v>3</v>
      </c>
      <c r="N6" s="4"/>
      <c r="O6" s="4"/>
      <c r="P6" s="4"/>
      <c r="Q6" s="4"/>
      <c r="R6" s="4"/>
      <c r="S6" s="4"/>
    </row>
    <row r="7" spans="1:23">
      <c r="A7" s="6">
        <v>0.25</v>
      </c>
      <c r="B7" s="140" t="s">
        <v>8</v>
      </c>
      <c r="C7" s="141"/>
      <c r="D7" s="143" t="s">
        <v>12</v>
      </c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4"/>
      <c r="S7" s="4"/>
    </row>
    <row r="8" spans="1:23">
      <c r="A8" s="7" t="s">
        <v>7</v>
      </c>
      <c r="B8" s="8"/>
      <c r="C8" s="10">
        <v>2</v>
      </c>
      <c r="D8" s="11">
        <f t="shared" ref="D8:S8" si="0">C8-deltaX</f>
        <v>1.75</v>
      </c>
      <c r="E8" s="11">
        <f t="shared" si="0"/>
        <v>1.5</v>
      </c>
      <c r="F8" s="11">
        <f t="shared" si="0"/>
        <v>1.25</v>
      </c>
      <c r="G8" s="11">
        <f t="shared" si="0"/>
        <v>1</v>
      </c>
      <c r="H8" s="11">
        <f t="shared" si="0"/>
        <v>0.75</v>
      </c>
      <c r="I8" s="11">
        <f t="shared" si="0"/>
        <v>0.5</v>
      </c>
      <c r="J8" s="11">
        <f t="shared" si="0"/>
        <v>0.25</v>
      </c>
      <c r="K8" s="11">
        <f t="shared" si="0"/>
        <v>0</v>
      </c>
      <c r="L8" s="11">
        <f t="shared" si="0"/>
        <v>-0.25</v>
      </c>
      <c r="M8" s="11">
        <f t="shared" si="0"/>
        <v>-0.5</v>
      </c>
      <c r="N8" s="11">
        <f t="shared" si="0"/>
        <v>-0.75</v>
      </c>
      <c r="O8" s="11">
        <f t="shared" si="0"/>
        <v>-1</v>
      </c>
      <c r="P8" s="11">
        <f t="shared" si="0"/>
        <v>-1.25</v>
      </c>
      <c r="Q8" s="11">
        <f t="shared" si="0"/>
        <v>-1.5</v>
      </c>
      <c r="R8" s="11">
        <f t="shared" si="0"/>
        <v>-1.75</v>
      </c>
      <c r="S8" s="11">
        <f t="shared" si="0"/>
        <v>-2</v>
      </c>
      <c r="T8" s="1"/>
      <c r="U8" s="1"/>
      <c r="V8" s="1"/>
      <c r="W8" s="1"/>
    </row>
    <row r="9" spans="1:23">
      <c r="A9" s="7" t="s">
        <v>6</v>
      </c>
      <c r="B9" s="8"/>
      <c r="C9" s="11">
        <f t="shared" ref="C9:S9" si="1">-0.5*POWER((C8-x0Meter)/vx0,2)*9.81*SIN(Phi/180*PI())+vy0*(C8-x0Meter)/vx0+y0Meter</f>
        <v>-2</v>
      </c>
      <c r="D9" s="11">
        <f t="shared" si="1"/>
        <v>-1.53125</v>
      </c>
      <c r="E9" s="11">
        <f t="shared" si="1"/>
        <v>-1.125</v>
      </c>
      <c r="F9" s="11">
        <f t="shared" si="1"/>
        <v>-0.78125</v>
      </c>
      <c r="G9" s="11">
        <f t="shared" si="1"/>
        <v>-0.5</v>
      </c>
      <c r="H9" s="11">
        <f t="shared" si="1"/>
        <v>-0.28125</v>
      </c>
      <c r="I9" s="11">
        <f t="shared" si="1"/>
        <v>-0.125</v>
      </c>
      <c r="J9" s="11">
        <f t="shared" si="1"/>
        <v>-3.1249999999999556E-2</v>
      </c>
      <c r="K9" s="11">
        <f t="shared" si="1"/>
        <v>0</v>
      </c>
      <c r="L9" s="11">
        <f t="shared" si="1"/>
        <v>-3.1250000000000444E-2</v>
      </c>
      <c r="M9" s="11">
        <f t="shared" si="1"/>
        <v>-0.12500000000000044</v>
      </c>
      <c r="N9" s="11">
        <f t="shared" si="1"/>
        <v>-0.28125</v>
      </c>
      <c r="O9" s="11">
        <f t="shared" si="1"/>
        <v>-0.5</v>
      </c>
      <c r="P9" s="11">
        <f t="shared" si="1"/>
        <v>-0.78125000000000178</v>
      </c>
      <c r="Q9" s="11">
        <f t="shared" si="1"/>
        <v>-1.1249999999999991</v>
      </c>
      <c r="R9" s="11">
        <f t="shared" si="1"/>
        <v>-1.53125</v>
      </c>
      <c r="S9" s="11">
        <f t="shared" si="1"/>
        <v>-1.9999999999999991</v>
      </c>
      <c r="T9" s="1"/>
      <c r="U9" s="1"/>
      <c r="V9" s="1"/>
      <c r="W9" s="1"/>
    </row>
    <row r="10" spans="1:23">
      <c r="A10" s="5"/>
      <c r="B10" s="5"/>
      <c r="C10" s="12">
        <f t="shared" ref="C10:S10" si="2">y0Meter/x0Meter/x0Meter*(C8*C8)</f>
        <v>-2</v>
      </c>
      <c r="D10" s="12">
        <f t="shared" si="2"/>
        <v>-1.53125</v>
      </c>
      <c r="E10" s="12">
        <f t="shared" si="2"/>
        <v>-1.125</v>
      </c>
      <c r="F10" s="12">
        <f t="shared" si="2"/>
        <v>-0.78125</v>
      </c>
      <c r="G10" s="12">
        <f t="shared" si="2"/>
        <v>-0.5</v>
      </c>
      <c r="H10" s="12">
        <f t="shared" si="2"/>
        <v>-0.28125</v>
      </c>
      <c r="I10" s="12">
        <f t="shared" si="2"/>
        <v>-0.125</v>
      </c>
      <c r="J10" s="12">
        <f t="shared" si="2"/>
        <v>-3.125E-2</v>
      </c>
      <c r="K10" s="12">
        <f t="shared" si="2"/>
        <v>0</v>
      </c>
      <c r="L10" s="12">
        <f t="shared" si="2"/>
        <v>-3.125E-2</v>
      </c>
      <c r="M10" s="12">
        <f t="shared" si="2"/>
        <v>-0.125</v>
      </c>
      <c r="N10" s="12">
        <f t="shared" si="2"/>
        <v>-0.28125</v>
      </c>
      <c r="O10" s="12">
        <f t="shared" si="2"/>
        <v>-0.5</v>
      </c>
      <c r="P10" s="12">
        <f t="shared" si="2"/>
        <v>-0.78125</v>
      </c>
      <c r="Q10" s="12">
        <f t="shared" si="2"/>
        <v>-1.125</v>
      </c>
      <c r="R10" s="12">
        <f t="shared" si="2"/>
        <v>-1.53125</v>
      </c>
      <c r="S10" s="12">
        <f t="shared" si="2"/>
        <v>-2</v>
      </c>
      <c r="T10" s="1"/>
      <c r="U10" s="3" t="s">
        <v>14</v>
      </c>
      <c r="V10" s="2"/>
      <c r="W10" s="2"/>
    </row>
    <row r="11" spans="1:23">
      <c r="A11" s="9" t="s">
        <v>9</v>
      </c>
      <c r="B11" s="5"/>
      <c r="C11" s="13">
        <f t="shared" ref="C11:S11" si="3">C8/vx0-$C$8/vx0</f>
        <v>0</v>
      </c>
      <c r="D11" s="13">
        <f t="shared" si="3"/>
        <v>0.34890357799268035</v>
      </c>
      <c r="E11" s="13">
        <f t="shared" si="3"/>
        <v>0.69780715598536114</v>
      </c>
      <c r="F11" s="13">
        <f t="shared" si="3"/>
        <v>1.0467107339780415</v>
      </c>
      <c r="G11" s="13">
        <f t="shared" si="3"/>
        <v>1.3956143119707223</v>
      </c>
      <c r="H11" s="13">
        <f t="shared" si="3"/>
        <v>1.7445178899634028</v>
      </c>
      <c r="I11" s="13">
        <f t="shared" si="3"/>
        <v>2.0934214679560834</v>
      </c>
      <c r="J11" s="13">
        <f t="shared" si="3"/>
        <v>2.4423250459487642</v>
      </c>
      <c r="K11" s="13">
        <f t="shared" si="3"/>
        <v>2.7912286239414446</v>
      </c>
      <c r="L11" s="13">
        <f t="shared" si="3"/>
        <v>3.1401322019341249</v>
      </c>
      <c r="M11" s="13">
        <f t="shared" si="3"/>
        <v>3.4890357799268057</v>
      </c>
      <c r="N11" s="13">
        <f t="shared" si="3"/>
        <v>3.8379393579194865</v>
      </c>
      <c r="O11" s="13">
        <f t="shared" si="3"/>
        <v>4.1868429359121668</v>
      </c>
      <c r="P11" s="13">
        <f t="shared" si="3"/>
        <v>4.5357465139048472</v>
      </c>
      <c r="Q11" s="13">
        <f t="shared" si="3"/>
        <v>4.8846500918975284</v>
      </c>
      <c r="R11" s="13">
        <f t="shared" si="3"/>
        <v>5.2335536698902088</v>
      </c>
      <c r="S11" s="13">
        <f t="shared" si="3"/>
        <v>5.5824572478828891</v>
      </c>
    </row>
    <row r="12" spans="1:23">
      <c r="A12" s="9" t="s">
        <v>10</v>
      </c>
      <c r="B12" s="5"/>
      <c r="C12" s="13">
        <f t="shared" ref="C12:S12" si="4">vx0</f>
        <v>-0.71653034181622688</v>
      </c>
      <c r="D12" s="13">
        <f t="shared" si="4"/>
        <v>-0.71653034181622688</v>
      </c>
      <c r="E12" s="13">
        <f t="shared" si="4"/>
        <v>-0.71653034181622688</v>
      </c>
      <c r="F12" s="13">
        <f t="shared" si="4"/>
        <v>-0.71653034181622688</v>
      </c>
      <c r="G12" s="13">
        <f t="shared" si="4"/>
        <v>-0.71653034181622688</v>
      </c>
      <c r="H12" s="13">
        <f t="shared" si="4"/>
        <v>-0.71653034181622688</v>
      </c>
      <c r="I12" s="13">
        <f t="shared" si="4"/>
        <v>-0.71653034181622688</v>
      </c>
      <c r="J12" s="13">
        <f t="shared" si="4"/>
        <v>-0.71653034181622688</v>
      </c>
      <c r="K12" s="13">
        <f t="shared" si="4"/>
        <v>-0.71653034181622688</v>
      </c>
      <c r="L12" s="13">
        <f t="shared" si="4"/>
        <v>-0.71653034181622688</v>
      </c>
      <c r="M12" s="13">
        <f t="shared" si="4"/>
        <v>-0.71653034181622688</v>
      </c>
      <c r="N12" s="13">
        <f t="shared" si="4"/>
        <v>-0.71653034181622688</v>
      </c>
      <c r="O12" s="13">
        <f t="shared" si="4"/>
        <v>-0.71653034181622688</v>
      </c>
      <c r="P12" s="13">
        <f t="shared" si="4"/>
        <v>-0.71653034181622688</v>
      </c>
      <c r="Q12" s="13">
        <f t="shared" si="4"/>
        <v>-0.71653034181622688</v>
      </c>
      <c r="R12" s="13">
        <f t="shared" si="4"/>
        <v>-0.71653034181622688</v>
      </c>
      <c r="S12" s="13">
        <f t="shared" si="4"/>
        <v>-0.71653034181622688</v>
      </c>
    </row>
    <row r="13" spans="1:23">
      <c r="A13" s="9" t="s">
        <v>11</v>
      </c>
      <c r="B13" s="5"/>
      <c r="C13" s="13">
        <f t="shared" ref="C13:S13" si="5">-C11*9.81*SIN(Phi/180*PI())+vy0</f>
        <v>1.4330606836324538</v>
      </c>
      <c r="D13" s="13">
        <f t="shared" si="5"/>
        <v>1.2539280981783971</v>
      </c>
      <c r="E13" s="13">
        <f t="shared" si="5"/>
        <v>1.0747955127243403</v>
      </c>
      <c r="F13" s="13">
        <f t="shared" si="5"/>
        <v>0.89566292727028374</v>
      </c>
      <c r="G13" s="13">
        <f t="shared" si="5"/>
        <v>0.71653034181622688</v>
      </c>
      <c r="H13" s="13">
        <f t="shared" si="5"/>
        <v>0.53739775636217024</v>
      </c>
      <c r="I13" s="13">
        <f t="shared" si="5"/>
        <v>0.35826517090811349</v>
      </c>
      <c r="J13" s="13">
        <f t="shared" si="5"/>
        <v>0.17913258545405641</v>
      </c>
      <c r="K13" s="13">
        <f t="shared" si="5"/>
        <v>0</v>
      </c>
      <c r="L13" s="13">
        <f t="shared" si="5"/>
        <v>-0.17913258545405664</v>
      </c>
      <c r="M13" s="13">
        <f t="shared" si="5"/>
        <v>-0.35826517090811327</v>
      </c>
      <c r="N13" s="13">
        <f t="shared" si="5"/>
        <v>-0.53739775636217058</v>
      </c>
      <c r="O13" s="13">
        <f t="shared" si="5"/>
        <v>-0.71653034181622677</v>
      </c>
      <c r="P13" s="13">
        <f t="shared" si="5"/>
        <v>-0.89566292727028363</v>
      </c>
      <c r="Q13" s="13">
        <f t="shared" si="5"/>
        <v>-1.0747955127243409</v>
      </c>
      <c r="R13" s="13">
        <f t="shared" si="5"/>
        <v>-1.2539280981783973</v>
      </c>
      <c r="S13" s="13">
        <f t="shared" si="5"/>
        <v>-1.4330606836324538</v>
      </c>
    </row>
    <row r="14" spans="1:23">
      <c r="A14" s="9" t="s">
        <v>15</v>
      </c>
      <c r="B14" s="5"/>
      <c r="C14" s="13">
        <f>SQRT(C12*C12+C13*C13)</f>
        <v>1.6022105522422434</v>
      </c>
      <c r="D14" s="13">
        <f t="shared" ref="D14:S14" si="6">SQRT(D12*D12+D13*D13)</f>
        <v>1.4442130750497209</v>
      </c>
      <c r="E14" s="13">
        <f t="shared" si="6"/>
        <v>1.2917434439220725</v>
      </c>
      <c r="F14" s="13">
        <f t="shared" si="6"/>
        <v>1.1470081996348818</v>
      </c>
      <c r="G14" s="13">
        <f t="shared" si="6"/>
        <v>1.0133269272483376</v>
      </c>
      <c r="H14" s="13">
        <f t="shared" si="6"/>
        <v>0.89566292727028363</v>
      </c>
      <c r="I14" s="13">
        <f t="shared" si="6"/>
        <v>0.8011052761211217</v>
      </c>
      <c r="J14" s="13">
        <f t="shared" si="6"/>
        <v>0.73858257081705758</v>
      </c>
      <c r="K14" s="13">
        <f t="shared" si="6"/>
        <v>0.71653034181622688</v>
      </c>
      <c r="L14" s="13">
        <f t="shared" si="6"/>
        <v>0.73858257081705758</v>
      </c>
      <c r="M14" s="13">
        <f t="shared" si="6"/>
        <v>0.8011052761211217</v>
      </c>
      <c r="N14" s="13">
        <f t="shared" si="6"/>
        <v>0.89566292727028385</v>
      </c>
      <c r="O14" s="13">
        <f t="shared" si="6"/>
        <v>1.0133269272483376</v>
      </c>
      <c r="P14" s="13">
        <f t="shared" si="6"/>
        <v>1.1470081996348815</v>
      </c>
      <c r="Q14" s="13">
        <f t="shared" si="6"/>
        <v>1.291743443922073</v>
      </c>
      <c r="R14" s="13">
        <f t="shared" si="6"/>
        <v>1.4442130750497211</v>
      </c>
      <c r="S14" s="13">
        <f t="shared" si="6"/>
        <v>1.6022105522422434</v>
      </c>
    </row>
    <row r="15" spans="1:23">
      <c r="A15" s="4" t="s">
        <v>40</v>
      </c>
      <c r="B15" s="5"/>
      <c r="C15" s="13">
        <f>-C13/C12*C8+C9</f>
        <v>2</v>
      </c>
      <c r="D15" s="23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4"/>
    </row>
    <row r="16" spans="1:23">
      <c r="A16" s="4"/>
      <c r="B16" s="5"/>
      <c r="C16" s="22"/>
      <c r="D16" s="138" t="s">
        <v>13</v>
      </c>
      <c r="E16" s="139"/>
      <c r="F16" s="139"/>
      <c r="G16" s="139"/>
      <c r="H16" s="139"/>
      <c r="I16" s="139"/>
      <c r="J16" s="139"/>
      <c r="K16" s="139"/>
      <c r="L16" s="139"/>
      <c r="M16" s="139"/>
      <c r="N16" s="139"/>
      <c r="O16" s="139"/>
      <c r="P16" s="139"/>
      <c r="Q16" s="139"/>
      <c r="R16" s="139"/>
      <c r="S16" s="4"/>
    </row>
    <row r="17" spans="1:23">
      <c r="A17" s="7" t="s">
        <v>7</v>
      </c>
      <c r="B17" s="8"/>
      <c r="C17" s="11">
        <f>C8</f>
        <v>2</v>
      </c>
      <c r="D17" s="11">
        <f t="shared" ref="D17:S17" si="7">C17-deltaX</f>
        <v>1.75</v>
      </c>
      <c r="E17" s="11">
        <f t="shared" si="7"/>
        <v>1.5</v>
      </c>
      <c r="F17" s="11">
        <f t="shared" si="7"/>
        <v>1.25</v>
      </c>
      <c r="G17" s="11">
        <f t="shared" si="7"/>
        <v>1</v>
      </c>
      <c r="H17" s="11">
        <f t="shared" si="7"/>
        <v>0.75</v>
      </c>
      <c r="I17" s="11">
        <f t="shared" si="7"/>
        <v>0.5</v>
      </c>
      <c r="J17" s="11">
        <f t="shared" si="7"/>
        <v>0.25</v>
      </c>
      <c r="K17" s="11">
        <f t="shared" si="7"/>
        <v>0</v>
      </c>
      <c r="L17" s="11">
        <f t="shared" si="7"/>
        <v>-0.25</v>
      </c>
      <c r="M17" s="11">
        <f t="shared" si="7"/>
        <v>-0.5</v>
      </c>
      <c r="N17" s="11">
        <f t="shared" si="7"/>
        <v>-0.75</v>
      </c>
      <c r="O17" s="11">
        <f t="shared" si="7"/>
        <v>-1</v>
      </c>
      <c r="P17" s="11">
        <f t="shared" si="7"/>
        <v>-1.25</v>
      </c>
      <c r="Q17" s="11">
        <f t="shared" si="7"/>
        <v>-1.5</v>
      </c>
      <c r="R17" s="11">
        <f t="shared" si="7"/>
        <v>-1.75</v>
      </c>
      <c r="S17" s="11">
        <f t="shared" si="7"/>
        <v>-2</v>
      </c>
    </row>
    <row r="18" spans="1:23">
      <c r="A18" s="7" t="s">
        <v>6</v>
      </c>
      <c r="B18" s="8"/>
      <c r="C18" s="11">
        <f t="shared" ref="C18:S18" si="8">-0.5*POWER((C17-$M$1)/$M$3,2)*9.81*SIN(Phi/180*PI())+$M$4*(C17-$M$1)/$M$3+$M$2</f>
        <v>2</v>
      </c>
      <c r="D18" s="11">
        <f t="shared" si="8"/>
        <v>1.96875</v>
      </c>
      <c r="E18" s="11">
        <f t="shared" si="8"/>
        <v>1.875</v>
      </c>
      <c r="F18" s="11">
        <f t="shared" si="8"/>
        <v>1.71875</v>
      </c>
      <c r="G18" s="11">
        <f t="shared" si="8"/>
        <v>1.5</v>
      </c>
      <c r="H18" s="11">
        <f t="shared" si="8"/>
        <v>1.2187499999999998</v>
      </c>
      <c r="I18" s="11">
        <f t="shared" si="8"/>
        <v>0.87499999999999978</v>
      </c>
      <c r="J18" s="11">
        <f t="shared" si="8"/>
        <v>0.46874999999999978</v>
      </c>
      <c r="K18" s="11">
        <f t="shared" si="8"/>
        <v>0</v>
      </c>
      <c r="L18" s="11">
        <f t="shared" si="8"/>
        <v>-0.53125000000000089</v>
      </c>
      <c r="M18" s="11">
        <f t="shared" si="8"/>
        <v>-1.1250000000000009</v>
      </c>
      <c r="N18" s="11">
        <f t="shared" si="8"/>
        <v>-1.7812500000000004</v>
      </c>
      <c r="O18" s="11">
        <f t="shared" si="8"/>
        <v>-2.5</v>
      </c>
      <c r="P18" s="11">
        <f t="shared" si="8"/>
        <v>-3.2812500000000018</v>
      </c>
      <c r="Q18" s="11">
        <f t="shared" si="8"/>
        <v>-4.125</v>
      </c>
      <c r="R18" s="11">
        <f t="shared" si="8"/>
        <v>-5.03125</v>
      </c>
      <c r="S18" s="11">
        <f t="shared" si="8"/>
        <v>-6</v>
      </c>
    </row>
    <row r="19" spans="1:23">
      <c r="A19" s="5"/>
      <c r="B19" s="5"/>
      <c r="C19" s="12">
        <f>$M$2*(2*C17*$M$1-C17*C17)/$M$1/$M$1</f>
        <v>2</v>
      </c>
      <c r="D19" s="12">
        <f t="shared" ref="D19:S19" si="9">$M$2*(2*D17*$M$1-D17*D17)/$M$1/$M$1</f>
        <v>1.96875</v>
      </c>
      <c r="E19" s="12">
        <f t="shared" si="9"/>
        <v>1.875</v>
      </c>
      <c r="F19" s="12">
        <f t="shared" si="9"/>
        <v>1.71875</v>
      </c>
      <c r="G19" s="12">
        <f t="shared" si="9"/>
        <v>1.5</v>
      </c>
      <c r="H19" s="12">
        <f t="shared" si="9"/>
        <v>1.21875</v>
      </c>
      <c r="I19" s="12">
        <f t="shared" si="9"/>
        <v>0.875</v>
      </c>
      <c r="J19" s="12">
        <f t="shared" si="9"/>
        <v>0.46875</v>
      </c>
      <c r="K19" s="12">
        <f t="shared" si="9"/>
        <v>0</v>
      </c>
      <c r="L19" s="12">
        <f t="shared" si="9"/>
        <v>-0.53125</v>
      </c>
      <c r="M19" s="12">
        <f t="shared" si="9"/>
        <v>-1.125</v>
      </c>
      <c r="N19" s="12">
        <f t="shared" si="9"/>
        <v>-1.78125</v>
      </c>
      <c r="O19" s="12">
        <f t="shared" si="9"/>
        <v>-2.5</v>
      </c>
      <c r="P19" s="12">
        <f t="shared" si="9"/>
        <v>-3.28125</v>
      </c>
      <c r="Q19" s="12">
        <f t="shared" si="9"/>
        <v>-4.125</v>
      </c>
      <c r="R19" s="12">
        <f t="shared" si="9"/>
        <v>-5.03125</v>
      </c>
      <c r="S19" s="12">
        <f t="shared" si="9"/>
        <v>-6</v>
      </c>
      <c r="U19" s="3" t="s">
        <v>14</v>
      </c>
      <c r="V19" s="3"/>
      <c r="W19" s="3"/>
    </row>
    <row r="20" spans="1:23">
      <c r="A20" s="9" t="s">
        <v>9</v>
      </c>
      <c r="B20" s="5"/>
      <c r="C20" s="13">
        <f t="shared" ref="C20:S20" si="10">C17/vx0-$C$8/vx0</f>
        <v>0</v>
      </c>
      <c r="D20" s="13">
        <f t="shared" si="10"/>
        <v>0.34890357799268035</v>
      </c>
      <c r="E20" s="13">
        <f t="shared" si="10"/>
        <v>0.69780715598536114</v>
      </c>
      <c r="F20" s="13">
        <f t="shared" si="10"/>
        <v>1.0467107339780415</v>
      </c>
      <c r="G20" s="13">
        <f t="shared" si="10"/>
        <v>1.3956143119707223</v>
      </c>
      <c r="H20" s="13">
        <f t="shared" si="10"/>
        <v>1.7445178899634028</v>
      </c>
      <c r="I20" s="13">
        <f t="shared" si="10"/>
        <v>2.0934214679560834</v>
      </c>
      <c r="J20" s="13">
        <f t="shared" si="10"/>
        <v>2.4423250459487642</v>
      </c>
      <c r="K20" s="13">
        <f t="shared" si="10"/>
        <v>2.7912286239414446</v>
      </c>
      <c r="L20" s="13">
        <f t="shared" si="10"/>
        <v>3.1401322019341249</v>
      </c>
      <c r="M20" s="13">
        <f t="shared" si="10"/>
        <v>3.4890357799268057</v>
      </c>
      <c r="N20" s="13">
        <f t="shared" si="10"/>
        <v>3.8379393579194865</v>
      </c>
      <c r="O20" s="13">
        <f t="shared" si="10"/>
        <v>4.1868429359121668</v>
      </c>
      <c r="P20" s="13">
        <f t="shared" si="10"/>
        <v>4.5357465139048472</v>
      </c>
      <c r="Q20" s="13">
        <f t="shared" si="10"/>
        <v>4.8846500918975284</v>
      </c>
      <c r="R20" s="13">
        <f t="shared" si="10"/>
        <v>5.2335536698902088</v>
      </c>
      <c r="S20" s="13">
        <f t="shared" si="10"/>
        <v>5.5824572478828891</v>
      </c>
    </row>
    <row r="21" spans="1:23">
      <c r="A21" s="9" t="s">
        <v>10</v>
      </c>
      <c r="B21" s="5"/>
      <c r="C21" s="13">
        <f t="shared" ref="C21:S21" si="11">vx0</f>
        <v>-0.71653034181622688</v>
      </c>
      <c r="D21" s="13">
        <f t="shared" si="11"/>
        <v>-0.71653034181622688</v>
      </c>
      <c r="E21" s="13">
        <f t="shared" si="11"/>
        <v>-0.71653034181622688</v>
      </c>
      <c r="F21" s="13">
        <f t="shared" si="11"/>
        <v>-0.71653034181622688</v>
      </c>
      <c r="G21" s="13">
        <f t="shared" si="11"/>
        <v>-0.71653034181622688</v>
      </c>
      <c r="H21" s="13">
        <f t="shared" si="11"/>
        <v>-0.71653034181622688</v>
      </c>
      <c r="I21" s="13">
        <f t="shared" si="11"/>
        <v>-0.71653034181622688</v>
      </c>
      <c r="J21" s="13">
        <f t="shared" si="11"/>
        <v>-0.71653034181622688</v>
      </c>
      <c r="K21" s="13">
        <f t="shared" si="11"/>
        <v>-0.71653034181622688</v>
      </c>
      <c r="L21" s="13">
        <f t="shared" si="11"/>
        <v>-0.71653034181622688</v>
      </c>
      <c r="M21" s="13">
        <f t="shared" si="11"/>
        <v>-0.71653034181622688</v>
      </c>
      <c r="N21" s="13">
        <f t="shared" si="11"/>
        <v>-0.71653034181622688</v>
      </c>
      <c r="O21" s="13">
        <f t="shared" si="11"/>
        <v>-0.71653034181622688</v>
      </c>
      <c r="P21" s="13">
        <f t="shared" si="11"/>
        <v>-0.71653034181622688</v>
      </c>
      <c r="Q21" s="13">
        <f t="shared" si="11"/>
        <v>-0.71653034181622688</v>
      </c>
      <c r="R21" s="13">
        <f t="shared" si="11"/>
        <v>-0.71653034181622688</v>
      </c>
      <c r="S21" s="13">
        <f t="shared" si="11"/>
        <v>-0.71653034181622688</v>
      </c>
    </row>
    <row r="22" spans="1:23">
      <c r="A22" s="9" t="s">
        <v>11</v>
      </c>
      <c r="B22" s="5"/>
      <c r="C22" s="13">
        <f t="shared" ref="C22:S22" si="12">-C20*9.81*SIN(Phi/180*PI())+$M$4</f>
        <v>-7.9550848332690869E-17</v>
      </c>
      <c r="D22" s="13">
        <f t="shared" si="12"/>
        <v>-0.17913258545405669</v>
      </c>
      <c r="E22" s="13">
        <f t="shared" si="12"/>
        <v>-0.35826517090811349</v>
      </c>
      <c r="F22" s="13">
        <f t="shared" si="12"/>
        <v>-0.53739775636217013</v>
      </c>
      <c r="G22" s="13">
        <f t="shared" si="12"/>
        <v>-0.71653034181622699</v>
      </c>
      <c r="H22" s="13">
        <f t="shared" si="12"/>
        <v>-0.89566292727028363</v>
      </c>
      <c r="I22" s="13">
        <f t="shared" si="12"/>
        <v>-1.0747955127243403</v>
      </c>
      <c r="J22" s="13">
        <f t="shared" si="12"/>
        <v>-1.2539280981783973</v>
      </c>
      <c r="K22" s="13">
        <f t="shared" si="12"/>
        <v>-1.4330606836324538</v>
      </c>
      <c r="L22" s="13">
        <f t="shared" si="12"/>
        <v>-1.6121932690865104</v>
      </c>
      <c r="M22" s="13">
        <f t="shared" si="12"/>
        <v>-1.791325854540567</v>
      </c>
      <c r="N22" s="13">
        <f t="shared" si="12"/>
        <v>-1.9704584399946243</v>
      </c>
      <c r="O22" s="13">
        <f t="shared" si="12"/>
        <v>-2.1495910254486805</v>
      </c>
      <c r="P22" s="13">
        <f t="shared" si="12"/>
        <v>-2.3287236109027374</v>
      </c>
      <c r="Q22" s="13">
        <f t="shared" si="12"/>
        <v>-2.5078561963567947</v>
      </c>
      <c r="R22" s="13">
        <f t="shared" si="12"/>
        <v>-2.6869887818108511</v>
      </c>
      <c r="S22" s="13">
        <f t="shared" si="12"/>
        <v>-2.8661213672649075</v>
      </c>
    </row>
    <row r="23" spans="1:23">
      <c r="A23" s="9" t="s">
        <v>15</v>
      </c>
      <c r="B23" s="5"/>
      <c r="C23" s="13">
        <f t="shared" ref="C23:S23" si="13">SQRT(C21*C21+C22*C22)</f>
        <v>0.71653034181622688</v>
      </c>
      <c r="D23" s="13">
        <f t="shared" si="13"/>
        <v>0.73858257081705758</v>
      </c>
      <c r="E23" s="13">
        <f t="shared" si="13"/>
        <v>0.8011052761211217</v>
      </c>
      <c r="F23" s="13">
        <f t="shared" si="13"/>
        <v>0.89566292727028363</v>
      </c>
      <c r="G23" s="13">
        <f t="shared" si="13"/>
        <v>1.0133269272483376</v>
      </c>
      <c r="H23" s="13">
        <f t="shared" si="13"/>
        <v>1.1470081996348815</v>
      </c>
      <c r="I23" s="13">
        <f t="shared" si="13"/>
        <v>1.2917434439220725</v>
      </c>
      <c r="J23" s="13">
        <f t="shared" si="13"/>
        <v>1.4442130750497211</v>
      </c>
      <c r="K23" s="13">
        <f t="shared" si="13"/>
        <v>1.6022105522422434</v>
      </c>
      <c r="L23" s="13">
        <f t="shared" si="13"/>
        <v>1.7642513618050939</v>
      </c>
      <c r="M23" s="13">
        <f t="shared" si="13"/>
        <v>1.9293169899964007</v>
      </c>
      <c r="N23" s="13">
        <f t="shared" si="13"/>
        <v>2.0966931569710736</v>
      </c>
      <c r="O23" s="13">
        <f t="shared" si="13"/>
        <v>2.2658678927582669</v>
      </c>
      <c r="P23" s="13">
        <f t="shared" si="13"/>
        <v>2.4364665782068839</v>
      </c>
      <c r="Q23" s="13">
        <f t="shared" si="13"/>
        <v>2.6082098137129321</v>
      </c>
      <c r="R23" s="13">
        <f t="shared" si="13"/>
        <v>2.780885550381504</v>
      </c>
      <c r="S23" s="13">
        <f t="shared" si="13"/>
        <v>2.9543302832682303</v>
      </c>
    </row>
    <row r="24" spans="1:23">
      <c r="A24" s="4" t="s">
        <v>41</v>
      </c>
      <c r="B24" s="5"/>
      <c r="C24" s="13">
        <f>-C22/C21*C17+C18</f>
        <v>1.9999999999999998</v>
      </c>
    </row>
  </sheetData>
  <mergeCells count="11">
    <mergeCell ref="D16:R16"/>
    <mergeCell ref="B7:C7"/>
    <mergeCell ref="J6:L6"/>
    <mergeCell ref="D7:R7"/>
    <mergeCell ref="J1:L1"/>
    <mergeCell ref="J2:L2"/>
    <mergeCell ref="J3:L3"/>
    <mergeCell ref="J4:L4"/>
    <mergeCell ref="J5:L5"/>
    <mergeCell ref="D1:H1"/>
    <mergeCell ref="N1:R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11"/>
  <sheetViews>
    <sheetView workbookViewId="0">
      <selection activeCell="I3" sqref="I3"/>
    </sheetView>
  </sheetViews>
  <sheetFormatPr baseColWidth="10" defaultRowHeight="15"/>
  <cols>
    <col min="1" max="15" width="5.7109375" customWidth="1"/>
  </cols>
  <sheetData>
    <row r="1" spans="1:15">
      <c r="A1" t="s">
        <v>317</v>
      </c>
      <c r="B1" s="2">
        <v>8</v>
      </c>
    </row>
    <row r="2" spans="1:15">
      <c r="A2" t="s">
        <v>16</v>
      </c>
      <c r="B2" s="2">
        <v>7.0000000000000007E-2</v>
      </c>
    </row>
    <row r="3" spans="1:15">
      <c r="A3" s="57" t="s">
        <v>322</v>
      </c>
      <c r="B3" s="108">
        <v>2</v>
      </c>
      <c r="C3" t="s">
        <v>323</v>
      </c>
    </row>
    <row r="4" spans="1:15">
      <c r="B4" s="112"/>
      <c r="C4" s="1"/>
    </row>
    <row r="5" spans="1:15">
      <c r="B5" s="113" t="s">
        <v>303</v>
      </c>
      <c r="C5" s="15">
        <v>0.5</v>
      </c>
      <c r="D5" s="15">
        <v>1</v>
      </c>
      <c r="E5" s="115">
        <v>1.5</v>
      </c>
      <c r="F5" s="31">
        <v>2</v>
      </c>
      <c r="G5" s="15">
        <v>2.5</v>
      </c>
      <c r="H5" s="15">
        <v>3</v>
      </c>
    </row>
    <row r="6" spans="1:15">
      <c r="B6" s="113" t="s">
        <v>321</v>
      </c>
      <c r="C6" s="15">
        <f>C5/180*PI()*100</f>
        <v>0.87266462599716477</v>
      </c>
      <c r="D6" s="15">
        <f t="shared" ref="D6:H6" si="0">D5/180*PI()*100</f>
        <v>1.7453292519943295</v>
      </c>
      <c r="E6" s="15">
        <f t="shared" si="0"/>
        <v>2.617993877991494</v>
      </c>
      <c r="F6" s="31">
        <f t="shared" si="0"/>
        <v>3.4906585039886591</v>
      </c>
      <c r="G6" s="15">
        <f t="shared" si="0"/>
        <v>4.3633231299858233</v>
      </c>
      <c r="H6" s="15">
        <f t="shared" si="0"/>
        <v>5.2359877559829879</v>
      </c>
      <c r="J6" s="16" t="s">
        <v>294</v>
      </c>
      <c r="K6" s="16"/>
      <c r="L6" s="16"/>
      <c r="M6" s="16"/>
      <c r="N6" s="16"/>
      <c r="O6" s="16"/>
    </row>
    <row r="7" spans="1:15">
      <c r="A7" s="1" t="s">
        <v>285</v>
      </c>
      <c r="B7" s="15">
        <v>1</v>
      </c>
      <c r="C7" s="15">
        <f>0.005*J7*$B$1*C$6</f>
        <v>7.8053497011563625E-2</v>
      </c>
      <c r="D7" s="15">
        <f t="shared" ref="D7:H7" si="1">0.005*K7*$B$1*D$6</f>
        <v>0.15610699402312725</v>
      </c>
      <c r="E7" s="115">
        <f t="shared" si="1"/>
        <v>0.23416049103469083</v>
      </c>
      <c r="F7" s="31">
        <f t="shared" si="1"/>
        <v>0.3122139880462545</v>
      </c>
      <c r="G7" s="15">
        <f t="shared" si="1"/>
        <v>0.39026748505781805</v>
      </c>
      <c r="H7" s="15">
        <f t="shared" si="1"/>
        <v>0.46832098206938166</v>
      </c>
      <c r="J7" s="15">
        <f>SQRT($B$3*$B$3+$B7*$B7)</f>
        <v>2.2360679774997898</v>
      </c>
      <c r="K7" s="15">
        <f t="shared" ref="K7:O11" si="2">SQRT($B$3*$B$3+$B7*$B7)</f>
        <v>2.2360679774997898</v>
      </c>
      <c r="L7" s="15">
        <f t="shared" si="2"/>
        <v>2.2360679774997898</v>
      </c>
      <c r="M7" s="15">
        <f t="shared" si="2"/>
        <v>2.2360679774997898</v>
      </c>
      <c r="N7" s="15">
        <f t="shared" si="2"/>
        <v>2.2360679774997898</v>
      </c>
      <c r="O7" s="15">
        <f t="shared" si="2"/>
        <v>2.2360679774997898</v>
      </c>
    </row>
    <row r="8" spans="1:15">
      <c r="B8" s="15">
        <v>2</v>
      </c>
      <c r="C8" s="15">
        <f t="shared" ref="C8:C11" si="3">0.005*J8*$B$1*C$6</f>
        <v>9.8730731959074822E-2</v>
      </c>
      <c r="D8" s="15">
        <f t="shared" ref="D8:D11" si="4">0.005*K8*$B$1*D$6</f>
        <v>0.19746146391814964</v>
      </c>
      <c r="E8" s="115">
        <f t="shared" ref="E8:E11" si="5">0.005*L8*$B$1*E$6</f>
        <v>0.2961921958772244</v>
      </c>
      <c r="F8" s="31">
        <f t="shared" ref="F8:F11" si="6">0.005*M8*$B$1*F$6</f>
        <v>0.39492292783629929</v>
      </c>
      <c r="G8" s="15">
        <f t="shared" ref="G8:G11" si="7">0.005*N8*$B$1*G$6</f>
        <v>0.49365365979537401</v>
      </c>
      <c r="H8" s="15">
        <f t="shared" ref="H8:H11" si="8">0.005*O8*$B$1*H$6</f>
        <v>0.59238439175444879</v>
      </c>
      <c r="J8" s="15">
        <f t="shared" ref="J8:J11" si="9">SQRT($B$3*$B$3+$B8*$B8)</f>
        <v>2.8284271247461903</v>
      </c>
      <c r="K8" s="15">
        <f t="shared" si="2"/>
        <v>2.8284271247461903</v>
      </c>
      <c r="L8" s="15">
        <f t="shared" si="2"/>
        <v>2.8284271247461903</v>
      </c>
      <c r="M8" s="15">
        <f t="shared" si="2"/>
        <v>2.8284271247461903</v>
      </c>
      <c r="N8" s="15">
        <f t="shared" si="2"/>
        <v>2.8284271247461903</v>
      </c>
      <c r="O8" s="15">
        <f t="shared" si="2"/>
        <v>2.8284271247461903</v>
      </c>
    </row>
    <row r="9" spans="1:15">
      <c r="B9" s="15">
        <v>3</v>
      </c>
      <c r="C9" s="15">
        <f t="shared" si="3"/>
        <v>0.1258574822126553</v>
      </c>
      <c r="D9" s="15">
        <f t="shared" si="4"/>
        <v>0.25171496442531061</v>
      </c>
      <c r="E9" s="115">
        <f t="shared" si="5"/>
        <v>0.37757244663796585</v>
      </c>
      <c r="F9" s="31">
        <f t="shared" si="6"/>
        <v>0.50342992885062121</v>
      </c>
      <c r="G9" s="15">
        <f t="shared" si="7"/>
        <v>0.62928741106327635</v>
      </c>
      <c r="H9" s="15">
        <f t="shared" si="8"/>
        <v>0.75514489327593171</v>
      </c>
      <c r="J9" s="15">
        <f t="shared" si="9"/>
        <v>3.6055512754639891</v>
      </c>
      <c r="K9" s="15">
        <f t="shared" si="2"/>
        <v>3.6055512754639891</v>
      </c>
      <c r="L9" s="15">
        <f t="shared" si="2"/>
        <v>3.6055512754639891</v>
      </c>
      <c r="M9" s="15">
        <f t="shared" si="2"/>
        <v>3.6055512754639891</v>
      </c>
      <c r="N9" s="15">
        <f t="shared" si="2"/>
        <v>3.6055512754639891</v>
      </c>
      <c r="O9" s="15">
        <f t="shared" si="2"/>
        <v>3.6055512754639891</v>
      </c>
    </row>
    <row r="10" spans="1:15">
      <c r="B10" s="15">
        <v>4</v>
      </c>
      <c r="C10" s="15">
        <f t="shared" si="3"/>
        <v>0.15610699402312725</v>
      </c>
      <c r="D10" s="15">
        <f t="shared" si="4"/>
        <v>0.3122139880462545</v>
      </c>
      <c r="E10" s="115">
        <f t="shared" si="5"/>
        <v>0.46832098206938166</v>
      </c>
      <c r="F10" s="31">
        <f t="shared" si="6"/>
        <v>0.624427976092509</v>
      </c>
      <c r="G10" s="15">
        <f t="shared" si="7"/>
        <v>0.78053497011563611</v>
      </c>
      <c r="H10" s="15">
        <f t="shared" si="8"/>
        <v>0.93664196413876333</v>
      </c>
      <c r="J10" s="15">
        <f t="shared" si="9"/>
        <v>4.4721359549995796</v>
      </c>
      <c r="K10" s="15">
        <f t="shared" si="2"/>
        <v>4.4721359549995796</v>
      </c>
      <c r="L10" s="15">
        <f t="shared" si="2"/>
        <v>4.4721359549995796</v>
      </c>
      <c r="M10" s="15">
        <f t="shared" si="2"/>
        <v>4.4721359549995796</v>
      </c>
      <c r="N10" s="15">
        <f t="shared" si="2"/>
        <v>4.4721359549995796</v>
      </c>
      <c r="O10" s="15">
        <f t="shared" si="2"/>
        <v>4.4721359549995796</v>
      </c>
    </row>
    <row r="11" spans="1:15">
      <c r="B11" s="15">
        <v>5</v>
      </c>
      <c r="C11" s="15">
        <f t="shared" si="3"/>
        <v>0.18797771329404503</v>
      </c>
      <c r="D11" s="15">
        <f t="shared" si="4"/>
        <v>0.37595542658809006</v>
      </c>
      <c r="E11" s="115">
        <f t="shared" si="5"/>
        <v>0.563933139882135</v>
      </c>
      <c r="F11" s="31">
        <f t="shared" si="6"/>
        <v>0.75191085317618012</v>
      </c>
      <c r="G11" s="15">
        <f t="shared" si="7"/>
        <v>0.93988856647022501</v>
      </c>
      <c r="H11" s="15">
        <f t="shared" si="8"/>
        <v>1.12786627976427</v>
      </c>
      <c r="J11" s="15">
        <f t="shared" si="9"/>
        <v>5.3851648071345037</v>
      </c>
      <c r="K11" s="15">
        <f t="shared" si="2"/>
        <v>5.3851648071345037</v>
      </c>
      <c r="L11" s="15">
        <f t="shared" si="2"/>
        <v>5.3851648071345037</v>
      </c>
      <c r="M11" s="15">
        <f t="shared" si="2"/>
        <v>5.3851648071345037</v>
      </c>
      <c r="N11" s="15">
        <f t="shared" si="2"/>
        <v>5.3851648071345037</v>
      </c>
      <c r="O11" s="15">
        <f t="shared" si="2"/>
        <v>5.3851648071345037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A52"/>
  <sheetViews>
    <sheetView workbookViewId="0">
      <selection activeCell="B26" sqref="B26"/>
    </sheetView>
  </sheetViews>
  <sheetFormatPr baseColWidth="10" defaultRowHeight="15"/>
  <cols>
    <col min="1" max="28" width="5.7109375" customWidth="1"/>
  </cols>
  <sheetData>
    <row r="1" spans="1:27">
      <c r="A1" t="s">
        <v>300</v>
      </c>
      <c r="B1" s="1">
        <f>$B$3*B4/180*PI()</f>
        <v>3.9269908169872414E-2</v>
      </c>
      <c r="C1" s="1" t="s">
        <v>297</v>
      </c>
      <c r="E1">
        <v>5.2999999999999999E-2</v>
      </c>
      <c r="F1" t="s">
        <v>293</v>
      </c>
    </row>
    <row r="2" spans="1:27">
      <c r="A2" t="s">
        <v>25</v>
      </c>
      <c r="B2" s="1">
        <f>B4/180*PI()</f>
        <v>2.6179938779914941E-2</v>
      </c>
      <c r="C2" s="1" t="s">
        <v>297</v>
      </c>
      <c r="F2" s="101" t="s">
        <v>103</v>
      </c>
    </row>
    <row r="3" spans="1:27">
      <c r="A3" t="s">
        <v>299</v>
      </c>
      <c r="B3" s="1">
        <v>1.5</v>
      </c>
      <c r="C3" s="1"/>
      <c r="E3" s="1" t="s">
        <v>295</v>
      </c>
    </row>
    <row r="4" spans="1:27">
      <c r="A4" t="s">
        <v>25</v>
      </c>
      <c r="B4" s="2">
        <v>1.5</v>
      </c>
      <c r="C4" t="s">
        <v>23</v>
      </c>
      <c r="D4" s="1" t="s">
        <v>6</v>
      </c>
      <c r="E4" s="1">
        <v>1</v>
      </c>
      <c r="F4" s="119">
        <v>2</v>
      </c>
      <c r="G4" s="1">
        <v>3</v>
      </c>
      <c r="H4" s="1">
        <v>4</v>
      </c>
      <c r="I4" s="1">
        <v>5</v>
      </c>
      <c r="K4" t="s">
        <v>294</v>
      </c>
      <c r="Q4" s="101" t="s">
        <v>103</v>
      </c>
      <c r="W4" s="28" t="s">
        <v>298</v>
      </c>
    </row>
    <row r="5" spans="1:27">
      <c r="D5" s="1">
        <v>1</v>
      </c>
      <c r="E5" s="1">
        <f>-$D5+(SQRT(K5*K5-$D5*$D5))*TAN(W5+Q5+$B$1)</f>
        <v>0.16656548808147864</v>
      </c>
      <c r="F5" s="119">
        <f t="shared" ref="E5:I9" si="0">-$D5+(SQRT(L5*L5-$D5*$D5))*TAN(X5+R5+$B$1)</f>
        <v>0.16275893098287897</v>
      </c>
      <c r="G5" s="1">
        <f t="shared" si="0"/>
        <v>0.19051892630445821</v>
      </c>
      <c r="H5" s="1">
        <f t="shared" si="0"/>
        <v>0.22465621321072526</v>
      </c>
      <c r="I5" s="1">
        <f t="shared" si="0"/>
        <v>0.26105888002653943</v>
      </c>
      <c r="K5" s="1">
        <f t="shared" ref="K5:O9" si="1">SQRT(E$4*E$4+$D5*$D5)</f>
        <v>1.4142135623730951</v>
      </c>
      <c r="L5" s="1">
        <f t="shared" si="1"/>
        <v>2.2360679774997898</v>
      </c>
      <c r="M5" s="1">
        <f t="shared" si="1"/>
        <v>3.1622776601683795</v>
      </c>
      <c r="N5" s="1">
        <f t="shared" si="1"/>
        <v>4.1231056256176606</v>
      </c>
      <c r="O5" s="1">
        <f t="shared" si="1"/>
        <v>5.0990195135927845</v>
      </c>
      <c r="Q5" s="1">
        <f t="shared" ref="Q5:U9" si="2">ATAN($E$1/K5)</f>
        <v>3.7459128850803228E-2</v>
      </c>
      <c r="R5" s="1">
        <f t="shared" si="2"/>
        <v>2.3697883402515496E-2</v>
      </c>
      <c r="S5" s="1">
        <f t="shared" si="2"/>
        <v>1.6758502561958696E-2</v>
      </c>
      <c r="T5" s="1">
        <f t="shared" si="2"/>
        <v>1.2853680197574985E-2</v>
      </c>
      <c r="U5" s="1">
        <f t="shared" si="2"/>
        <v>1.0393780863742397E-2</v>
      </c>
      <c r="W5" s="1">
        <f t="shared" ref="W5:AA9" si="3">ASIN($D5/K5)</f>
        <v>0.78539816339744828</v>
      </c>
      <c r="X5" s="1">
        <f t="shared" si="3"/>
        <v>0.46364760900080609</v>
      </c>
      <c r="Y5" s="1">
        <f t="shared" si="3"/>
        <v>0.32175055439664224</v>
      </c>
      <c r="Z5" s="1">
        <f t="shared" si="3"/>
        <v>0.24497866312686412</v>
      </c>
      <c r="AA5" s="1">
        <f t="shared" si="3"/>
        <v>0.19739555984988078</v>
      </c>
    </row>
    <row r="6" spans="1:27">
      <c r="B6" s="1"/>
      <c r="C6" s="1"/>
      <c r="D6" s="1">
        <v>2</v>
      </c>
      <c r="E6" s="1">
        <f t="shared" si="0"/>
        <v>0.36074671143057557</v>
      </c>
      <c r="F6" s="119">
        <f t="shared" si="0"/>
        <v>0.24660543316659966</v>
      </c>
      <c r="G6" s="1">
        <f t="shared" si="0"/>
        <v>0.2428358697719335</v>
      </c>
      <c r="H6" s="1">
        <f t="shared" si="0"/>
        <v>0.26254194871755132</v>
      </c>
      <c r="I6" s="1">
        <f t="shared" si="0"/>
        <v>0.29079269959480092</v>
      </c>
      <c r="K6" s="1">
        <f t="shared" si="1"/>
        <v>2.2360679774997898</v>
      </c>
      <c r="L6" s="1">
        <f t="shared" si="1"/>
        <v>2.8284271247461903</v>
      </c>
      <c r="M6" s="1">
        <f t="shared" si="1"/>
        <v>3.6055512754639891</v>
      </c>
      <c r="N6" s="1">
        <f t="shared" si="1"/>
        <v>4.4721359549995796</v>
      </c>
      <c r="O6" s="1">
        <f t="shared" si="1"/>
        <v>5.3851648071345037</v>
      </c>
      <c r="Q6" s="1">
        <f t="shared" si="2"/>
        <v>2.3697883402515496E-2</v>
      </c>
      <c r="R6" s="1">
        <f t="shared" si="2"/>
        <v>1.8736136998033958E-2</v>
      </c>
      <c r="S6" s="1">
        <f t="shared" si="2"/>
        <v>1.4698496592323524E-2</v>
      </c>
      <c r="T6" s="1">
        <f t="shared" si="2"/>
        <v>1.1850605495679394E-2</v>
      </c>
      <c r="U6" s="1">
        <f t="shared" si="2"/>
        <v>9.8415351744380337E-3</v>
      </c>
      <c r="W6" s="1">
        <f t="shared" si="3"/>
        <v>1.1071487177940904</v>
      </c>
      <c r="X6" s="1">
        <f t="shared" si="3"/>
        <v>0.78539816339744828</v>
      </c>
      <c r="Y6" s="1">
        <f t="shared" si="3"/>
        <v>0.5880026035475675</v>
      </c>
      <c r="Z6" s="1">
        <f t="shared" si="3"/>
        <v>0.46364760900080609</v>
      </c>
      <c r="AA6" s="1">
        <f t="shared" si="3"/>
        <v>0.3805063771123649</v>
      </c>
    </row>
    <row r="7" spans="1:27">
      <c r="B7" s="1"/>
      <c r="C7" s="1"/>
      <c r="D7" s="1">
        <v>3</v>
      </c>
      <c r="E7" s="1">
        <f t="shared" si="0"/>
        <v>0.67433575868390072</v>
      </c>
      <c r="F7" s="119">
        <f t="shared" si="0"/>
        <v>0.38209745218461144</v>
      </c>
      <c r="G7" s="1">
        <f t="shared" si="0"/>
        <v>0.32783070356142474</v>
      </c>
      <c r="H7" s="1">
        <f t="shared" si="0"/>
        <v>0.32407421042566087</v>
      </c>
      <c r="I7" s="1">
        <f t="shared" si="0"/>
        <v>0.33894053230056276</v>
      </c>
      <c r="K7" s="1">
        <f t="shared" si="1"/>
        <v>3.1622776601683795</v>
      </c>
      <c r="L7" s="1">
        <f t="shared" si="1"/>
        <v>3.6055512754639891</v>
      </c>
      <c r="M7" s="1">
        <f t="shared" si="1"/>
        <v>4.2426406871192848</v>
      </c>
      <c r="N7" s="1">
        <f t="shared" si="1"/>
        <v>5</v>
      </c>
      <c r="O7" s="1">
        <f t="shared" si="1"/>
        <v>5.8309518948453007</v>
      </c>
      <c r="Q7" s="1">
        <f t="shared" si="2"/>
        <v>1.6758502561958696E-2</v>
      </c>
      <c r="R7" s="1">
        <f t="shared" si="2"/>
        <v>1.4698496592323524E-2</v>
      </c>
      <c r="S7" s="1">
        <f t="shared" si="2"/>
        <v>1.2491570035033952E-2</v>
      </c>
      <c r="T7" s="1">
        <f t="shared" si="2"/>
        <v>1.0599603021429031E-2</v>
      </c>
      <c r="U7" s="1">
        <f t="shared" si="2"/>
        <v>9.0891747093246426E-3</v>
      </c>
      <c r="W7" s="1">
        <f t="shared" si="3"/>
        <v>1.2490457723982542</v>
      </c>
      <c r="X7" s="1">
        <f t="shared" si="3"/>
        <v>0.98279372324732917</v>
      </c>
      <c r="Y7" s="1">
        <f t="shared" si="3"/>
        <v>0.78539816339744839</v>
      </c>
      <c r="Z7" s="1">
        <f t="shared" si="3"/>
        <v>0.64350110879328437</v>
      </c>
      <c r="AA7" s="1">
        <f t="shared" si="3"/>
        <v>0.54041950027058416</v>
      </c>
    </row>
    <row r="8" spans="1:27">
      <c r="D8" s="1">
        <v>4</v>
      </c>
      <c r="E8" s="1">
        <f t="shared" si="0"/>
        <v>1.1207958001090637</v>
      </c>
      <c r="F8" s="119">
        <f t="shared" si="0"/>
        <v>0.5699767385325023</v>
      </c>
      <c r="G8" s="1">
        <f t="shared" si="0"/>
        <v>0.44557625951978963</v>
      </c>
      <c r="H8" s="1">
        <f t="shared" si="0"/>
        <v>0.40934320262024482</v>
      </c>
      <c r="I8" s="1">
        <f t="shared" si="0"/>
        <v>0.40561928344849996</v>
      </c>
      <c r="K8" s="1">
        <f t="shared" si="1"/>
        <v>4.1231056256176606</v>
      </c>
      <c r="L8" s="1">
        <f t="shared" si="1"/>
        <v>4.4721359549995796</v>
      </c>
      <c r="M8" s="1">
        <f t="shared" si="1"/>
        <v>5</v>
      </c>
      <c r="N8" s="1">
        <f t="shared" si="1"/>
        <v>5.6568542494923806</v>
      </c>
      <c r="O8" s="1">
        <f t="shared" si="1"/>
        <v>6.4031242374328485</v>
      </c>
      <c r="Q8" s="1">
        <f t="shared" si="2"/>
        <v>1.2853680197574985E-2</v>
      </c>
      <c r="R8" s="1">
        <f t="shared" si="2"/>
        <v>1.1850605495679394E-2</v>
      </c>
      <c r="S8" s="1">
        <f t="shared" si="2"/>
        <v>1.0599603021429031E-2</v>
      </c>
      <c r="T8" s="1">
        <f t="shared" si="2"/>
        <v>9.3688907194924079E-3</v>
      </c>
      <c r="U8" s="1">
        <f t="shared" si="2"/>
        <v>8.2770203579382168E-3</v>
      </c>
      <c r="W8" s="1">
        <f t="shared" si="3"/>
        <v>1.3258176636680323</v>
      </c>
      <c r="X8" s="1">
        <f t="shared" si="3"/>
        <v>1.1071487177940904</v>
      </c>
      <c r="Y8" s="1">
        <f t="shared" si="3"/>
        <v>0.9272952180016123</v>
      </c>
      <c r="Z8" s="1">
        <f t="shared" si="3"/>
        <v>0.78539816339744828</v>
      </c>
      <c r="AA8" s="1">
        <f t="shared" si="3"/>
        <v>0.67474094222355274</v>
      </c>
    </row>
    <row r="9" spans="1:27">
      <c r="D9" s="1">
        <v>5</v>
      </c>
      <c r="E9" s="1">
        <f t="shared" si="0"/>
        <v>1.7197043247426462</v>
      </c>
      <c r="F9" s="119">
        <f t="shared" si="0"/>
        <v>0.81253067595329664</v>
      </c>
      <c r="G9" s="1">
        <f t="shared" si="0"/>
        <v>0.59662155003022654</v>
      </c>
      <c r="H9" s="1">
        <f t="shared" si="0"/>
        <v>0.5185672000729511</v>
      </c>
      <c r="I9" s="1">
        <f t="shared" si="0"/>
        <v>0.49096918434182868</v>
      </c>
      <c r="K9" s="1">
        <f t="shared" si="1"/>
        <v>5.0990195135927845</v>
      </c>
      <c r="L9" s="1">
        <f t="shared" si="1"/>
        <v>5.3851648071345037</v>
      </c>
      <c r="M9" s="1">
        <f t="shared" si="1"/>
        <v>5.8309518948453007</v>
      </c>
      <c r="N9" s="1">
        <f t="shared" si="1"/>
        <v>6.4031242374328485</v>
      </c>
      <c r="O9" s="1">
        <f t="shared" si="1"/>
        <v>7.0710678118654755</v>
      </c>
      <c r="Q9" s="1">
        <f t="shared" si="2"/>
        <v>1.0393780863742397E-2</v>
      </c>
      <c r="R9" s="1">
        <f t="shared" si="2"/>
        <v>9.8415351744380337E-3</v>
      </c>
      <c r="S9" s="1">
        <f t="shared" si="2"/>
        <v>9.0891747093246426E-3</v>
      </c>
      <c r="T9" s="1">
        <f t="shared" si="2"/>
        <v>8.2770203579382168E-3</v>
      </c>
      <c r="U9" s="1">
        <f t="shared" si="2"/>
        <v>7.4951915227268722E-3</v>
      </c>
      <c r="W9" s="1">
        <f t="shared" si="3"/>
        <v>1.3734007669450161</v>
      </c>
      <c r="X9" s="1">
        <f t="shared" si="3"/>
        <v>1.1902899496825319</v>
      </c>
      <c r="Y9" s="1">
        <f t="shared" si="3"/>
        <v>1.0303768265243123</v>
      </c>
      <c r="Z9" s="1">
        <f t="shared" si="3"/>
        <v>0.89605538457134404</v>
      </c>
      <c r="AA9" s="1">
        <f t="shared" si="3"/>
        <v>0.78539816339744828</v>
      </c>
    </row>
    <row r="11" spans="1:27">
      <c r="E11" s="1" t="s">
        <v>296</v>
      </c>
    </row>
    <row r="12" spans="1:27">
      <c r="D12" s="1" t="s">
        <v>6</v>
      </c>
      <c r="E12" s="1">
        <v>1</v>
      </c>
      <c r="F12" s="119">
        <v>2</v>
      </c>
      <c r="G12" s="1">
        <v>3</v>
      </c>
      <c r="H12" s="1">
        <v>4</v>
      </c>
      <c r="I12" s="1">
        <v>5</v>
      </c>
      <c r="K12" t="s">
        <v>294</v>
      </c>
      <c r="Q12" s="101" t="s">
        <v>103</v>
      </c>
      <c r="W12" s="28" t="s">
        <v>298</v>
      </c>
    </row>
    <row r="13" spans="1:27">
      <c r="D13" s="1">
        <v>1</v>
      </c>
      <c r="E13" s="1">
        <f>$D13-(SQRT(K13*K13-$D13*$D13))*TAN(W13-Q13-$B$1)</f>
        <v>0.14278280112281583</v>
      </c>
      <c r="F13" s="119">
        <f t="shared" ref="F13:I13" si="4">$D13-(SQRT(L13*L13-$D13*$D13))*TAN(X13-R13-$B$1)</f>
        <v>0.15281042632988318</v>
      </c>
      <c r="G13" s="1">
        <f t="shared" si="4"/>
        <v>0.18352589501114003</v>
      </c>
      <c r="H13" s="1">
        <f t="shared" si="4"/>
        <v>0.21887141058918957</v>
      </c>
      <c r="I13" s="1">
        <f t="shared" si="4"/>
        <v>0.25591964194176153</v>
      </c>
      <c r="K13" s="1">
        <f t="shared" ref="K13:O17" si="5">SQRT(E$12*E$12+$D13*$D13)</f>
        <v>1.4142135623730951</v>
      </c>
      <c r="L13" s="1">
        <f t="shared" si="5"/>
        <v>2.2360679774997898</v>
      </c>
      <c r="M13" s="1">
        <f t="shared" si="5"/>
        <v>3.1622776601683795</v>
      </c>
      <c r="N13" s="1">
        <f t="shared" si="5"/>
        <v>4.1231056256176606</v>
      </c>
      <c r="O13" s="1">
        <f t="shared" si="5"/>
        <v>5.0990195135927845</v>
      </c>
      <c r="Q13" s="1">
        <f t="shared" ref="Q13:U17" si="6">ATAN($E$1/K13)</f>
        <v>3.7459128850803228E-2</v>
      </c>
      <c r="R13" s="1">
        <f t="shared" si="6"/>
        <v>2.3697883402515496E-2</v>
      </c>
      <c r="S13" s="1">
        <f t="shared" si="6"/>
        <v>1.6758502561958696E-2</v>
      </c>
      <c r="T13" s="1">
        <f t="shared" si="6"/>
        <v>1.2853680197574985E-2</v>
      </c>
      <c r="U13" s="1">
        <f t="shared" si="6"/>
        <v>1.0393780863742397E-2</v>
      </c>
      <c r="W13" s="1">
        <f t="shared" ref="W13:AA17" si="7">ASIN($D13/K13)</f>
        <v>0.78539816339744828</v>
      </c>
      <c r="X13" s="1">
        <f t="shared" si="7"/>
        <v>0.46364760900080609</v>
      </c>
      <c r="Y13" s="1">
        <f t="shared" si="7"/>
        <v>0.32175055439664224</v>
      </c>
      <c r="Z13" s="1">
        <f t="shared" si="7"/>
        <v>0.24497866312686412</v>
      </c>
      <c r="AA13" s="1">
        <f t="shared" si="7"/>
        <v>0.19739555984988078</v>
      </c>
    </row>
    <row r="14" spans="1:27">
      <c r="D14" s="1">
        <v>2</v>
      </c>
      <c r="E14" s="1">
        <f t="shared" ref="E14:E17" si="8">$D14-(SQRT(K14*K14-$D14*$D14))*TAN(W14-Q14-$B$1)</f>
        <v>0.279953009426122</v>
      </c>
      <c r="F14" s="119">
        <f t="shared" ref="F14:F17" si="9">$D14-(SQRT(L14*L14-$D14*$D14))*TAN(X14-R14-$B$1)</f>
        <v>0.21953604271223348</v>
      </c>
      <c r="G14" s="1">
        <f t="shared" ref="G14:G17" si="10">$D14-(SQRT(M14*M14-$D14*$D14))*TAN(Y14-S14-$B$1)</f>
        <v>0.225952952324187</v>
      </c>
      <c r="H14" s="1">
        <f t="shared" ref="H14:H17" si="11">$D14-(SQRT(N14*N14-$D14*$D14))*TAN(Z14-T14-$B$1)</f>
        <v>0.24944404365416206</v>
      </c>
      <c r="I14" s="1">
        <f t="shared" ref="I14:I17" si="12">$D14-(SQRT(O14*O14-$D14*$D14))*TAN(AA14-U14-$B$1)</f>
        <v>0.27957897213851157</v>
      </c>
      <c r="K14" s="1">
        <f t="shared" si="5"/>
        <v>2.2360679774997898</v>
      </c>
      <c r="L14" s="1">
        <f t="shared" si="5"/>
        <v>2.8284271247461903</v>
      </c>
      <c r="M14" s="1">
        <f t="shared" si="5"/>
        <v>3.6055512754639891</v>
      </c>
      <c r="N14" s="1">
        <f t="shared" si="5"/>
        <v>4.4721359549995796</v>
      </c>
      <c r="O14" s="1">
        <f t="shared" si="5"/>
        <v>5.3851648071345037</v>
      </c>
      <c r="Q14" s="1">
        <f t="shared" si="6"/>
        <v>2.3697883402515496E-2</v>
      </c>
      <c r="R14" s="1">
        <f t="shared" si="6"/>
        <v>1.8736136998033958E-2</v>
      </c>
      <c r="S14" s="1">
        <f t="shared" si="6"/>
        <v>1.4698496592323524E-2</v>
      </c>
      <c r="T14" s="1">
        <f t="shared" si="6"/>
        <v>1.1850605495679394E-2</v>
      </c>
      <c r="U14" s="1">
        <f t="shared" si="6"/>
        <v>9.8415351744380337E-3</v>
      </c>
      <c r="W14" s="1">
        <f t="shared" si="7"/>
        <v>1.1071487177940904</v>
      </c>
      <c r="X14" s="1">
        <f t="shared" si="7"/>
        <v>0.78539816339744828</v>
      </c>
      <c r="Y14" s="1">
        <f t="shared" si="7"/>
        <v>0.5880026035475675</v>
      </c>
      <c r="Z14" s="1">
        <f t="shared" si="7"/>
        <v>0.46364760900080609</v>
      </c>
      <c r="AA14" s="1">
        <f t="shared" si="7"/>
        <v>0.3805063771123649</v>
      </c>
    </row>
    <row r="15" spans="1:27">
      <c r="D15" s="1">
        <v>3</v>
      </c>
      <c r="E15" s="1">
        <f t="shared" si="8"/>
        <v>0.48009045995393596</v>
      </c>
      <c r="F15" s="119">
        <f t="shared" si="9"/>
        <v>0.32481539069993604</v>
      </c>
      <c r="G15" s="1">
        <f t="shared" si="10"/>
        <v>0.29553549993746575</v>
      </c>
      <c r="H15" s="1">
        <f t="shared" si="11"/>
        <v>0.30068740260542981</v>
      </c>
      <c r="I15" s="1">
        <f t="shared" si="12"/>
        <v>0.31981162815645803</v>
      </c>
      <c r="K15" s="1">
        <f t="shared" si="5"/>
        <v>3.1622776601683795</v>
      </c>
      <c r="L15" s="1">
        <f t="shared" si="5"/>
        <v>3.6055512754639891</v>
      </c>
      <c r="M15" s="1">
        <f t="shared" si="5"/>
        <v>4.2426406871192848</v>
      </c>
      <c r="N15" s="1">
        <f t="shared" si="5"/>
        <v>5</v>
      </c>
      <c r="O15" s="1">
        <f t="shared" si="5"/>
        <v>5.8309518948453007</v>
      </c>
      <c r="Q15" s="1">
        <f t="shared" si="6"/>
        <v>1.6758502561958696E-2</v>
      </c>
      <c r="R15" s="1">
        <f t="shared" si="6"/>
        <v>1.4698496592323524E-2</v>
      </c>
      <c r="S15" s="1">
        <f t="shared" si="6"/>
        <v>1.2491570035033952E-2</v>
      </c>
      <c r="T15" s="1">
        <f t="shared" si="6"/>
        <v>1.0599603021429031E-2</v>
      </c>
      <c r="U15" s="1">
        <f t="shared" si="6"/>
        <v>9.0891747093246426E-3</v>
      </c>
      <c r="W15" s="1">
        <f t="shared" si="7"/>
        <v>1.2490457723982542</v>
      </c>
      <c r="X15" s="1">
        <f t="shared" si="7"/>
        <v>0.98279372324732917</v>
      </c>
      <c r="Y15" s="1">
        <f t="shared" si="7"/>
        <v>0.78539816339744839</v>
      </c>
      <c r="Z15" s="1">
        <f t="shared" si="7"/>
        <v>0.64350110879328437</v>
      </c>
      <c r="AA15" s="1">
        <f t="shared" si="7"/>
        <v>0.54041950027058416</v>
      </c>
    </row>
    <row r="16" spans="1:27">
      <c r="D16" s="1">
        <v>4</v>
      </c>
      <c r="E16" s="1">
        <f t="shared" si="8"/>
        <v>0.73377723735785905</v>
      </c>
      <c r="F16" s="119">
        <f t="shared" si="9"/>
        <v>0.4641539554506191</v>
      </c>
      <c r="G16" s="1">
        <f t="shared" si="10"/>
        <v>0.38997229292803492</v>
      </c>
      <c r="H16" s="1">
        <f t="shared" si="11"/>
        <v>0.37134165684992881</v>
      </c>
      <c r="I16" s="1">
        <f t="shared" si="12"/>
        <v>0.37587089639216043</v>
      </c>
      <c r="K16" s="1">
        <f t="shared" si="5"/>
        <v>4.1231056256176606</v>
      </c>
      <c r="L16" s="1">
        <f t="shared" si="5"/>
        <v>4.4721359549995796</v>
      </c>
      <c r="M16" s="1">
        <f t="shared" si="5"/>
        <v>5</v>
      </c>
      <c r="N16" s="1">
        <f t="shared" si="5"/>
        <v>5.6568542494923806</v>
      </c>
      <c r="O16" s="1">
        <f t="shared" si="5"/>
        <v>6.4031242374328485</v>
      </c>
      <c r="Q16" s="1">
        <f t="shared" si="6"/>
        <v>1.2853680197574985E-2</v>
      </c>
      <c r="R16" s="1">
        <f t="shared" si="6"/>
        <v>1.1850605495679394E-2</v>
      </c>
      <c r="S16" s="1">
        <f t="shared" si="6"/>
        <v>1.0599603021429031E-2</v>
      </c>
      <c r="T16" s="1">
        <f t="shared" si="6"/>
        <v>9.3688907194924079E-3</v>
      </c>
      <c r="U16" s="1">
        <f t="shared" si="6"/>
        <v>8.2770203579382168E-3</v>
      </c>
      <c r="W16" s="1">
        <f t="shared" si="7"/>
        <v>1.3258176636680323</v>
      </c>
      <c r="X16" s="1">
        <f t="shared" si="7"/>
        <v>1.1071487177940904</v>
      </c>
      <c r="Y16" s="1">
        <f t="shared" si="7"/>
        <v>0.9272952180016123</v>
      </c>
      <c r="Z16" s="1">
        <f t="shared" si="7"/>
        <v>0.78539816339744828</v>
      </c>
      <c r="AA16" s="1">
        <f t="shared" si="7"/>
        <v>0.67474094222355274</v>
      </c>
    </row>
    <row r="17" spans="2:27">
      <c r="D17" s="1">
        <v>5</v>
      </c>
      <c r="E17" s="1">
        <f t="shared" si="8"/>
        <v>1.0350780766915739</v>
      </c>
      <c r="F17" s="119">
        <f t="shared" si="9"/>
        <v>0.63469885259857239</v>
      </c>
      <c r="G17" s="1">
        <f t="shared" si="10"/>
        <v>0.50755700651402513</v>
      </c>
      <c r="H17" s="1">
        <f t="shared" si="11"/>
        <v>0.46034309520613004</v>
      </c>
      <c r="I17" s="1">
        <f t="shared" si="12"/>
        <v>0.44706969558478526</v>
      </c>
      <c r="K17" s="1">
        <f t="shared" si="5"/>
        <v>5.0990195135927845</v>
      </c>
      <c r="L17" s="1">
        <f t="shared" si="5"/>
        <v>5.3851648071345037</v>
      </c>
      <c r="M17" s="1">
        <f t="shared" si="5"/>
        <v>5.8309518948453007</v>
      </c>
      <c r="N17" s="1">
        <f t="shared" si="5"/>
        <v>6.4031242374328485</v>
      </c>
      <c r="O17" s="1">
        <f t="shared" si="5"/>
        <v>7.0710678118654755</v>
      </c>
      <c r="Q17" s="1">
        <f t="shared" si="6"/>
        <v>1.0393780863742397E-2</v>
      </c>
      <c r="R17" s="1">
        <f t="shared" si="6"/>
        <v>9.8415351744380337E-3</v>
      </c>
      <c r="S17" s="1">
        <f t="shared" si="6"/>
        <v>9.0891747093246426E-3</v>
      </c>
      <c r="T17" s="1">
        <f t="shared" si="6"/>
        <v>8.2770203579382168E-3</v>
      </c>
      <c r="U17" s="1">
        <f t="shared" si="6"/>
        <v>7.4951915227268722E-3</v>
      </c>
      <c r="W17" s="1">
        <f t="shared" si="7"/>
        <v>1.3734007669450161</v>
      </c>
      <c r="X17" s="1">
        <f t="shared" si="7"/>
        <v>1.1902899496825319</v>
      </c>
      <c r="Y17" s="1">
        <f t="shared" si="7"/>
        <v>1.0303768265243123</v>
      </c>
      <c r="Z17" s="1">
        <f t="shared" si="7"/>
        <v>0.89605538457134404</v>
      </c>
      <c r="AA17" s="1">
        <f t="shared" si="7"/>
        <v>0.78539816339744828</v>
      </c>
    </row>
    <row r="25" spans="2:27">
      <c r="B25" t="s">
        <v>42</v>
      </c>
    </row>
    <row r="35" spans="4:27">
      <c r="D35" s="82" t="s">
        <v>301</v>
      </c>
      <c r="E35" s="82"/>
      <c r="Q35" s="74" t="s">
        <v>302</v>
      </c>
      <c r="R35" s="74"/>
    </row>
    <row r="38" spans="4:27">
      <c r="E38" s="1" t="s">
        <v>295</v>
      </c>
    </row>
    <row r="39" spans="4:27">
      <c r="D39" s="1" t="s">
        <v>6</v>
      </c>
      <c r="E39" s="1">
        <v>0.77700000000000002</v>
      </c>
      <c r="F39" s="1">
        <v>1.5</v>
      </c>
      <c r="G39" s="1">
        <v>2.121</v>
      </c>
      <c r="H39" s="1">
        <v>2.5979999999999999</v>
      </c>
      <c r="I39" s="1">
        <v>2.8980000000000001</v>
      </c>
      <c r="K39" t="s">
        <v>294</v>
      </c>
      <c r="Q39" s="101" t="s">
        <v>103</v>
      </c>
      <c r="W39" s="28" t="s">
        <v>298</v>
      </c>
    </row>
    <row r="40" spans="4:27">
      <c r="D40" s="1">
        <v>-0.77700000000000002</v>
      </c>
      <c r="E40" s="1"/>
      <c r="F40" s="1"/>
      <c r="G40" s="1"/>
      <c r="H40" s="1"/>
      <c r="I40" s="1">
        <f>$D40+(SQRT(O40*O40-$D40*$D40))*TAN(AA40+U40+$B$1)</f>
        <v>0.17977737730092758</v>
      </c>
      <c r="K40" s="1"/>
      <c r="L40" s="1"/>
      <c r="M40" s="1"/>
      <c r="N40" s="1"/>
      <c r="O40" s="1">
        <v>3</v>
      </c>
      <c r="Q40" s="1"/>
      <c r="R40" s="1"/>
      <c r="S40" s="1"/>
      <c r="T40" s="1"/>
      <c r="U40" s="1">
        <f>ATAN($E$1/O40)</f>
        <v>1.7664829023129453E-2</v>
      </c>
      <c r="W40" s="1"/>
      <c r="X40" s="1"/>
      <c r="Y40" s="1"/>
      <c r="Z40" s="1"/>
      <c r="AA40" s="1">
        <f>-ASIN($D40/O40)</f>
        <v>0.26198673079749396</v>
      </c>
    </row>
    <row r="41" spans="4:27">
      <c r="D41" s="1">
        <v>-1.5</v>
      </c>
      <c r="E41" s="1"/>
      <c r="F41" s="1"/>
      <c r="G41" s="1"/>
      <c r="H41" s="1">
        <f>$D41+(SQRT(N41*N41-$D41*$D41))*TAN(Z41+T41+$B$1)</f>
        <v>0.20415934136676106</v>
      </c>
      <c r="I41" s="1"/>
      <c r="K41" s="1"/>
      <c r="L41" s="1"/>
      <c r="M41" s="1"/>
      <c r="N41" s="1">
        <v>3</v>
      </c>
      <c r="O41" s="1"/>
      <c r="Q41" s="1"/>
      <c r="R41" s="1"/>
      <c r="S41" s="1"/>
      <c r="T41" s="1">
        <f>ATAN($E$1/N41)</f>
        <v>1.7664829023129453E-2</v>
      </c>
      <c r="U41" s="1"/>
      <c r="W41" s="1"/>
      <c r="X41" s="1"/>
      <c r="Y41" s="1"/>
      <c r="Z41" s="1">
        <f>-ASIN($D41/N41)</f>
        <v>0.52359877559829893</v>
      </c>
      <c r="AA41" s="1"/>
    </row>
    <row r="42" spans="4:27">
      <c r="D42" s="1">
        <v>-2.121</v>
      </c>
      <c r="E42" s="1"/>
      <c r="F42" s="1"/>
      <c r="G42" s="1">
        <f>$D42+(SQRT(M42*M42-$D42*$D42))*TAN(Y42+S42+$B$1)</f>
        <v>0.25640462063094605</v>
      </c>
      <c r="H42" s="1"/>
      <c r="I42" s="1"/>
      <c r="K42" s="1"/>
      <c r="L42" s="1"/>
      <c r="M42" s="1">
        <f>SQRT(G$39*G$39+$D42*$D42)</f>
        <v>2.9995469657933347</v>
      </c>
      <c r="N42" s="1"/>
      <c r="O42" s="1"/>
      <c r="Q42" s="1"/>
      <c r="R42" s="1"/>
      <c r="S42" s="1">
        <f>ATAN($E$1/M42)</f>
        <v>1.766749646151182E-2</v>
      </c>
      <c r="T42" s="1"/>
      <c r="U42" s="1"/>
      <c r="W42" s="1"/>
      <c r="X42" s="1"/>
      <c r="Y42" s="1">
        <f>-ASIN($D42/M42)</f>
        <v>0.78539816339744828</v>
      </c>
      <c r="Z42" s="1"/>
      <c r="AA42" s="1"/>
    </row>
    <row r="43" spans="4:27">
      <c r="D43" s="1">
        <v>-2.5979999999999999</v>
      </c>
      <c r="E43" s="1"/>
      <c r="F43" s="1">
        <f>$D43+(SQRT(L43*L43-$D43*$D43))*TAN(X43+R43+$B$1)</f>
        <v>0.37939790315831656</v>
      </c>
      <c r="G43" s="1"/>
      <c r="H43" s="1"/>
      <c r="I43" s="1"/>
      <c r="K43" s="1"/>
      <c r="L43" s="1">
        <v>3</v>
      </c>
      <c r="M43" s="1"/>
      <c r="N43" s="1"/>
      <c r="O43" s="1"/>
      <c r="Q43" s="1"/>
      <c r="R43" s="1">
        <f>ATAN($E$1/L43)</f>
        <v>1.7664829023129453E-2</v>
      </c>
      <c r="S43" s="1"/>
      <c r="T43" s="1"/>
      <c r="U43" s="1"/>
      <c r="W43" s="1"/>
      <c r="X43" s="1">
        <f>-ASIN($D43/L43)</f>
        <v>1.0471467458630679</v>
      </c>
      <c r="Y43" s="1"/>
      <c r="Z43" s="1"/>
      <c r="AA43" s="1"/>
    </row>
    <row r="44" spans="4:27">
      <c r="D44" s="1">
        <v>-2.8980000000000001</v>
      </c>
      <c r="E44" s="1">
        <f>$D44+(SQRT(K44*K44-$D44*$D44))*TAN(W44+Q44+$B$1)</f>
        <v>0.84030852752409091</v>
      </c>
      <c r="F44" s="1"/>
      <c r="G44" s="1"/>
      <c r="H44" s="1"/>
      <c r="I44" s="1"/>
      <c r="K44" s="1">
        <v>3</v>
      </c>
      <c r="L44" s="1"/>
      <c r="M44" s="1"/>
      <c r="N44" s="1"/>
      <c r="O44" s="1"/>
      <c r="Q44" s="1">
        <f>ATAN($E$1/K44)</f>
        <v>1.7664829023129453E-2</v>
      </c>
      <c r="R44" s="1"/>
      <c r="S44" s="1"/>
      <c r="T44" s="1"/>
      <c r="U44" s="1"/>
      <c r="W44" s="1">
        <f>-ASIN($D44/K44)</f>
        <v>1.3092836776345891</v>
      </c>
      <c r="X44" s="1"/>
      <c r="Y44" s="1"/>
      <c r="Z44" s="1"/>
      <c r="AA44" s="1"/>
    </row>
    <row r="46" spans="4:27">
      <c r="E46" s="1" t="s">
        <v>296</v>
      </c>
    </row>
    <row r="47" spans="4:27">
      <c r="D47" s="1" t="s">
        <v>6</v>
      </c>
      <c r="E47" s="1">
        <v>0.77700000000000002</v>
      </c>
      <c r="F47" s="1">
        <v>1.5</v>
      </c>
      <c r="G47" s="1">
        <v>2.121</v>
      </c>
      <c r="H47" s="1">
        <v>2.5979999999999999</v>
      </c>
      <c r="I47" s="1">
        <v>2.8980000000000001</v>
      </c>
      <c r="K47" t="s">
        <v>294</v>
      </c>
      <c r="Q47" s="101" t="s">
        <v>103</v>
      </c>
      <c r="W47" s="28" t="s">
        <v>298</v>
      </c>
    </row>
    <row r="48" spans="4:27">
      <c r="D48" s="1">
        <v>0.77700000000000002</v>
      </c>
      <c r="E48" s="1"/>
      <c r="F48" s="1"/>
      <c r="G48" s="1"/>
      <c r="H48" s="1"/>
      <c r="I48" s="1">
        <f>(SQRT(O48*O48-$D48*$D48))*TAN(AA48-U48-$B$1)</f>
        <v>0.60263517884077999</v>
      </c>
      <c r="K48" s="1"/>
      <c r="L48" s="1"/>
      <c r="M48" s="1"/>
      <c r="N48" s="1"/>
      <c r="O48" s="1">
        <v>3</v>
      </c>
      <c r="Q48" s="1"/>
      <c r="R48" s="1"/>
      <c r="S48" s="1"/>
      <c r="T48" s="1"/>
      <c r="U48" s="1">
        <f>ATAN($E$1/O48)</f>
        <v>1.7664829023129453E-2</v>
      </c>
      <c r="W48" s="1"/>
      <c r="X48" s="1"/>
      <c r="Y48" s="1"/>
      <c r="Z48" s="1"/>
      <c r="AA48" s="1">
        <f>ASIN($D48/O48)</f>
        <v>0.26198673079749396</v>
      </c>
    </row>
    <row r="49" spans="4:27">
      <c r="D49" s="1">
        <v>1.5</v>
      </c>
      <c r="E49" s="1"/>
      <c r="F49" s="1"/>
      <c r="G49" s="1"/>
      <c r="H49" s="1">
        <f>(SQRT(N49*N49-$D49*$D49))*TAN(Z49-T49-$B$1)</f>
        <v>1.308849074328799</v>
      </c>
      <c r="I49" s="1"/>
      <c r="K49" s="1"/>
      <c r="L49" s="1"/>
      <c r="M49" s="1"/>
      <c r="N49" s="1">
        <v>3</v>
      </c>
      <c r="O49" s="1"/>
      <c r="Q49" s="1"/>
      <c r="R49" s="1"/>
      <c r="S49" s="1"/>
      <c r="T49" s="1">
        <f>ATAN($E$1/N49)</f>
        <v>1.7664829023129453E-2</v>
      </c>
      <c r="U49" s="1"/>
      <c r="W49" s="1"/>
      <c r="X49" s="1"/>
      <c r="Y49" s="1"/>
      <c r="Z49" s="1">
        <f>ASIN($D49/N49)</f>
        <v>0.52359877559829893</v>
      </c>
      <c r="AA49" s="1"/>
    </row>
    <row r="50" spans="4:27">
      <c r="D50" s="1">
        <v>2.121</v>
      </c>
      <c r="E50" s="1"/>
      <c r="F50" s="1"/>
      <c r="G50" s="1">
        <f>(SQRT(M50*M50-$D50*$D50))*TAN(Y50-S50-$B$1)</f>
        <v>1.8922487829632011</v>
      </c>
      <c r="H50" s="1"/>
      <c r="I50" s="1"/>
      <c r="K50" s="1"/>
      <c r="L50" s="1"/>
      <c r="M50" s="1">
        <f>SQRT(G$39*G$39+$D50*$D50)</f>
        <v>2.9995469657933347</v>
      </c>
      <c r="N50" s="1"/>
      <c r="O50" s="1"/>
      <c r="Q50" s="1"/>
      <c r="R50" s="1"/>
      <c r="S50" s="1">
        <f>ATAN($E$1/M50)</f>
        <v>1.766749646151182E-2</v>
      </c>
      <c r="T50" s="1"/>
      <c r="U50" s="1"/>
      <c r="W50" s="1"/>
      <c r="X50" s="1"/>
      <c r="Y50" s="1">
        <f>ASIN($D50/M50)</f>
        <v>0.78539816339744828</v>
      </c>
      <c r="Z50" s="1"/>
      <c r="AA50" s="1"/>
    </row>
    <row r="51" spans="4:27">
      <c r="D51" s="1">
        <v>2.5979999999999999</v>
      </c>
      <c r="E51" s="1"/>
      <c r="F51" s="1">
        <f>(SQRT(L51*L51-$D51*$D51))*TAN(X51-R51-$B$1)</f>
        <v>2.2867729714130798</v>
      </c>
      <c r="G51" s="1"/>
      <c r="H51" s="1"/>
      <c r="I51" s="1"/>
      <c r="K51" s="1"/>
      <c r="L51" s="1">
        <v>3</v>
      </c>
      <c r="M51" s="1"/>
      <c r="N51" s="1"/>
      <c r="O51" s="1"/>
      <c r="Q51" s="1"/>
      <c r="R51" s="1">
        <f>ATAN($E$1/L51)</f>
        <v>1.7664829023129453E-2</v>
      </c>
      <c r="S51" s="1"/>
      <c r="T51" s="1"/>
      <c r="U51" s="1"/>
      <c r="W51" s="1"/>
      <c r="X51" s="1">
        <f>ASIN($D51/L51)</f>
        <v>1.0471467458630677</v>
      </c>
      <c r="Y51" s="1"/>
      <c r="Z51" s="1"/>
      <c r="AA51" s="1"/>
    </row>
    <row r="52" spans="4:27">
      <c r="D52" s="1">
        <v>2.8980000000000001</v>
      </c>
      <c r="E52" s="1">
        <f>(SQRT(K52*K52-$D52*$D52))*TAN(W52-Q52-$B$1)</f>
        <v>2.3527553525566822</v>
      </c>
      <c r="F52" s="1"/>
      <c r="G52" s="1"/>
      <c r="H52" s="1"/>
      <c r="I52" s="1"/>
      <c r="K52" s="1">
        <v>3</v>
      </c>
      <c r="L52" s="1"/>
      <c r="M52" s="1"/>
      <c r="N52" s="1"/>
      <c r="O52" s="1"/>
      <c r="Q52" s="1">
        <f>ATAN($E$1/K52)</f>
        <v>1.7664829023129453E-2</v>
      </c>
      <c r="R52" s="1"/>
      <c r="S52" s="1"/>
      <c r="T52" s="1"/>
      <c r="U52" s="1"/>
      <c r="W52" s="1">
        <f>ASIN($D52/K52)</f>
        <v>1.3092836776345886</v>
      </c>
      <c r="X52" s="1"/>
      <c r="Y52" s="1"/>
      <c r="Z52" s="1"/>
      <c r="AA52" s="1"/>
    </row>
  </sheetData>
  <pageMargins left="0.7" right="0.7" top="0.78740157499999996" bottom="0.78740157499999996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AV89"/>
  <sheetViews>
    <sheetView topLeftCell="L37" workbookViewId="0">
      <selection activeCell="U84" sqref="U84"/>
    </sheetView>
  </sheetViews>
  <sheetFormatPr baseColWidth="10" defaultRowHeight="15"/>
  <cols>
    <col min="1" max="21" width="5.7109375" customWidth="1"/>
    <col min="22" max="22" width="5.7109375" style="1" customWidth="1"/>
    <col min="23" max="43" width="5.7109375" customWidth="1"/>
  </cols>
  <sheetData>
    <row r="1" spans="2:40">
      <c r="U1" s="182" t="s">
        <v>304</v>
      </c>
      <c r="V1" s="151"/>
      <c r="X1" s="181" t="s">
        <v>290</v>
      </c>
      <c r="Y1" s="150"/>
      <c r="Z1" s="150"/>
      <c r="AA1" s="150"/>
      <c r="AB1" s="150"/>
    </row>
    <row r="2" spans="2:40">
      <c r="B2" s="76" t="s">
        <v>165</v>
      </c>
      <c r="C2" s="145" t="s">
        <v>233</v>
      </c>
      <c r="D2" s="177"/>
      <c r="E2" s="177"/>
      <c r="F2" s="177"/>
      <c r="G2" s="177"/>
      <c r="H2" s="177"/>
      <c r="I2" s="171" t="s">
        <v>232</v>
      </c>
      <c r="J2" s="172"/>
      <c r="K2" s="172"/>
      <c r="L2" s="172"/>
      <c r="M2" s="172"/>
      <c r="N2" s="173"/>
      <c r="U2" s="54">
        <v>3</v>
      </c>
      <c r="V2" s="100" t="s">
        <v>305</v>
      </c>
      <c r="AF2" s="54">
        <v>2</v>
      </c>
      <c r="AG2" s="100" t="s">
        <v>305</v>
      </c>
    </row>
    <row r="3" spans="2:40">
      <c r="B3" s="53" t="s">
        <v>101</v>
      </c>
      <c r="C3" s="150" t="s">
        <v>104</v>
      </c>
      <c r="D3" s="151"/>
      <c r="E3" s="151"/>
      <c r="F3" s="151"/>
      <c r="G3" s="151"/>
      <c r="H3" s="151"/>
      <c r="I3" s="151"/>
      <c r="J3" s="151"/>
      <c r="K3" s="151"/>
      <c r="L3" s="151"/>
      <c r="M3" s="151"/>
      <c r="N3" s="151"/>
      <c r="U3" s="16" t="s">
        <v>279</v>
      </c>
      <c r="V3" s="15" t="s">
        <v>292</v>
      </c>
      <c r="W3" s="15" t="s">
        <v>164</v>
      </c>
      <c r="X3" s="15" t="s">
        <v>286</v>
      </c>
      <c r="Y3" s="15" t="s">
        <v>287</v>
      </c>
      <c r="Z3" s="15" t="s">
        <v>284</v>
      </c>
      <c r="AA3" s="15" t="s">
        <v>285</v>
      </c>
      <c r="AB3" s="104" t="s">
        <v>303</v>
      </c>
      <c r="AC3" s="102"/>
      <c r="AF3" s="16" t="s">
        <v>279</v>
      </c>
      <c r="AG3" s="15" t="s">
        <v>292</v>
      </c>
      <c r="AH3" s="15" t="s">
        <v>164</v>
      </c>
      <c r="AI3" s="15" t="s">
        <v>286</v>
      </c>
      <c r="AJ3" s="15" t="s">
        <v>287</v>
      </c>
      <c r="AK3" s="15" t="s">
        <v>284</v>
      </c>
      <c r="AL3" s="15" t="s">
        <v>285</v>
      </c>
      <c r="AM3" s="104" t="s">
        <v>303</v>
      </c>
      <c r="AN3" s="102"/>
    </row>
    <row r="4" spans="2:40" ht="15" customHeight="1">
      <c r="B4" s="53" t="s">
        <v>88</v>
      </c>
      <c r="C4" s="31" t="s">
        <v>236</v>
      </c>
      <c r="D4" s="31" t="s">
        <v>235</v>
      </c>
      <c r="E4" s="31" t="s">
        <v>234</v>
      </c>
      <c r="F4" s="31" t="s">
        <v>237</v>
      </c>
      <c r="G4" s="31" t="s">
        <v>238</v>
      </c>
      <c r="H4" s="31" t="s">
        <v>239</v>
      </c>
      <c r="I4" s="31" t="s">
        <v>240</v>
      </c>
      <c r="J4" s="15" t="s">
        <v>241</v>
      </c>
      <c r="K4" s="31" t="s">
        <v>242</v>
      </c>
      <c r="L4" s="15" t="s">
        <v>243</v>
      </c>
      <c r="M4" s="31" t="s">
        <v>244</v>
      </c>
      <c r="N4" s="15" t="s">
        <v>245</v>
      </c>
      <c r="U4" s="106" t="s">
        <v>280</v>
      </c>
      <c r="V4" s="15">
        <v>0</v>
      </c>
      <c r="W4" s="15">
        <v>1.587</v>
      </c>
      <c r="X4" s="15">
        <v>-0.59</v>
      </c>
      <c r="Y4" s="15">
        <v>-1.008</v>
      </c>
      <c r="Z4" s="15">
        <f>SQRT(U$2*U$2-AA4*AA4)</f>
        <v>0.77645713530756111</v>
      </c>
      <c r="AA4" s="15">
        <f>U$2*SIN(75/180*PI())</f>
        <v>2.897777478867205</v>
      </c>
      <c r="AB4" s="180" t="s">
        <v>289</v>
      </c>
      <c r="AC4" s="103">
        <v>3</v>
      </c>
      <c r="AF4" s="106" t="s">
        <v>280</v>
      </c>
      <c r="AG4" s="15">
        <v>0</v>
      </c>
      <c r="AH4" s="15">
        <v>1.0009999999999999</v>
      </c>
      <c r="AI4" s="15">
        <v>-0.47899999999999998</v>
      </c>
      <c r="AJ4" s="15">
        <v>-0.86</v>
      </c>
      <c r="AK4" s="15">
        <f>SQRT(AF$2*AF$2-AL4*AL4)</f>
        <v>0.51763809020504115</v>
      </c>
      <c r="AL4" s="15">
        <f>AF$2*SIN(75/180*PI())</f>
        <v>1.9318516525781366</v>
      </c>
      <c r="AM4" s="180" t="s">
        <v>289</v>
      </c>
      <c r="AN4" s="103">
        <v>3</v>
      </c>
    </row>
    <row r="5" spans="2:40">
      <c r="B5" s="16">
        <v>0.5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U5" s="106" t="s">
        <v>281</v>
      </c>
      <c r="V5" s="15">
        <v>0</v>
      </c>
      <c r="W5" s="15">
        <v>1.577</v>
      </c>
      <c r="X5" s="15">
        <v>-1.105</v>
      </c>
      <c r="Y5" s="15">
        <v>-0.751</v>
      </c>
      <c r="Z5" s="15">
        <f t="shared" ref="Z5:Z13" si="0">SQRT(U$2*U$2-AA5*AA5)</f>
        <v>1.5</v>
      </c>
      <c r="AA5" s="15">
        <f>U$2*SIN(60/180*PI())</f>
        <v>2.598076211353316</v>
      </c>
      <c r="AB5" s="180"/>
      <c r="AF5" s="106" t="s">
        <v>281</v>
      </c>
      <c r="AG5" s="15">
        <v>0</v>
      </c>
      <c r="AH5" s="15">
        <v>0.98899999999999999</v>
      </c>
      <c r="AI5" s="15">
        <v>-0.89</v>
      </c>
      <c r="AJ5" s="15">
        <v>-0.66100000000000003</v>
      </c>
      <c r="AK5" s="15">
        <f t="shared" ref="AK5:AK13" si="1">SQRT(AF$2*AF$2-AL5*AL5)</f>
        <v>1.0000000000000002</v>
      </c>
      <c r="AL5" s="15">
        <f>AF$2*SIN(60/180*PI())</f>
        <v>1.7320508075688772</v>
      </c>
      <c r="AM5" s="180"/>
    </row>
    <row r="6" spans="2:40">
      <c r="B6" s="16">
        <v>1</v>
      </c>
      <c r="C6" s="31">
        <v>-0.35</v>
      </c>
      <c r="D6" s="31">
        <v>-0.32</v>
      </c>
      <c r="E6" s="31">
        <v>-0.27600000000000002</v>
      </c>
      <c r="F6" s="31">
        <v>-0.224</v>
      </c>
      <c r="G6" s="31">
        <v>-0.16</v>
      </c>
      <c r="H6" s="31">
        <v>8.5999999999999993E-2</v>
      </c>
      <c r="I6" s="31">
        <v>9.4E-2</v>
      </c>
      <c r="J6" s="31">
        <v>0.19400000000000001</v>
      </c>
      <c r="K6" s="31">
        <v>0.318</v>
      </c>
      <c r="L6" s="31">
        <v>0.46899999999999997</v>
      </c>
      <c r="M6" s="31">
        <v>0.67900000000000005</v>
      </c>
      <c r="N6" s="31">
        <v>0.999</v>
      </c>
      <c r="U6" s="106" t="s">
        <v>245</v>
      </c>
      <c r="V6" s="15">
        <v>0</v>
      </c>
      <c r="W6" s="15">
        <v>1.536</v>
      </c>
      <c r="X6" s="15">
        <v>-1.49</v>
      </c>
      <c r="Y6" s="15">
        <v>-0.41</v>
      </c>
      <c r="Z6" s="15">
        <f t="shared" si="0"/>
        <v>2.1213203435596428</v>
      </c>
      <c r="AA6" s="15">
        <f>U$2*SIN(45/180*PI())</f>
        <v>2.1213203435596424</v>
      </c>
      <c r="AB6" s="180"/>
      <c r="AF6" s="106" t="s">
        <v>245</v>
      </c>
      <c r="AG6" s="15">
        <v>0</v>
      </c>
      <c r="AH6" s="15">
        <v>0.95499999999999996</v>
      </c>
      <c r="AI6" s="15">
        <v>-1.2090000000000001</v>
      </c>
      <c r="AJ6" s="15">
        <v>-0.39200000000000002</v>
      </c>
      <c r="AK6" s="15">
        <f t="shared" si="1"/>
        <v>1.4142135623730951</v>
      </c>
      <c r="AL6" s="15">
        <f>AF$2*SIN(45/180*PI())</f>
        <v>1.4142135623730949</v>
      </c>
      <c r="AM6" s="180"/>
    </row>
    <row r="7" spans="2:40">
      <c r="B7" s="16">
        <v>1.5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U7" s="106" t="s">
        <v>243</v>
      </c>
      <c r="V7" s="15">
        <v>0</v>
      </c>
      <c r="W7" s="15">
        <v>1.454</v>
      </c>
      <c r="X7" s="15">
        <v>-1.7589999999999999</v>
      </c>
      <c r="Y7" s="15">
        <v>-0.03</v>
      </c>
      <c r="Z7" s="15">
        <f t="shared" si="0"/>
        <v>2.598076211353316</v>
      </c>
      <c r="AA7" s="15">
        <f>U$2*SIN(30/180*PI())</f>
        <v>1.4999999999999998</v>
      </c>
      <c r="AB7" s="180"/>
      <c r="AF7" s="106" t="s">
        <v>243</v>
      </c>
      <c r="AG7" s="15">
        <v>0</v>
      </c>
      <c r="AH7" s="15">
        <v>0.89200000000000002</v>
      </c>
      <c r="AI7" s="15">
        <v>-1.4370000000000001</v>
      </c>
      <c r="AJ7" s="15">
        <v>-8.8999999999999996E-2</v>
      </c>
      <c r="AK7" s="15">
        <f t="shared" si="1"/>
        <v>1.7320508075688772</v>
      </c>
      <c r="AL7" s="15">
        <f>AF$2*SIN(30/180*PI())</f>
        <v>0.99999999999999989</v>
      </c>
      <c r="AM7" s="180"/>
    </row>
    <row r="8" spans="2:40">
      <c r="B8" s="16">
        <v>2</v>
      </c>
      <c r="C8" s="31">
        <v>-0.51600000000000001</v>
      </c>
      <c r="D8" s="31">
        <v>-0.45300000000000001</v>
      </c>
      <c r="E8" s="31">
        <v>-0.38200000000000001</v>
      </c>
      <c r="F8" s="31">
        <v>-0.30299999999999999</v>
      </c>
      <c r="G8" s="31">
        <v>-0.21</v>
      </c>
      <c r="H8" s="31">
        <v>0.115</v>
      </c>
      <c r="I8" s="31">
        <v>0.126</v>
      </c>
      <c r="J8" s="31">
        <v>0.27200000000000002</v>
      </c>
      <c r="K8" s="31">
        <v>0.45300000000000001</v>
      </c>
      <c r="L8" s="31">
        <v>0.68</v>
      </c>
      <c r="M8" s="31">
        <v>0.99399999999999999</v>
      </c>
      <c r="N8" s="31">
        <v>1.4339999999999999</v>
      </c>
      <c r="U8" s="106" t="s">
        <v>241</v>
      </c>
      <c r="V8" s="15">
        <v>0</v>
      </c>
      <c r="W8" s="15"/>
      <c r="X8" s="15"/>
      <c r="Y8" s="15"/>
      <c r="Z8" s="15">
        <f t="shared" si="0"/>
        <v>2.897777478867205</v>
      </c>
      <c r="AA8" s="15">
        <f>U$2*SIN(15/180*PI())</f>
        <v>0.77645713530756222</v>
      </c>
      <c r="AB8" s="180"/>
      <c r="AF8" s="106" t="s">
        <v>241</v>
      </c>
      <c r="AG8" s="15">
        <v>0</v>
      </c>
      <c r="AH8" s="15"/>
      <c r="AI8" s="15"/>
      <c r="AJ8" s="15"/>
      <c r="AK8" s="15">
        <f t="shared" si="1"/>
        <v>1.9318516525781366</v>
      </c>
      <c r="AL8" s="15">
        <f>AF$2*SIN(15/180*PI())</f>
        <v>0.51763809020504148</v>
      </c>
      <c r="AM8" s="180"/>
    </row>
    <row r="9" spans="2:40" ht="15" customHeight="1">
      <c r="B9" s="16">
        <v>2.5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U9" s="107" t="s">
        <v>238</v>
      </c>
      <c r="V9" s="15">
        <v>0</v>
      </c>
      <c r="W9" s="15">
        <v>0.39200000000000002</v>
      </c>
      <c r="X9" s="15">
        <v>-2.633</v>
      </c>
      <c r="Y9" s="15">
        <v>1.0620000000000001</v>
      </c>
      <c r="Z9" s="15">
        <f t="shared" si="0"/>
        <v>2.897777478867205</v>
      </c>
      <c r="AA9" s="15">
        <f>U$2*SIN(-15/180*PI())</f>
        <v>-0.77645713530756222</v>
      </c>
      <c r="AB9" s="176" t="s">
        <v>288</v>
      </c>
      <c r="AF9" s="107" t="s">
        <v>238</v>
      </c>
      <c r="AG9" s="15">
        <v>0</v>
      </c>
      <c r="AH9" s="15">
        <v>0.23</v>
      </c>
      <c r="AI9" s="15">
        <v>-2.2559999999999998</v>
      </c>
      <c r="AJ9" s="15">
        <v>0.873</v>
      </c>
      <c r="AK9" s="15">
        <f t="shared" si="1"/>
        <v>1.9318516525781366</v>
      </c>
      <c r="AL9" s="15">
        <f>AF$2*SIN(-15/180*PI())</f>
        <v>-0.51763809020504148</v>
      </c>
      <c r="AM9" s="176" t="s">
        <v>288</v>
      </c>
    </row>
    <row r="10" spans="2:40">
      <c r="B10" s="16">
        <v>3</v>
      </c>
      <c r="C10" s="31">
        <v>-0.68400000000000005</v>
      </c>
      <c r="D10" s="31">
        <v>-0.59799999999999998</v>
      </c>
      <c r="E10" s="31">
        <v>-0.5</v>
      </c>
      <c r="F10" s="31">
        <v>-0.39800000000000002</v>
      </c>
      <c r="G10" s="31">
        <v>-0.28299999999999997</v>
      </c>
      <c r="H10" s="31">
        <v>0.155</v>
      </c>
      <c r="I10" s="31">
        <v>0.17</v>
      </c>
      <c r="J10" s="31">
        <v>0.372</v>
      </c>
      <c r="K10" s="31">
        <v>0.623</v>
      </c>
      <c r="L10" s="31">
        <v>0.94299999999999995</v>
      </c>
      <c r="M10" s="31">
        <v>1.3620000000000001</v>
      </c>
      <c r="N10" s="31">
        <v>1.931</v>
      </c>
      <c r="U10" s="107" t="s">
        <v>234</v>
      </c>
      <c r="V10" s="15">
        <v>0</v>
      </c>
      <c r="W10" s="15">
        <v>0.53600000000000003</v>
      </c>
      <c r="X10" s="15">
        <v>-2.0950000000000002</v>
      </c>
      <c r="Y10" s="15">
        <v>1.6419999999999999</v>
      </c>
      <c r="Z10" s="15">
        <f t="shared" si="0"/>
        <v>2.598076211353316</v>
      </c>
      <c r="AA10" s="15">
        <f>U$2*SIN(-30/180*PI())</f>
        <v>-1.4999999999999998</v>
      </c>
      <c r="AB10" s="176"/>
      <c r="AF10" s="107" t="s">
        <v>234</v>
      </c>
      <c r="AG10" s="15">
        <v>0</v>
      </c>
      <c r="AH10" s="15">
        <v>0.316</v>
      </c>
      <c r="AI10" s="15">
        <v>-1.79</v>
      </c>
      <c r="AJ10" s="15">
        <v>1.36</v>
      </c>
      <c r="AK10" s="15">
        <f t="shared" si="1"/>
        <v>1.7320508075688772</v>
      </c>
      <c r="AL10" s="15">
        <f>AF$2*SIN(-30/180*PI())</f>
        <v>-0.99999999999999989</v>
      </c>
      <c r="AM10" s="176"/>
    </row>
    <row r="11" spans="2:40">
      <c r="B11" s="16">
        <v>3.5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U11" s="107" t="s">
        <v>236</v>
      </c>
      <c r="V11" s="15">
        <v>0</v>
      </c>
      <c r="W11" s="15">
        <v>0.56000000000000005</v>
      </c>
      <c r="X11" s="15">
        <v>-1.6819999999999999</v>
      </c>
      <c r="Y11" s="15">
        <v>2.1259999999999999</v>
      </c>
      <c r="Z11" s="15">
        <f t="shared" si="0"/>
        <v>2.1213203435596428</v>
      </c>
      <c r="AA11" s="15">
        <f>U$2*SIN(-45/180*PI())</f>
        <v>-2.1213203435596424</v>
      </c>
      <c r="AB11" s="176"/>
      <c r="AF11" s="107" t="s">
        <v>236</v>
      </c>
      <c r="AG11" s="15">
        <v>0</v>
      </c>
      <c r="AH11" s="15">
        <v>0.32600000000000001</v>
      </c>
      <c r="AI11" s="15">
        <v>-1.4419999999999999</v>
      </c>
      <c r="AJ11" s="15">
        <v>1.7749999999999999</v>
      </c>
      <c r="AK11" s="15">
        <f t="shared" si="1"/>
        <v>1.4142135623730951</v>
      </c>
      <c r="AL11" s="15">
        <f>AF$2*SIN(-45/180*PI())</f>
        <v>-1.4142135623730949</v>
      </c>
      <c r="AM11" s="176"/>
    </row>
    <row r="12" spans="2:40">
      <c r="B12" s="16">
        <v>4</v>
      </c>
      <c r="C12" s="31">
        <v>-0.871</v>
      </c>
      <c r="D12" s="31">
        <v>-0.76500000000000001</v>
      </c>
      <c r="E12" s="31">
        <v>-0.64500000000000002</v>
      </c>
      <c r="F12" s="31">
        <v>-0.51500000000000001</v>
      </c>
      <c r="G12" s="31">
        <v>-0.37</v>
      </c>
      <c r="H12" s="31">
        <v>0.193</v>
      </c>
      <c r="I12" s="31">
        <v>0.223</v>
      </c>
      <c r="J12" s="31">
        <v>0.48699999999999999</v>
      </c>
      <c r="K12" s="31">
        <v>0.81699999999999995</v>
      </c>
      <c r="L12" s="31">
        <v>1.23</v>
      </c>
      <c r="M12" s="31">
        <v>1.7609999999999999</v>
      </c>
      <c r="N12" s="31">
        <v>2.4590000000000001</v>
      </c>
      <c r="U12" s="107" t="s">
        <v>282</v>
      </c>
      <c r="V12" s="15">
        <v>0</v>
      </c>
      <c r="W12" s="15">
        <v>0.52900000000000003</v>
      </c>
      <c r="X12" s="15">
        <v>-1.2110000000000001</v>
      </c>
      <c r="Y12" s="15">
        <v>2.5249999999999999</v>
      </c>
      <c r="Z12" s="15">
        <f t="shared" si="0"/>
        <v>1.5</v>
      </c>
      <c r="AA12" s="15">
        <f>U$2*SIN(-60/180*PI())</f>
        <v>-2.598076211353316</v>
      </c>
      <c r="AB12" s="176"/>
      <c r="AF12" s="107" t="s">
        <v>282</v>
      </c>
      <c r="AG12" s="15">
        <v>0</v>
      </c>
      <c r="AH12" s="15">
        <v>0.309</v>
      </c>
      <c r="AI12" s="15">
        <v>-1.04</v>
      </c>
      <c r="AJ12" s="15">
        <v>2.1230000000000002</v>
      </c>
      <c r="AK12" s="15">
        <f t="shared" si="1"/>
        <v>1.0000000000000002</v>
      </c>
      <c r="AL12" s="15">
        <f>AF$2*SIN(-60/180*PI())</f>
        <v>-1.7320508075688772</v>
      </c>
      <c r="AM12" s="176"/>
    </row>
    <row r="13" spans="2:40">
      <c r="B13" s="16">
        <v>4.5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U13" s="107" t="s">
        <v>283</v>
      </c>
      <c r="V13" s="15">
        <v>0</v>
      </c>
      <c r="W13" s="15">
        <v>0.51200000000000001</v>
      </c>
      <c r="X13" s="15">
        <v>-0.63800000000000001</v>
      </c>
      <c r="Y13" s="15">
        <v>2.8010000000000002</v>
      </c>
      <c r="Z13" s="15">
        <f t="shared" si="0"/>
        <v>0.77645713530756111</v>
      </c>
      <c r="AA13" s="15">
        <f>U$2*SIN(-75/180*PI())</f>
        <v>-2.897777478867205</v>
      </c>
      <c r="AB13" s="176"/>
      <c r="AF13" s="107" t="s">
        <v>283</v>
      </c>
      <c r="AG13" s="15">
        <v>0</v>
      </c>
      <c r="AH13" s="15">
        <v>0.307</v>
      </c>
      <c r="AI13" s="15">
        <v>-0.54700000000000004</v>
      </c>
      <c r="AJ13" s="15">
        <v>2.3650000000000002</v>
      </c>
      <c r="AK13" s="15">
        <f t="shared" si="1"/>
        <v>0.51763809020504115</v>
      </c>
      <c r="AL13" s="15">
        <f>AF$2*SIN(-75/180*PI())</f>
        <v>-1.9318516525781366</v>
      </c>
      <c r="AM13" s="176"/>
    </row>
    <row r="14" spans="2:40">
      <c r="B14" s="16">
        <v>5</v>
      </c>
      <c r="C14" s="31">
        <v>-1.0820000000000001</v>
      </c>
      <c r="D14" s="31">
        <v>-0.93899999999999995</v>
      </c>
      <c r="E14" s="31">
        <v>-0.79500000000000004</v>
      </c>
      <c r="F14" s="31">
        <v>-0.63300000000000001</v>
      </c>
      <c r="G14" s="31">
        <v>-0.45900000000000002</v>
      </c>
      <c r="H14" s="31">
        <v>0.25900000000000001</v>
      </c>
      <c r="I14" s="31">
        <v>0.27400000000000002</v>
      </c>
      <c r="J14" s="31">
        <v>0.60899999999999999</v>
      </c>
      <c r="K14" s="31">
        <v>1.02</v>
      </c>
      <c r="L14" s="31">
        <v>1.53</v>
      </c>
      <c r="M14" s="31">
        <v>2.181</v>
      </c>
      <c r="N14" s="31">
        <v>3.0009999999999999</v>
      </c>
      <c r="AG14" s="1"/>
    </row>
    <row r="15" spans="2:40" ht="15" customHeight="1">
      <c r="C15" s="178" t="s">
        <v>161</v>
      </c>
      <c r="D15" s="178"/>
      <c r="E15" s="178"/>
      <c r="F15" s="178"/>
      <c r="G15" s="178"/>
      <c r="H15" s="178"/>
      <c r="I15" s="179"/>
      <c r="J15" s="179"/>
      <c r="K15" s="179"/>
      <c r="L15" s="179"/>
      <c r="M15" s="179"/>
      <c r="N15" s="179"/>
      <c r="U15" s="106" t="s">
        <v>280</v>
      </c>
      <c r="V15" s="15">
        <v>0</v>
      </c>
      <c r="W15" s="15">
        <v>0.78100000000000003</v>
      </c>
      <c r="X15" s="15">
        <v>-0.54400000000000004</v>
      </c>
      <c r="Y15" s="15">
        <v>-1.48</v>
      </c>
      <c r="Z15" s="15">
        <f t="shared" ref="Z15:AA24" si="2">Z4</f>
        <v>0.77645713530756111</v>
      </c>
      <c r="AA15" s="15">
        <f t="shared" si="2"/>
        <v>2.897777478867205</v>
      </c>
      <c r="AB15" s="180" t="s">
        <v>289</v>
      </c>
      <c r="AC15" s="103">
        <v>2</v>
      </c>
      <c r="AF15" s="106" t="s">
        <v>280</v>
      </c>
      <c r="AG15" s="15">
        <v>0</v>
      </c>
      <c r="AH15" s="15">
        <v>0.47299999999999998</v>
      </c>
      <c r="AI15" s="15">
        <v>-0.44600000000000001</v>
      </c>
      <c r="AJ15" s="15">
        <v>-1.254</v>
      </c>
      <c r="AK15" s="15">
        <f t="shared" ref="AK15:AL24" si="3">AK4</f>
        <v>0.51763809020504115</v>
      </c>
      <c r="AL15" s="15">
        <f t="shared" si="3"/>
        <v>1.9318516525781366</v>
      </c>
      <c r="AM15" s="180" t="s">
        <v>289</v>
      </c>
      <c r="AN15" s="103">
        <v>2</v>
      </c>
    </row>
    <row r="16" spans="2:40">
      <c r="U16" s="106" t="s">
        <v>281</v>
      </c>
      <c r="V16" s="15">
        <v>0</v>
      </c>
      <c r="W16" s="15">
        <v>0.76200000000000001</v>
      </c>
      <c r="X16" s="15">
        <v>-1.0429999999999999</v>
      </c>
      <c r="Y16" s="15">
        <v>-1.2749999999999999</v>
      </c>
      <c r="Z16" s="15">
        <f t="shared" si="2"/>
        <v>1.5</v>
      </c>
      <c r="AA16" s="15">
        <f t="shared" si="2"/>
        <v>2.598076211353316</v>
      </c>
      <c r="AB16" s="180"/>
      <c r="AF16" s="106" t="s">
        <v>281</v>
      </c>
      <c r="AG16" s="15">
        <v>0</v>
      </c>
      <c r="AH16" s="15">
        <v>0.46400000000000002</v>
      </c>
      <c r="AI16" s="15">
        <v>-0.86</v>
      </c>
      <c r="AJ16" s="15">
        <v>-1.089</v>
      </c>
      <c r="AK16" s="15">
        <f t="shared" si="3"/>
        <v>1.0000000000000002</v>
      </c>
      <c r="AL16" s="15">
        <f t="shared" si="3"/>
        <v>1.7320508075688772</v>
      </c>
      <c r="AM16" s="180"/>
    </row>
    <row r="17" spans="21:40">
      <c r="U17" s="106" t="s">
        <v>245</v>
      </c>
      <c r="V17" s="15">
        <v>0</v>
      </c>
      <c r="W17" s="15">
        <v>0.73399999999999999</v>
      </c>
      <c r="X17" s="15">
        <v>-1.468</v>
      </c>
      <c r="Y17" s="15">
        <v>-0.95899999999999996</v>
      </c>
      <c r="Z17" s="15">
        <f t="shared" si="2"/>
        <v>2.1213203435596428</v>
      </c>
      <c r="AA17" s="15">
        <f t="shared" si="2"/>
        <v>2.1213203435596424</v>
      </c>
      <c r="AB17" s="180"/>
      <c r="AF17" s="106" t="s">
        <v>245</v>
      </c>
      <c r="AG17" s="15">
        <v>0</v>
      </c>
      <c r="AH17" s="15">
        <v>0.44400000000000001</v>
      </c>
      <c r="AI17" s="15">
        <v>-1.2150000000000001</v>
      </c>
      <c r="AJ17" s="15">
        <v>-0.83299999999999996</v>
      </c>
      <c r="AK17" s="15">
        <f t="shared" si="3"/>
        <v>1.4142135623730951</v>
      </c>
      <c r="AL17" s="15">
        <f t="shared" si="3"/>
        <v>1.4142135623730949</v>
      </c>
      <c r="AM17" s="180"/>
    </row>
    <row r="18" spans="21:40">
      <c r="U18" s="106" t="s">
        <v>243</v>
      </c>
      <c r="V18" s="15">
        <v>0</v>
      </c>
      <c r="W18" s="15">
        <v>0.68799999999999994</v>
      </c>
      <c r="X18" s="15">
        <v>-1.794</v>
      </c>
      <c r="Y18" s="15">
        <v>-0.56000000000000005</v>
      </c>
      <c r="Z18" s="15">
        <f t="shared" si="2"/>
        <v>2.598076211353316</v>
      </c>
      <c r="AA18" s="15">
        <f t="shared" si="2"/>
        <v>1.4999999999999998</v>
      </c>
      <c r="AB18" s="180"/>
      <c r="AF18" s="106" t="s">
        <v>243</v>
      </c>
      <c r="AG18" s="15">
        <v>0</v>
      </c>
      <c r="AH18" s="15">
        <v>0.41399999999999998</v>
      </c>
      <c r="AI18" s="15">
        <v>-1.494</v>
      </c>
      <c r="AJ18" s="15">
        <v>-0.505</v>
      </c>
      <c r="AK18" s="15">
        <f t="shared" si="3"/>
        <v>1.7320508075688772</v>
      </c>
      <c r="AL18" s="15">
        <f t="shared" si="3"/>
        <v>0.99999999999999989</v>
      </c>
      <c r="AM18" s="180"/>
    </row>
    <row r="19" spans="21:40">
      <c r="U19" s="106" t="s">
        <v>241</v>
      </c>
      <c r="V19" s="15">
        <v>0</v>
      </c>
      <c r="W19" s="15">
        <v>0.63600000000000001</v>
      </c>
      <c r="X19" s="15">
        <v>-2.016</v>
      </c>
      <c r="Y19" s="15">
        <v>-9.7000000000000003E-2</v>
      </c>
      <c r="Z19" s="15">
        <f t="shared" si="2"/>
        <v>2.897777478867205</v>
      </c>
      <c r="AA19" s="15">
        <f t="shared" si="2"/>
        <v>0.77645713530756222</v>
      </c>
      <c r="AB19" s="180"/>
      <c r="AF19" s="106" t="s">
        <v>241</v>
      </c>
      <c r="AG19" s="15">
        <v>0</v>
      </c>
      <c r="AH19" s="15">
        <v>0.376</v>
      </c>
      <c r="AI19" s="15">
        <v>-1.6870000000000001</v>
      </c>
      <c r="AJ19" s="15">
        <v>-0.123</v>
      </c>
      <c r="AK19" s="15">
        <f t="shared" si="3"/>
        <v>1.9318516525781366</v>
      </c>
      <c r="AL19" s="15">
        <f t="shared" si="3"/>
        <v>0.51763809020504148</v>
      </c>
      <c r="AM19" s="180"/>
    </row>
    <row r="20" spans="21:40" ht="15" customHeight="1">
      <c r="U20" s="107" t="s">
        <v>238</v>
      </c>
      <c r="V20" s="15">
        <v>0</v>
      </c>
      <c r="W20" s="15">
        <v>0.33100000000000002</v>
      </c>
      <c r="X20" s="15">
        <v>-2.4119999999999999</v>
      </c>
      <c r="Y20" s="15">
        <v>0.92200000000000004</v>
      </c>
      <c r="Z20" s="15">
        <f t="shared" si="2"/>
        <v>2.897777478867205</v>
      </c>
      <c r="AA20" s="15">
        <f t="shared" si="2"/>
        <v>-0.77645713530756222</v>
      </c>
      <c r="AB20" s="176" t="s">
        <v>288</v>
      </c>
      <c r="AF20" s="107" t="s">
        <v>238</v>
      </c>
      <c r="AG20" s="15">
        <v>0</v>
      </c>
      <c r="AH20" s="15">
        <v>0.19700000000000001</v>
      </c>
      <c r="AI20" s="15">
        <v>-2.0550000000000002</v>
      </c>
      <c r="AJ20" s="15">
        <v>0.76100000000000001</v>
      </c>
      <c r="AK20" s="15">
        <f t="shared" si="3"/>
        <v>1.9318516525781366</v>
      </c>
      <c r="AL20" s="15">
        <f t="shared" si="3"/>
        <v>-0.51763809020504148</v>
      </c>
      <c r="AM20" s="176" t="s">
        <v>288</v>
      </c>
    </row>
    <row r="21" spans="21:40">
      <c r="U21" s="107" t="s">
        <v>234</v>
      </c>
      <c r="V21" s="15">
        <v>0</v>
      </c>
      <c r="W21" s="15">
        <v>0.41499999999999998</v>
      </c>
      <c r="X21" s="15">
        <v>-2</v>
      </c>
      <c r="Y21" s="15">
        <v>1.474</v>
      </c>
      <c r="Z21" s="15">
        <f t="shared" si="2"/>
        <v>2.598076211353316</v>
      </c>
      <c r="AA21" s="15">
        <f t="shared" si="2"/>
        <v>-1.4999999999999998</v>
      </c>
      <c r="AB21" s="176"/>
      <c r="AF21" s="107" t="s">
        <v>234</v>
      </c>
      <c r="AG21" s="15">
        <v>0</v>
      </c>
      <c r="AH21" s="15">
        <v>0.24199999999999999</v>
      </c>
      <c r="AI21" s="15">
        <v>-1.7050000000000001</v>
      </c>
      <c r="AJ21" s="15">
        <v>1.2230000000000001</v>
      </c>
      <c r="AK21" s="15">
        <f t="shared" si="3"/>
        <v>1.7320508075688772</v>
      </c>
      <c r="AL21" s="15">
        <f t="shared" si="3"/>
        <v>-0.99999999999999989</v>
      </c>
      <c r="AM21" s="176"/>
    </row>
    <row r="22" spans="21:40">
      <c r="U22" s="107" t="s">
        <v>236</v>
      </c>
      <c r="V22" s="15">
        <v>0</v>
      </c>
      <c r="W22" s="15">
        <v>0.41</v>
      </c>
      <c r="X22" s="15">
        <v>-1.6319999999999999</v>
      </c>
      <c r="Y22" s="15">
        <v>1.948</v>
      </c>
      <c r="Z22" s="15">
        <f t="shared" si="2"/>
        <v>2.1213203435596428</v>
      </c>
      <c r="AA22" s="15">
        <f t="shared" si="2"/>
        <v>-2.1213203435596424</v>
      </c>
      <c r="AB22" s="176"/>
      <c r="AF22" s="107" t="s">
        <v>236</v>
      </c>
      <c r="AG22" s="15">
        <v>0</v>
      </c>
      <c r="AH22" s="15">
        <v>0.23899999999999999</v>
      </c>
      <c r="AI22" s="15">
        <v>-1.395</v>
      </c>
      <c r="AJ22" s="15">
        <v>1.631</v>
      </c>
      <c r="AK22" s="15">
        <f t="shared" si="3"/>
        <v>1.4142135623730951</v>
      </c>
      <c r="AL22" s="15">
        <f t="shared" si="3"/>
        <v>-1.4142135623730949</v>
      </c>
      <c r="AM22" s="176"/>
    </row>
    <row r="23" spans="21:40">
      <c r="U23" s="107" t="s">
        <v>282</v>
      </c>
      <c r="V23" s="15">
        <v>0</v>
      </c>
      <c r="W23" s="15">
        <v>0.39100000000000001</v>
      </c>
      <c r="X23" s="15">
        <v>-1.173</v>
      </c>
      <c r="Y23" s="15">
        <v>2.3380000000000001</v>
      </c>
      <c r="Z23" s="15">
        <f t="shared" si="2"/>
        <v>1.5</v>
      </c>
      <c r="AA23" s="15">
        <f t="shared" si="2"/>
        <v>-2.598076211353316</v>
      </c>
      <c r="AB23" s="176"/>
      <c r="AF23" s="107" t="s">
        <v>282</v>
      </c>
      <c r="AG23" s="15">
        <v>0</v>
      </c>
      <c r="AH23" s="15">
        <v>0.23300000000000001</v>
      </c>
      <c r="AI23" s="15">
        <v>-1.002</v>
      </c>
      <c r="AJ23" s="15">
        <v>1.9690000000000001</v>
      </c>
      <c r="AK23" s="15">
        <f t="shared" si="3"/>
        <v>1.0000000000000002</v>
      </c>
      <c r="AL23" s="15">
        <f t="shared" si="3"/>
        <v>-1.7320508075688772</v>
      </c>
      <c r="AM23" s="176"/>
    </row>
    <row r="24" spans="21:40">
      <c r="U24" s="107" t="s">
        <v>283</v>
      </c>
      <c r="V24" s="15">
        <v>0</v>
      </c>
      <c r="W24" s="15">
        <v>0.38500000000000001</v>
      </c>
      <c r="X24" s="15">
        <v>-0.61399999999999999</v>
      </c>
      <c r="Y24" s="15">
        <v>2.5950000000000002</v>
      </c>
      <c r="Z24" s="15">
        <f t="shared" si="2"/>
        <v>0.77645713530756111</v>
      </c>
      <c r="AA24" s="15">
        <f t="shared" si="2"/>
        <v>-2.897777478867205</v>
      </c>
      <c r="AB24" s="176"/>
      <c r="AF24" s="107" t="s">
        <v>283</v>
      </c>
      <c r="AG24" s="15">
        <v>0</v>
      </c>
      <c r="AH24" s="15">
        <v>0.216</v>
      </c>
      <c r="AI24" s="15">
        <v>-0.52800000000000002</v>
      </c>
      <c r="AJ24" s="15">
        <v>2.19</v>
      </c>
      <c r="AK24" s="15">
        <f t="shared" si="3"/>
        <v>0.51763809020504115</v>
      </c>
      <c r="AL24" s="15">
        <f t="shared" si="3"/>
        <v>-1.9318516525781366</v>
      </c>
      <c r="AM24" s="176"/>
    </row>
    <row r="25" spans="21:40">
      <c r="AG25" s="1"/>
    </row>
    <row r="26" spans="21:40" ht="15" customHeight="1">
      <c r="U26" s="106" t="s">
        <v>280</v>
      </c>
      <c r="V26" s="15">
        <v>0</v>
      </c>
      <c r="W26" s="15">
        <v>0.3</v>
      </c>
      <c r="X26" s="15">
        <v>-0.54800000000000004</v>
      </c>
      <c r="Y26" s="15">
        <v>-1.829</v>
      </c>
      <c r="Z26" s="15">
        <f t="shared" ref="Z26:AA35" si="4">Z15</f>
        <v>0.77645713530756111</v>
      </c>
      <c r="AA26" s="15">
        <f t="shared" si="4"/>
        <v>2.897777478867205</v>
      </c>
      <c r="AB26" s="180" t="s">
        <v>289</v>
      </c>
      <c r="AC26" s="103">
        <v>1</v>
      </c>
      <c r="AF26" s="106" t="s">
        <v>280</v>
      </c>
      <c r="AG26" s="15">
        <v>0</v>
      </c>
      <c r="AH26" s="15">
        <v>0.183</v>
      </c>
      <c r="AI26" s="15">
        <v>-0.45900000000000002</v>
      </c>
      <c r="AJ26" s="15">
        <v>-1.5469999999999999</v>
      </c>
      <c r="AK26" s="15">
        <f t="shared" ref="AK26:AL35" si="5">AK15</f>
        <v>0.51763809020504115</v>
      </c>
      <c r="AL26" s="15">
        <f t="shared" si="5"/>
        <v>1.9318516525781366</v>
      </c>
      <c r="AM26" s="180" t="s">
        <v>289</v>
      </c>
      <c r="AN26" s="103">
        <v>1</v>
      </c>
    </row>
    <row r="27" spans="21:40">
      <c r="U27" s="106" t="s">
        <v>281</v>
      </c>
      <c r="V27" s="15">
        <v>0</v>
      </c>
      <c r="W27" s="15">
        <v>0.30299999999999999</v>
      </c>
      <c r="X27" s="15">
        <v>-1.0609999999999999</v>
      </c>
      <c r="Y27" s="15">
        <v>-1.623</v>
      </c>
      <c r="Z27" s="15">
        <f t="shared" si="4"/>
        <v>1.5</v>
      </c>
      <c r="AA27" s="15">
        <f t="shared" si="4"/>
        <v>2.598076211353316</v>
      </c>
      <c r="AB27" s="180"/>
      <c r="AF27" s="106" t="s">
        <v>281</v>
      </c>
      <c r="AG27" s="15">
        <v>0</v>
      </c>
      <c r="AH27" s="15">
        <v>0.17599999999999999</v>
      </c>
      <c r="AI27" s="15">
        <v>-0.88600000000000001</v>
      </c>
      <c r="AJ27" s="15">
        <v>-1.377</v>
      </c>
      <c r="AK27" s="15">
        <f t="shared" si="5"/>
        <v>1.0000000000000002</v>
      </c>
      <c r="AL27" s="15">
        <f t="shared" si="5"/>
        <v>1.7320508075688772</v>
      </c>
      <c r="AM27" s="180"/>
    </row>
    <row r="28" spans="21:40">
      <c r="U28" s="106" t="s">
        <v>245</v>
      </c>
      <c r="V28" s="15">
        <v>0</v>
      </c>
      <c r="W28" s="15">
        <v>0.29399999999999998</v>
      </c>
      <c r="X28" s="15">
        <v>-1.5049999999999999</v>
      </c>
      <c r="Y28" s="15">
        <v>-1.2949999999999999</v>
      </c>
      <c r="Z28" s="15">
        <f t="shared" si="4"/>
        <v>2.1213203435596428</v>
      </c>
      <c r="AA28" s="15">
        <f t="shared" si="4"/>
        <v>2.1213203435596424</v>
      </c>
      <c r="AB28" s="180"/>
      <c r="AF28" s="106" t="s">
        <v>245</v>
      </c>
      <c r="AG28" s="15">
        <v>0</v>
      </c>
      <c r="AH28" s="15">
        <v>0.17299999999999999</v>
      </c>
      <c r="AI28" s="15">
        <v>-1.26</v>
      </c>
      <c r="AJ28" s="15">
        <v>-1.105</v>
      </c>
      <c r="AK28" s="15">
        <f t="shared" si="5"/>
        <v>1.4142135623730951</v>
      </c>
      <c r="AL28" s="15">
        <f t="shared" si="5"/>
        <v>1.4142135623730949</v>
      </c>
      <c r="AM28" s="180"/>
    </row>
    <row r="29" spans="21:40">
      <c r="U29" s="106" t="s">
        <v>243</v>
      </c>
      <c r="V29" s="15">
        <v>0</v>
      </c>
      <c r="W29" s="15">
        <v>0.28599999999999998</v>
      </c>
      <c r="X29" s="15">
        <v>-1.8540000000000001</v>
      </c>
      <c r="Y29" s="15">
        <v>-0.86499999999999999</v>
      </c>
      <c r="Z29" s="15">
        <f t="shared" si="4"/>
        <v>2.598076211353316</v>
      </c>
      <c r="AA29" s="15">
        <f t="shared" si="4"/>
        <v>1.4999999999999998</v>
      </c>
      <c r="AB29" s="180"/>
      <c r="AF29" s="106" t="s">
        <v>243</v>
      </c>
      <c r="AG29" s="15">
        <v>0</v>
      </c>
      <c r="AH29" s="15">
        <v>0.17</v>
      </c>
      <c r="AI29" s="15">
        <v>-1.5569999999999999</v>
      </c>
      <c r="AJ29" s="15">
        <v>-0.745</v>
      </c>
      <c r="AK29" s="15">
        <f t="shared" si="5"/>
        <v>1.7320508075688772</v>
      </c>
      <c r="AL29" s="15">
        <f t="shared" si="5"/>
        <v>0.99999999999999989</v>
      </c>
      <c r="AM29" s="180"/>
    </row>
    <row r="30" spans="21:40">
      <c r="U30" s="106" t="s">
        <v>241</v>
      </c>
      <c r="V30" s="15">
        <v>0</v>
      </c>
      <c r="W30" s="15">
        <v>0.27500000000000002</v>
      </c>
      <c r="X30" s="15">
        <v>-2.0830000000000002</v>
      </c>
      <c r="Y30" s="15">
        <v>-0.36</v>
      </c>
      <c r="Z30" s="15">
        <f t="shared" si="4"/>
        <v>2.897777478867205</v>
      </c>
      <c r="AA30" s="15">
        <f t="shared" si="4"/>
        <v>0.77645713530756222</v>
      </c>
      <c r="AB30" s="180"/>
      <c r="AF30" s="106" t="s">
        <v>241</v>
      </c>
      <c r="AG30" s="15">
        <v>0</v>
      </c>
      <c r="AH30" s="15">
        <v>0.16</v>
      </c>
      <c r="AI30" s="15">
        <v>-1.7529999999999999</v>
      </c>
      <c r="AJ30" s="15">
        <v>-0.32400000000000001</v>
      </c>
      <c r="AK30" s="15">
        <f t="shared" si="5"/>
        <v>1.9318516525781366</v>
      </c>
      <c r="AL30" s="15">
        <f t="shared" si="5"/>
        <v>0.51763809020504148</v>
      </c>
      <c r="AM30" s="180"/>
    </row>
    <row r="31" spans="21:40" ht="15" customHeight="1">
      <c r="U31" s="107" t="s">
        <v>238</v>
      </c>
      <c r="V31" s="15">
        <v>0</v>
      </c>
      <c r="W31" s="15">
        <v>0.22</v>
      </c>
      <c r="X31" s="15">
        <v>-2.2000000000000002</v>
      </c>
      <c r="Y31" s="15">
        <v>0.75700000000000001</v>
      </c>
      <c r="Z31" s="15">
        <f t="shared" si="4"/>
        <v>2.897777478867205</v>
      </c>
      <c r="AA31" s="15">
        <f t="shared" si="4"/>
        <v>-0.77645713530756222</v>
      </c>
      <c r="AB31" s="176" t="s">
        <v>288</v>
      </c>
      <c r="AF31" s="107" t="s">
        <v>238</v>
      </c>
      <c r="AG31" s="15">
        <v>0</v>
      </c>
      <c r="AH31" s="15">
        <v>0.13</v>
      </c>
      <c r="AI31" s="15">
        <v>-1.867</v>
      </c>
      <c r="AJ31" s="15">
        <v>0.626</v>
      </c>
      <c r="AK31" s="15">
        <f t="shared" si="5"/>
        <v>1.9318516525781366</v>
      </c>
      <c r="AL31" s="15">
        <f t="shared" si="5"/>
        <v>-0.51763809020504148</v>
      </c>
      <c r="AM31" s="176" t="s">
        <v>288</v>
      </c>
    </row>
    <row r="32" spans="21:40">
      <c r="U32" s="107" t="s">
        <v>234</v>
      </c>
      <c r="V32" s="15">
        <v>0</v>
      </c>
      <c r="W32" s="15">
        <v>0.23400000000000001</v>
      </c>
      <c r="X32" s="15">
        <v>-1.9330000000000001</v>
      </c>
      <c r="Y32" s="15">
        <v>1.29</v>
      </c>
      <c r="Z32" s="15">
        <f t="shared" si="4"/>
        <v>2.598076211353316</v>
      </c>
      <c r="AA32" s="15">
        <f t="shared" si="4"/>
        <v>-1.4999999999999998</v>
      </c>
      <c r="AB32" s="176"/>
      <c r="AF32" s="107" t="s">
        <v>234</v>
      </c>
      <c r="AG32" s="15">
        <v>0</v>
      </c>
      <c r="AH32" s="15">
        <v>0.13800000000000001</v>
      </c>
      <c r="AI32" s="15">
        <v>-1.64</v>
      </c>
      <c r="AJ32" s="15">
        <v>1.0780000000000001</v>
      </c>
      <c r="AK32" s="15">
        <f t="shared" si="5"/>
        <v>1.7320508075688772</v>
      </c>
      <c r="AL32" s="15">
        <f t="shared" si="5"/>
        <v>-0.99999999999999989</v>
      </c>
      <c r="AM32" s="176"/>
    </row>
    <row r="33" spans="20:48">
      <c r="U33" s="107" t="s">
        <v>236</v>
      </c>
      <c r="V33" s="15">
        <v>0</v>
      </c>
      <c r="W33" s="15">
        <v>0.22900000000000001</v>
      </c>
      <c r="X33" s="15">
        <v>-1.59</v>
      </c>
      <c r="Y33" s="15">
        <v>1.762</v>
      </c>
      <c r="Z33" s="15">
        <f t="shared" si="4"/>
        <v>2.1213203435596428</v>
      </c>
      <c r="AA33" s="15">
        <f t="shared" si="4"/>
        <v>-2.1213203435596424</v>
      </c>
      <c r="AB33" s="176"/>
      <c r="AF33" s="107" t="s">
        <v>236</v>
      </c>
      <c r="AG33" s="15">
        <v>0</v>
      </c>
      <c r="AH33" s="15">
        <v>0.13400000000000001</v>
      </c>
      <c r="AI33" s="15">
        <v>-1.353</v>
      </c>
      <c r="AJ33" s="15">
        <v>1.4810000000000001</v>
      </c>
      <c r="AK33" s="15">
        <f t="shared" si="5"/>
        <v>1.4142135623730951</v>
      </c>
      <c r="AL33" s="15">
        <f t="shared" si="5"/>
        <v>-1.4142135623730949</v>
      </c>
      <c r="AM33" s="176"/>
    </row>
    <row r="34" spans="20:48">
      <c r="U34" s="107" t="s">
        <v>282</v>
      </c>
      <c r="V34" s="15">
        <v>0</v>
      </c>
      <c r="W34" s="15">
        <v>0.222</v>
      </c>
      <c r="X34" s="15">
        <v>-1.1339999999999999</v>
      </c>
      <c r="Y34" s="15">
        <v>2.1320000000000001</v>
      </c>
      <c r="Z34" s="15">
        <f t="shared" si="4"/>
        <v>1.5</v>
      </c>
      <c r="AA34" s="15">
        <f t="shared" si="4"/>
        <v>-2.598076211353316</v>
      </c>
      <c r="AB34" s="176"/>
      <c r="AF34" s="107" t="s">
        <v>282</v>
      </c>
      <c r="AG34" s="15">
        <v>0</v>
      </c>
      <c r="AH34" s="15">
        <v>0.13600000000000001</v>
      </c>
      <c r="AI34" s="15">
        <v>-0.96299999999999997</v>
      </c>
      <c r="AJ34" s="15">
        <v>1.7989999999999999</v>
      </c>
      <c r="AK34" s="15">
        <f t="shared" si="5"/>
        <v>1.0000000000000002</v>
      </c>
      <c r="AL34" s="15">
        <f t="shared" si="5"/>
        <v>-1.7320508075688772</v>
      </c>
      <c r="AM34" s="176"/>
    </row>
    <row r="35" spans="20:48">
      <c r="U35" s="107" t="s">
        <v>283</v>
      </c>
      <c r="V35" s="15">
        <v>0</v>
      </c>
      <c r="W35" s="15">
        <v>0.25</v>
      </c>
      <c r="X35" s="15">
        <v>-0.58499999999999996</v>
      </c>
      <c r="Y35" s="15">
        <v>2.371</v>
      </c>
      <c r="Z35" s="15">
        <f t="shared" si="4"/>
        <v>0.77645713530756111</v>
      </c>
      <c r="AA35" s="15">
        <f t="shared" si="4"/>
        <v>-2.897777478867205</v>
      </c>
      <c r="AB35" s="176"/>
      <c r="AF35" s="107" t="s">
        <v>283</v>
      </c>
      <c r="AG35" s="15">
        <v>0</v>
      </c>
      <c r="AH35" s="15">
        <v>0.16500000000000001</v>
      </c>
      <c r="AI35" s="15">
        <v>-0.495</v>
      </c>
      <c r="AJ35" s="15">
        <v>2.004</v>
      </c>
      <c r="AK35" s="15">
        <f t="shared" si="5"/>
        <v>0.51763809020504115</v>
      </c>
      <c r="AL35" s="15">
        <f t="shared" si="5"/>
        <v>-1.9318516525781366</v>
      </c>
      <c r="AM35" s="176"/>
    </row>
    <row r="36" spans="20:48">
      <c r="AG36" s="1"/>
    </row>
    <row r="37" spans="20:48">
      <c r="T37" s="105" t="s">
        <v>25</v>
      </c>
      <c r="U37" s="106" t="s">
        <v>280</v>
      </c>
      <c r="V37" s="106" t="s">
        <v>281</v>
      </c>
      <c r="W37" s="106" t="s">
        <v>245</v>
      </c>
      <c r="X37" s="106" t="s">
        <v>243</v>
      </c>
      <c r="Y37" s="106" t="s">
        <v>241</v>
      </c>
      <c r="Z37" s="107" t="s">
        <v>238</v>
      </c>
      <c r="AA37" s="107" t="s">
        <v>234</v>
      </c>
      <c r="AB37" s="107" t="s">
        <v>236</v>
      </c>
      <c r="AC37" s="107" t="s">
        <v>282</v>
      </c>
      <c r="AD37" s="107" t="s">
        <v>283</v>
      </c>
      <c r="AF37" s="106" t="s">
        <v>280</v>
      </c>
      <c r="AG37" s="106" t="s">
        <v>281</v>
      </c>
      <c r="AH37" s="106" t="s">
        <v>245</v>
      </c>
      <c r="AI37" s="106" t="s">
        <v>243</v>
      </c>
      <c r="AJ37" s="106" t="s">
        <v>241</v>
      </c>
      <c r="AK37" s="107" t="s">
        <v>238</v>
      </c>
      <c r="AL37" s="107" t="s">
        <v>234</v>
      </c>
      <c r="AM37" s="107" t="s">
        <v>236</v>
      </c>
      <c r="AN37" s="107" t="s">
        <v>282</v>
      </c>
      <c r="AO37" s="107" t="s">
        <v>283</v>
      </c>
      <c r="AV37" t="s">
        <v>43</v>
      </c>
    </row>
    <row r="38" spans="20:48">
      <c r="T38" s="103">
        <v>1</v>
      </c>
      <c r="U38" s="15">
        <v>0.3</v>
      </c>
      <c r="V38" s="16">
        <v>0.30299999999999999</v>
      </c>
      <c r="W38" s="16">
        <v>0.29399999999999998</v>
      </c>
      <c r="X38" s="16">
        <v>0.28599999999999998</v>
      </c>
      <c r="Y38" s="16">
        <v>0.27500000000000002</v>
      </c>
      <c r="Z38" s="16">
        <v>0.22</v>
      </c>
      <c r="AA38" s="16">
        <v>0.23400000000000001</v>
      </c>
      <c r="AB38" s="16">
        <v>0.22900000000000001</v>
      </c>
      <c r="AC38" s="16">
        <v>0.222</v>
      </c>
      <c r="AD38" s="16">
        <v>0.25</v>
      </c>
      <c r="AF38" s="15">
        <v>0.183</v>
      </c>
      <c r="AG38" s="15">
        <v>0.17599999999999999</v>
      </c>
      <c r="AH38" s="15">
        <v>0.17299999999999999</v>
      </c>
      <c r="AI38" s="15">
        <v>0.17</v>
      </c>
      <c r="AJ38" s="15">
        <v>0.16</v>
      </c>
      <c r="AK38" s="15">
        <v>0.13</v>
      </c>
      <c r="AL38" s="15">
        <v>0.13800000000000001</v>
      </c>
      <c r="AM38" s="15">
        <v>0.13400000000000001</v>
      </c>
      <c r="AN38" s="15">
        <v>0.13600000000000001</v>
      </c>
      <c r="AO38" s="15">
        <v>0.16500000000000001</v>
      </c>
    </row>
    <row r="39" spans="20:48">
      <c r="T39" s="103">
        <v>2</v>
      </c>
      <c r="U39" s="15">
        <v>0.78100000000000003</v>
      </c>
      <c r="V39" s="16">
        <v>0.76200000000000001</v>
      </c>
      <c r="W39" s="16">
        <v>0.73399999999999999</v>
      </c>
      <c r="X39" s="16">
        <v>0.68799999999999994</v>
      </c>
      <c r="Y39" s="16">
        <v>0.63600000000000001</v>
      </c>
      <c r="Z39" s="16">
        <v>0.33100000000000002</v>
      </c>
      <c r="AA39" s="16">
        <v>0.41499999999999998</v>
      </c>
      <c r="AB39" s="16">
        <v>0.41</v>
      </c>
      <c r="AC39" s="16">
        <v>0.39100000000000001</v>
      </c>
      <c r="AD39" s="16">
        <v>0.38500000000000001</v>
      </c>
      <c r="AF39" s="15">
        <v>0.47299999999999998</v>
      </c>
      <c r="AG39" s="15">
        <v>0.46400000000000002</v>
      </c>
      <c r="AH39" s="15">
        <v>0.44400000000000001</v>
      </c>
      <c r="AI39" s="15">
        <v>0.41399999999999998</v>
      </c>
      <c r="AJ39" s="15">
        <v>0.376</v>
      </c>
      <c r="AK39" s="15">
        <v>0.19700000000000001</v>
      </c>
      <c r="AL39" s="15">
        <v>0.24199999999999999</v>
      </c>
      <c r="AM39" s="15">
        <v>0.23899999999999999</v>
      </c>
      <c r="AN39" s="15">
        <v>0.23300000000000001</v>
      </c>
      <c r="AO39" s="15">
        <v>0.216</v>
      </c>
    </row>
    <row r="40" spans="20:48">
      <c r="T40" s="103">
        <v>3</v>
      </c>
      <c r="U40" s="15">
        <v>1.587</v>
      </c>
      <c r="V40" s="16">
        <v>1.577</v>
      </c>
      <c r="W40" s="16">
        <v>1.536</v>
      </c>
      <c r="X40" s="16">
        <v>1.454</v>
      </c>
      <c r="Y40" s="16"/>
      <c r="Z40" s="16">
        <v>0.39200000000000002</v>
      </c>
      <c r="AA40" s="16">
        <v>0.53600000000000003</v>
      </c>
      <c r="AB40" s="16">
        <v>0.56000000000000005</v>
      </c>
      <c r="AC40" s="16">
        <v>0.52900000000000003</v>
      </c>
      <c r="AD40" s="16">
        <v>0.51200000000000001</v>
      </c>
      <c r="AF40" s="15">
        <v>1.0009999999999999</v>
      </c>
      <c r="AG40" s="15">
        <v>0.98899999999999999</v>
      </c>
      <c r="AH40" s="15">
        <v>0.95499999999999996</v>
      </c>
      <c r="AI40" s="15">
        <v>0.89200000000000002</v>
      </c>
      <c r="AJ40" s="16"/>
      <c r="AK40" s="15">
        <v>0.23</v>
      </c>
      <c r="AL40" s="15">
        <v>0.316</v>
      </c>
      <c r="AM40" s="15">
        <v>0.32600000000000001</v>
      </c>
      <c r="AN40" s="15">
        <v>0.309</v>
      </c>
      <c r="AO40" s="15">
        <v>0.307</v>
      </c>
    </row>
    <row r="58" spans="21:33">
      <c r="U58" s="101" t="s">
        <v>306</v>
      </c>
      <c r="V58" s="108"/>
      <c r="AF58" s="101" t="s">
        <v>307</v>
      </c>
      <c r="AG58" s="108"/>
    </row>
    <row r="59" spans="21:33">
      <c r="U59" t="s">
        <v>315</v>
      </c>
    </row>
    <row r="60" spans="21:33">
      <c r="U60" s="109" t="s">
        <v>312</v>
      </c>
    </row>
    <row r="61" spans="21:33">
      <c r="AB61" s="109" t="s">
        <v>308</v>
      </c>
    </row>
    <row r="62" spans="21:33">
      <c r="U62" s="109" t="s">
        <v>311</v>
      </c>
    </row>
    <row r="63" spans="21:33">
      <c r="AB63" s="109" t="s">
        <v>309</v>
      </c>
    </row>
    <row r="64" spans="21:33">
      <c r="U64" s="109" t="s">
        <v>310</v>
      </c>
    </row>
    <row r="66" spans="20:29">
      <c r="U66" s="109" t="s">
        <v>318</v>
      </c>
      <c r="AA66" s="1" t="s">
        <v>317</v>
      </c>
      <c r="AB66" t="s">
        <v>299</v>
      </c>
      <c r="AC66" t="s">
        <v>123</v>
      </c>
    </row>
    <row r="67" spans="20:29">
      <c r="U67" t="s">
        <v>314</v>
      </c>
      <c r="AA67" s="1">
        <v>8</v>
      </c>
      <c r="AB67">
        <v>7.0000000000000001E-3</v>
      </c>
      <c r="AC67">
        <v>1E-3</v>
      </c>
    </row>
    <row r="68" spans="20:29">
      <c r="T68" s="15" t="s">
        <v>313</v>
      </c>
      <c r="U68" s="15">
        <v>1</v>
      </c>
      <c r="V68" s="15">
        <v>1.5</v>
      </c>
      <c r="W68" s="15">
        <v>2</v>
      </c>
      <c r="X68" s="15">
        <v>2.5</v>
      </c>
      <c r="Y68" s="15">
        <v>3</v>
      </c>
      <c r="Z68" s="15">
        <v>3.5</v>
      </c>
      <c r="AA68" s="15">
        <v>4</v>
      </c>
      <c r="AB68" s="15">
        <v>4.5</v>
      </c>
      <c r="AC68" s="15">
        <v>5</v>
      </c>
    </row>
    <row r="69" spans="20:29">
      <c r="T69" s="15">
        <v>0.5</v>
      </c>
      <c r="U69" s="15">
        <f>$AB$67*$T69*$T69*U$68*$AA$67+$T69*$AA$67*$AC$67*U$68</f>
        <v>1.8000000000000002E-2</v>
      </c>
      <c r="V69" s="15">
        <f t="shared" ref="V69:AC74" si="6">$AB$67*$T69*$T69*V$68*$AA$67+$T69*$AA$67*$AC$67*V$68</f>
        <v>2.7000000000000003E-2</v>
      </c>
      <c r="W69" s="15">
        <f t="shared" si="6"/>
        <v>3.6000000000000004E-2</v>
      </c>
      <c r="X69" s="15">
        <f t="shared" si="6"/>
        <v>4.5000000000000005E-2</v>
      </c>
      <c r="Y69" s="15">
        <f t="shared" si="6"/>
        <v>5.4000000000000006E-2</v>
      </c>
      <c r="Z69" s="15">
        <f t="shared" si="6"/>
        <v>6.3E-2</v>
      </c>
      <c r="AA69" s="15">
        <f t="shared" si="6"/>
        <v>7.2000000000000008E-2</v>
      </c>
      <c r="AB69" s="15">
        <f t="shared" si="6"/>
        <v>8.1000000000000003E-2</v>
      </c>
      <c r="AC69" s="15">
        <f t="shared" si="6"/>
        <v>9.0000000000000011E-2</v>
      </c>
    </row>
    <row r="70" spans="20:29">
      <c r="T70" s="15">
        <v>1</v>
      </c>
      <c r="U70" s="15">
        <f t="shared" ref="U70:U74" si="7">$AB$67*$T70*$T70*U$68*$AA$67+$T70*$AA$67*$AC$67*U$68</f>
        <v>6.4000000000000001E-2</v>
      </c>
      <c r="V70" s="15">
        <f t="shared" si="6"/>
        <v>9.6000000000000002E-2</v>
      </c>
      <c r="W70" s="15">
        <f t="shared" si="6"/>
        <v>0.128</v>
      </c>
      <c r="X70" s="15">
        <f t="shared" si="6"/>
        <v>0.16</v>
      </c>
      <c r="Y70" s="15">
        <f t="shared" si="6"/>
        <v>0.192</v>
      </c>
      <c r="Z70" s="15">
        <f t="shared" si="6"/>
        <v>0.224</v>
      </c>
      <c r="AA70" s="15">
        <f t="shared" si="6"/>
        <v>0.25600000000000001</v>
      </c>
      <c r="AB70" s="15">
        <f t="shared" si="6"/>
        <v>0.28800000000000003</v>
      </c>
      <c r="AC70" s="15">
        <f t="shared" si="6"/>
        <v>0.32</v>
      </c>
    </row>
    <row r="71" spans="20:29">
      <c r="T71" s="15">
        <v>1.5</v>
      </c>
      <c r="U71" s="15">
        <f t="shared" si="7"/>
        <v>0.13800000000000001</v>
      </c>
      <c r="V71" s="15">
        <f t="shared" si="6"/>
        <v>0.20700000000000002</v>
      </c>
      <c r="W71" s="15">
        <f t="shared" si="6"/>
        <v>0.27600000000000002</v>
      </c>
      <c r="X71" s="15">
        <f t="shared" si="6"/>
        <v>0.34499999999999997</v>
      </c>
      <c r="Y71" s="15">
        <f t="shared" si="6"/>
        <v>0.41400000000000003</v>
      </c>
      <c r="Z71" s="15">
        <f t="shared" si="6"/>
        <v>0.48299999999999998</v>
      </c>
      <c r="AA71" s="15">
        <f t="shared" si="6"/>
        <v>0.55200000000000005</v>
      </c>
      <c r="AB71" s="15">
        <f t="shared" si="6"/>
        <v>0.621</v>
      </c>
      <c r="AC71" s="15">
        <f t="shared" si="6"/>
        <v>0.69</v>
      </c>
    </row>
    <row r="72" spans="20:29">
      <c r="T72" s="15">
        <v>2</v>
      </c>
      <c r="U72" s="15">
        <f t="shared" si="7"/>
        <v>0.24</v>
      </c>
      <c r="V72" s="15">
        <f t="shared" si="6"/>
        <v>0.36000000000000004</v>
      </c>
      <c r="W72" s="15">
        <f t="shared" si="6"/>
        <v>0.48</v>
      </c>
      <c r="X72" s="15">
        <f t="shared" si="6"/>
        <v>0.60000000000000009</v>
      </c>
      <c r="Y72" s="15">
        <f t="shared" si="6"/>
        <v>0.72000000000000008</v>
      </c>
      <c r="Z72" s="15">
        <f t="shared" si="6"/>
        <v>0.84000000000000008</v>
      </c>
      <c r="AA72" s="15">
        <f t="shared" si="6"/>
        <v>0.96</v>
      </c>
      <c r="AB72" s="15">
        <f t="shared" si="6"/>
        <v>1.08</v>
      </c>
      <c r="AC72" s="15">
        <f t="shared" si="6"/>
        <v>1.2000000000000002</v>
      </c>
    </row>
    <row r="73" spans="20:29">
      <c r="T73" s="15">
        <v>1.5</v>
      </c>
      <c r="U73" s="15">
        <f t="shared" si="7"/>
        <v>0.13800000000000001</v>
      </c>
      <c r="V73" s="15">
        <f t="shared" si="6"/>
        <v>0.20700000000000002</v>
      </c>
      <c r="W73" s="15">
        <f t="shared" si="6"/>
        <v>0.27600000000000002</v>
      </c>
      <c r="X73" s="15">
        <f t="shared" si="6"/>
        <v>0.34499999999999997</v>
      </c>
      <c r="Y73" s="15">
        <f t="shared" si="6"/>
        <v>0.41400000000000003</v>
      </c>
      <c r="Z73" s="15">
        <f t="shared" si="6"/>
        <v>0.48299999999999998</v>
      </c>
      <c r="AA73" s="15">
        <f t="shared" si="6"/>
        <v>0.55200000000000005</v>
      </c>
      <c r="AB73" s="15">
        <f t="shared" si="6"/>
        <v>0.621</v>
      </c>
      <c r="AC73" s="15">
        <f t="shared" si="6"/>
        <v>0.69</v>
      </c>
    </row>
    <row r="74" spans="20:29">
      <c r="T74" s="15">
        <v>3</v>
      </c>
      <c r="U74" s="15">
        <f t="shared" si="7"/>
        <v>0.52800000000000002</v>
      </c>
      <c r="V74" s="15">
        <f t="shared" si="6"/>
        <v>0.79200000000000004</v>
      </c>
      <c r="W74" s="15">
        <f t="shared" si="6"/>
        <v>1.056</v>
      </c>
      <c r="X74" s="15">
        <f t="shared" si="6"/>
        <v>1.32</v>
      </c>
      <c r="Y74" s="15">
        <f t="shared" si="6"/>
        <v>1.5840000000000001</v>
      </c>
      <c r="Z74" s="15">
        <f t="shared" si="6"/>
        <v>1.8480000000000001</v>
      </c>
      <c r="AA74" s="15">
        <f t="shared" si="6"/>
        <v>2.1120000000000001</v>
      </c>
      <c r="AB74" s="15">
        <f t="shared" si="6"/>
        <v>2.3759999999999999</v>
      </c>
      <c r="AC74" s="15">
        <f t="shared" si="6"/>
        <v>2.64</v>
      </c>
    </row>
    <row r="75" spans="20:29">
      <c r="T75" s="110"/>
      <c r="U75" s="110"/>
      <c r="V75" s="110"/>
      <c r="W75" s="110"/>
      <c r="X75" s="110"/>
      <c r="Y75" s="110"/>
      <c r="Z75" s="110"/>
      <c r="AA75" s="110"/>
      <c r="AB75" s="110"/>
      <c r="AC75" s="110"/>
    </row>
    <row r="77" spans="20:29">
      <c r="U77" t="s">
        <v>301</v>
      </c>
    </row>
    <row r="78" spans="20:29">
      <c r="U78" s="109" t="s">
        <v>316</v>
      </c>
    </row>
    <row r="80" spans="20:29">
      <c r="U80" s="109" t="s">
        <v>319</v>
      </c>
    </row>
    <row r="81" spans="20:29">
      <c r="AA81" s="1" t="s">
        <v>317</v>
      </c>
      <c r="AB81" t="s">
        <v>299</v>
      </c>
      <c r="AC81" t="s">
        <v>123</v>
      </c>
    </row>
    <row r="82" spans="20:29">
      <c r="U82" t="s">
        <v>314</v>
      </c>
      <c r="AA82" s="1">
        <v>8</v>
      </c>
      <c r="AB82">
        <v>5.0000000000000001E-3</v>
      </c>
      <c r="AC82">
        <v>5.0000000000000001E-3</v>
      </c>
    </row>
    <row r="83" spans="20:29">
      <c r="T83" s="15" t="s">
        <v>313</v>
      </c>
      <c r="U83" s="15">
        <v>1</v>
      </c>
      <c r="V83" s="15">
        <v>1.5</v>
      </c>
      <c r="W83" s="15">
        <v>2</v>
      </c>
      <c r="X83" s="15">
        <v>2.5</v>
      </c>
      <c r="Y83" s="15">
        <v>3</v>
      </c>
      <c r="Z83" s="15">
        <v>3.5</v>
      </c>
      <c r="AA83" s="15">
        <v>4</v>
      </c>
      <c r="AB83" s="15">
        <v>4.5</v>
      </c>
      <c r="AC83" s="15">
        <v>5</v>
      </c>
    </row>
    <row r="84" spans="20:29">
      <c r="T84" s="15">
        <v>0.5</v>
      </c>
      <c r="U84" s="15">
        <f>$AB$82*$T84*U$83*$AA$82+$T84*$AA$82*$AC$82</f>
        <v>0.04</v>
      </c>
      <c r="V84" s="15">
        <f t="shared" ref="V84:AC89" si="8">$AB$82*$T84*V$83*$AA$82+$T84*$AA$82*$AC$82</f>
        <v>0.05</v>
      </c>
      <c r="W84" s="15">
        <f t="shared" si="8"/>
        <v>0.06</v>
      </c>
      <c r="X84" s="15">
        <f t="shared" si="8"/>
        <v>7.0000000000000007E-2</v>
      </c>
      <c r="Y84" s="15">
        <f t="shared" si="8"/>
        <v>0.08</v>
      </c>
      <c r="Z84" s="15">
        <f t="shared" si="8"/>
        <v>9.0000000000000011E-2</v>
      </c>
      <c r="AA84" s="15">
        <f t="shared" si="8"/>
        <v>0.1</v>
      </c>
      <c r="AB84" s="15">
        <f t="shared" si="8"/>
        <v>0.11</v>
      </c>
      <c r="AC84" s="15">
        <f t="shared" si="8"/>
        <v>0.12000000000000001</v>
      </c>
    </row>
    <row r="85" spans="20:29">
      <c r="T85" s="15">
        <v>1</v>
      </c>
      <c r="U85" s="15">
        <f t="shared" ref="U85:U89" si="9">$AB$82*$T85*U$83*$AA$82+$T85*$AA$82*$AC$82</f>
        <v>0.08</v>
      </c>
      <c r="V85" s="15">
        <f t="shared" si="8"/>
        <v>0.1</v>
      </c>
      <c r="W85" s="15">
        <f t="shared" si="8"/>
        <v>0.12</v>
      </c>
      <c r="X85" s="15">
        <f t="shared" si="8"/>
        <v>0.14000000000000001</v>
      </c>
      <c r="Y85" s="15">
        <f t="shared" si="8"/>
        <v>0.16</v>
      </c>
      <c r="Z85" s="15">
        <f t="shared" si="8"/>
        <v>0.18000000000000002</v>
      </c>
      <c r="AA85" s="15">
        <f t="shared" si="8"/>
        <v>0.2</v>
      </c>
      <c r="AB85" s="15">
        <f t="shared" si="8"/>
        <v>0.22</v>
      </c>
      <c r="AC85" s="15">
        <f t="shared" si="8"/>
        <v>0.24000000000000002</v>
      </c>
    </row>
    <row r="86" spans="20:29">
      <c r="T86" s="15">
        <v>1.5</v>
      </c>
      <c r="U86" s="15">
        <f t="shared" si="9"/>
        <v>0.12</v>
      </c>
      <c r="V86" s="15">
        <f t="shared" si="8"/>
        <v>0.15</v>
      </c>
      <c r="W86" s="15">
        <f t="shared" si="8"/>
        <v>0.18</v>
      </c>
      <c r="X86" s="15">
        <f t="shared" si="8"/>
        <v>0.21</v>
      </c>
      <c r="Y86" s="15">
        <f t="shared" si="8"/>
        <v>0.24</v>
      </c>
      <c r="Z86" s="15">
        <f t="shared" si="8"/>
        <v>0.27</v>
      </c>
      <c r="AA86" s="15">
        <f t="shared" si="8"/>
        <v>0.3</v>
      </c>
      <c r="AB86" s="15">
        <f t="shared" si="8"/>
        <v>0.33</v>
      </c>
      <c r="AC86" s="15">
        <f t="shared" si="8"/>
        <v>0.36</v>
      </c>
    </row>
    <row r="87" spans="20:29">
      <c r="T87" s="15">
        <v>2</v>
      </c>
      <c r="U87" s="15">
        <f t="shared" si="9"/>
        <v>0.16</v>
      </c>
      <c r="V87" s="15">
        <f t="shared" si="8"/>
        <v>0.2</v>
      </c>
      <c r="W87" s="15">
        <f t="shared" si="8"/>
        <v>0.24</v>
      </c>
      <c r="X87" s="15">
        <f t="shared" si="8"/>
        <v>0.28000000000000003</v>
      </c>
      <c r="Y87" s="15">
        <f t="shared" si="8"/>
        <v>0.32</v>
      </c>
      <c r="Z87" s="15">
        <f t="shared" si="8"/>
        <v>0.36000000000000004</v>
      </c>
      <c r="AA87" s="15">
        <f t="shared" si="8"/>
        <v>0.4</v>
      </c>
      <c r="AB87" s="15">
        <f t="shared" si="8"/>
        <v>0.44</v>
      </c>
      <c r="AC87" s="15">
        <f t="shared" si="8"/>
        <v>0.48000000000000004</v>
      </c>
    </row>
    <row r="88" spans="20:29">
      <c r="T88" s="15">
        <v>1.5</v>
      </c>
      <c r="U88" s="15">
        <f t="shared" si="9"/>
        <v>0.12</v>
      </c>
      <c r="V88" s="15">
        <f t="shared" si="8"/>
        <v>0.15</v>
      </c>
      <c r="W88" s="15">
        <f t="shared" si="8"/>
        <v>0.18</v>
      </c>
      <c r="X88" s="15">
        <f t="shared" si="8"/>
        <v>0.21</v>
      </c>
      <c r="Y88" s="15">
        <f t="shared" si="8"/>
        <v>0.24</v>
      </c>
      <c r="Z88" s="15">
        <f t="shared" si="8"/>
        <v>0.27</v>
      </c>
      <c r="AA88" s="15">
        <f t="shared" si="8"/>
        <v>0.3</v>
      </c>
      <c r="AB88" s="15">
        <f t="shared" si="8"/>
        <v>0.33</v>
      </c>
      <c r="AC88" s="15">
        <f t="shared" si="8"/>
        <v>0.36</v>
      </c>
    </row>
    <row r="89" spans="20:29">
      <c r="T89" s="15">
        <v>3</v>
      </c>
      <c r="U89" s="15">
        <f t="shared" si="9"/>
        <v>0.24</v>
      </c>
      <c r="V89" s="15">
        <f t="shared" si="8"/>
        <v>0.3</v>
      </c>
      <c r="W89" s="15">
        <f t="shared" si="8"/>
        <v>0.36</v>
      </c>
      <c r="X89" s="15">
        <f t="shared" si="8"/>
        <v>0.42</v>
      </c>
      <c r="Y89" s="15">
        <f t="shared" si="8"/>
        <v>0.48</v>
      </c>
      <c r="Z89" s="15">
        <f t="shared" si="8"/>
        <v>0.54</v>
      </c>
      <c r="AA89" s="15">
        <f t="shared" si="8"/>
        <v>0.6</v>
      </c>
      <c r="AB89" s="15">
        <f t="shared" si="8"/>
        <v>0.66</v>
      </c>
      <c r="AC89" s="15">
        <f t="shared" si="8"/>
        <v>0.72</v>
      </c>
    </row>
  </sheetData>
  <mergeCells count="18">
    <mergeCell ref="AM31:AM35"/>
    <mergeCell ref="AM4:AM8"/>
    <mergeCell ref="AM9:AM13"/>
    <mergeCell ref="AM15:AM19"/>
    <mergeCell ref="AM20:AM24"/>
    <mergeCell ref="AM26:AM30"/>
    <mergeCell ref="X1:AB1"/>
    <mergeCell ref="U1:V1"/>
    <mergeCell ref="AB15:AB19"/>
    <mergeCell ref="AB20:AB24"/>
    <mergeCell ref="AB26:AB30"/>
    <mergeCell ref="AB31:AB35"/>
    <mergeCell ref="I2:N2"/>
    <mergeCell ref="C2:H2"/>
    <mergeCell ref="C3:N3"/>
    <mergeCell ref="C15:N15"/>
    <mergeCell ref="AB9:AB13"/>
    <mergeCell ref="AB4:AB8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16"/>
  <sheetViews>
    <sheetView workbookViewId="0">
      <selection activeCell="AD38" sqref="AD38"/>
    </sheetView>
  </sheetViews>
  <sheetFormatPr baseColWidth="10" defaultRowHeight="15"/>
  <cols>
    <col min="1" max="25" width="5.7109375" customWidth="1"/>
  </cols>
  <sheetData>
    <row r="1" spans="1:8">
      <c r="A1" s="1" t="s">
        <v>317</v>
      </c>
      <c r="B1" s="1">
        <v>8</v>
      </c>
      <c r="C1" s="1"/>
    </row>
    <row r="2" spans="1:8">
      <c r="A2" s="57" t="s">
        <v>324</v>
      </c>
      <c r="B2" s="1">
        <v>2</v>
      </c>
      <c r="C2" s="1" t="s">
        <v>323</v>
      </c>
    </row>
    <row r="3" spans="1:8">
      <c r="A3" s="1" t="s">
        <v>25</v>
      </c>
      <c r="B3" s="1">
        <v>1.5</v>
      </c>
      <c r="C3" s="1" t="s">
        <v>23</v>
      </c>
      <c r="E3" s="112">
        <f>B3/180*PI()*100</f>
        <v>2.617993877991494</v>
      </c>
      <c r="F3" s="1" t="s">
        <v>325</v>
      </c>
    </row>
    <row r="5" spans="1:8">
      <c r="C5" s="109" t="s">
        <v>326</v>
      </c>
    </row>
    <row r="6" spans="1:8">
      <c r="A6" s="117"/>
      <c r="B6" s="118" t="s">
        <v>330</v>
      </c>
      <c r="C6" s="15">
        <v>1</v>
      </c>
      <c r="D6" s="15">
        <v>2</v>
      </c>
      <c r="E6" s="15">
        <v>3</v>
      </c>
      <c r="F6" s="15">
        <v>4</v>
      </c>
      <c r="G6" s="15">
        <v>5</v>
      </c>
    </row>
    <row r="7" spans="1:8">
      <c r="A7" s="36"/>
      <c r="B7" s="135" t="s">
        <v>344</v>
      </c>
      <c r="C7" s="15">
        <f>0.0141*C6*C6+0.1185*C6+0.3955</f>
        <v>0.52810000000000001</v>
      </c>
      <c r="D7" s="15">
        <f t="shared" ref="D7:G7" si="0">0.0141*D6*D6+0.1185*D6+0.3955</f>
        <v>0.68890000000000007</v>
      </c>
      <c r="E7" s="15">
        <f t="shared" si="0"/>
        <v>0.8778999999999999</v>
      </c>
      <c r="F7" s="15">
        <f t="shared" si="0"/>
        <v>1.0951</v>
      </c>
      <c r="G7" s="15">
        <f t="shared" si="0"/>
        <v>1.3405</v>
      </c>
    </row>
    <row r="8" spans="1:8">
      <c r="A8" s="36"/>
      <c r="B8" s="135" t="s">
        <v>345</v>
      </c>
      <c r="C8" s="15">
        <f>0.0148*C6*C6+0.0372*C6+0.1197</f>
        <v>0.17169999999999999</v>
      </c>
      <c r="D8" s="15">
        <f t="shared" ref="D8:G8" si="1">0.0148*D6*D6+0.0372*D6+0.1197</f>
        <v>0.25329999999999997</v>
      </c>
      <c r="E8" s="15">
        <f t="shared" si="1"/>
        <v>0.36450000000000005</v>
      </c>
      <c r="F8" s="15">
        <f t="shared" si="1"/>
        <v>0.50529999999999997</v>
      </c>
      <c r="G8" s="15">
        <f t="shared" si="1"/>
        <v>0.67570000000000008</v>
      </c>
    </row>
    <row r="9" spans="1:8">
      <c r="A9" s="136"/>
      <c r="B9" s="137" t="s">
        <v>346</v>
      </c>
      <c r="C9" s="15">
        <f>0.0156*C6*C6+0.0467*C6+0.4085</f>
        <v>0.4708</v>
      </c>
      <c r="D9" s="15">
        <f t="shared" ref="D9:G9" si="2">0.0156*D6*D6+0.0467*D6+0.4085</f>
        <v>0.56430000000000002</v>
      </c>
      <c r="E9" s="15">
        <f t="shared" si="2"/>
        <v>0.68899999999999995</v>
      </c>
      <c r="F9" s="15">
        <f t="shared" si="2"/>
        <v>0.84489999999999998</v>
      </c>
      <c r="G9" s="15">
        <f t="shared" si="2"/>
        <v>1.032</v>
      </c>
    </row>
    <row r="10" spans="1:8">
      <c r="A10" s="136"/>
      <c r="B10" s="137" t="s">
        <v>347</v>
      </c>
      <c r="C10" s="15">
        <f>0.0103*C6*C6+0.0233*C6+0.1</f>
        <v>0.1336</v>
      </c>
      <c r="D10" s="15">
        <f t="shared" ref="D10:G10" si="3">0.0103*D6*D6+0.0233*D6+0.1187</f>
        <v>0.20650000000000002</v>
      </c>
      <c r="E10" s="15">
        <f t="shared" si="3"/>
        <v>0.28129999999999999</v>
      </c>
      <c r="F10" s="15">
        <f t="shared" si="3"/>
        <v>0.37670000000000003</v>
      </c>
      <c r="G10" s="15">
        <f t="shared" si="3"/>
        <v>0.49270000000000003</v>
      </c>
    </row>
    <row r="11" spans="1:8">
      <c r="A11" s="136"/>
      <c r="B11" s="135" t="s">
        <v>329</v>
      </c>
      <c r="C11" s="20">
        <v>0.377</v>
      </c>
      <c r="D11" s="20">
        <v>0.56399999999999995</v>
      </c>
      <c r="E11" s="20">
        <v>0.69699999999999995</v>
      </c>
      <c r="F11" s="20">
        <v>0.80100000000000005</v>
      </c>
      <c r="G11" s="20">
        <v>0.88600000000000001</v>
      </c>
    </row>
    <row r="12" spans="1:8">
      <c r="A12" s="36"/>
      <c r="B12" s="135" t="s">
        <v>327</v>
      </c>
      <c r="C12" s="78">
        <v>0.19800000000000001</v>
      </c>
      <c r="D12" s="78">
        <v>0.39600000000000002</v>
      </c>
      <c r="E12" s="78">
        <v>0.59400000000000008</v>
      </c>
      <c r="F12" s="78">
        <v>0.79200000000000004</v>
      </c>
      <c r="G12" s="78">
        <v>0.99</v>
      </c>
      <c r="H12" t="s">
        <v>333</v>
      </c>
    </row>
    <row r="13" spans="1:8">
      <c r="A13" s="136"/>
      <c r="B13" s="137" t="s">
        <v>328</v>
      </c>
      <c r="C13" s="15">
        <v>0.13200000000000001</v>
      </c>
      <c r="D13" s="15">
        <v>0.26400000000000001</v>
      </c>
      <c r="E13" s="15">
        <v>0.39600000000000002</v>
      </c>
      <c r="F13" s="15">
        <v>0.52800000000000002</v>
      </c>
      <c r="G13" s="15">
        <v>0.66</v>
      </c>
      <c r="H13" t="s">
        <v>333</v>
      </c>
    </row>
    <row r="14" spans="1:8">
      <c r="A14" s="136"/>
      <c r="B14" s="137" t="s">
        <v>348</v>
      </c>
      <c r="C14" s="15">
        <v>0.23416049103469083</v>
      </c>
      <c r="D14" s="15">
        <v>0.2961921958772244</v>
      </c>
      <c r="E14" s="15">
        <v>0.37757244663796585</v>
      </c>
      <c r="F14" s="15">
        <v>0.46832098206938166</v>
      </c>
      <c r="G14" s="15">
        <v>0.563933139882135</v>
      </c>
    </row>
    <row r="15" spans="1:8">
      <c r="A15" s="36"/>
      <c r="B15" s="135" t="s">
        <v>331</v>
      </c>
      <c r="C15" s="15">
        <v>0.15281042632988318</v>
      </c>
      <c r="D15" s="15">
        <v>0.21953604271223348</v>
      </c>
      <c r="E15" s="15">
        <v>0.32481539069993604</v>
      </c>
      <c r="F15" s="15">
        <v>0.4641539554506191</v>
      </c>
      <c r="G15" s="15">
        <v>0.63469885259857239</v>
      </c>
    </row>
    <row r="16" spans="1:8">
      <c r="A16" s="136"/>
      <c r="B16" s="137" t="s">
        <v>332</v>
      </c>
      <c r="C16" s="15">
        <v>0.16275893098287897</v>
      </c>
      <c r="D16" s="15">
        <v>0.24660543316659966</v>
      </c>
      <c r="E16" s="15">
        <v>0.38209745218461144</v>
      </c>
      <c r="F16" s="15">
        <v>0.5699767385325023</v>
      </c>
      <c r="G16" s="15">
        <v>0.81253067595329664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Y55"/>
  <sheetViews>
    <sheetView topLeftCell="AE1" zoomScaleNormal="100" workbookViewId="0">
      <selection activeCell="AU7" sqref="AU7"/>
    </sheetView>
  </sheetViews>
  <sheetFormatPr baseColWidth="10" defaultRowHeight="15"/>
  <cols>
    <col min="1" max="51" width="5.7109375" customWidth="1"/>
    <col min="52" max="53" width="11.42578125" customWidth="1"/>
  </cols>
  <sheetData>
    <row r="1" spans="1:51">
      <c r="A1" s="121" t="s">
        <v>164</v>
      </c>
      <c r="B1" s="123">
        <v>0.47</v>
      </c>
      <c r="C1" s="121" t="s">
        <v>335</v>
      </c>
      <c r="D1" s="121" t="s">
        <v>336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2" t="s">
        <v>338</v>
      </c>
      <c r="X1" s="119" t="s">
        <v>337</v>
      </c>
      <c r="Y1" s="124">
        <v>-1.62</v>
      </c>
    </row>
    <row r="2" spans="1:51">
      <c r="A2" s="16" t="s">
        <v>25</v>
      </c>
      <c r="B2" s="62">
        <v>1.5</v>
      </c>
      <c r="C2" s="15" t="s">
        <v>23</v>
      </c>
      <c r="D2" s="16" t="s">
        <v>16</v>
      </c>
      <c r="E2" s="65">
        <v>7.0000000000000007E-2</v>
      </c>
      <c r="G2" s="20" t="s">
        <v>113</v>
      </c>
      <c r="H2" s="16">
        <f>MüRR/TAN(ThetaR/180*PI())</f>
        <v>2.6731921507917931</v>
      </c>
    </row>
    <row r="3" spans="1:51">
      <c r="A3" s="165" t="s">
        <v>13</v>
      </c>
      <c r="B3" s="165"/>
      <c r="C3" s="165"/>
      <c r="D3" s="75" t="s">
        <v>334</v>
      </c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AI3" s="76" t="s">
        <v>165</v>
      </c>
      <c r="AJ3" s="171" t="s">
        <v>342</v>
      </c>
      <c r="AK3" s="151"/>
      <c r="AL3" s="151"/>
      <c r="AM3" s="125"/>
      <c r="AN3" s="143" t="s">
        <v>301</v>
      </c>
      <c r="AO3" s="183"/>
      <c r="AP3" s="183"/>
      <c r="AS3" s="171" t="s">
        <v>342</v>
      </c>
      <c r="AT3" s="151"/>
      <c r="AU3" s="151"/>
      <c r="AV3" s="125"/>
      <c r="AW3" s="143" t="s">
        <v>301</v>
      </c>
      <c r="AX3" s="183"/>
      <c r="AY3" s="183"/>
    </row>
    <row r="4" spans="1:51">
      <c r="A4" s="15" t="s">
        <v>108</v>
      </c>
      <c r="B4" s="16">
        <f>(-alphanull)/1/19</f>
        <v>-8.1884076402265582E-2</v>
      </c>
      <c r="D4" s="15" t="s">
        <v>109</v>
      </c>
      <c r="E4" s="15">
        <f>alphanull</f>
        <v>1.5557974516430459</v>
      </c>
      <c r="F4" s="15">
        <f>E4-0.001</f>
        <v>1.5547974516430461</v>
      </c>
      <c r="G4" s="15">
        <f t="shared" ref="G4:X4" si="0">F4+deltaalpha</f>
        <v>1.4729133752407804</v>
      </c>
      <c r="H4" s="15">
        <f t="shared" si="0"/>
        <v>1.3910292988385149</v>
      </c>
      <c r="I4" s="15">
        <f t="shared" si="0"/>
        <v>1.3091452224362494</v>
      </c>
      <c r="J4" s="15">
        <f t="shared" si="0"/>
        <v>1.227261146033984</v>
      </c>
      <c r="K4" s="15">
        <f t="shared" si="0"/>
        <v>1.1453770696317185</v>
      </c>
      <c r="L4" s="15">
        <f t="shared" si="0"/>
        <v>1.063492993229453</v>
      </c>
      <c r="M4" s="15">
        <f t="shared" si="0"/>
        <v>0.98160891682718743</v>
      </c>
      <c r="N4" s="15">
        <f t="shared" si="0"/>
        <v>0.89972484042492185</v>
      </c>
      <c r="O4" s="15">
        <f t="shared" si="0"/>
        <v>0.81784076402265626</v>
      </c>
      <c r="P4" s="15">
        <f t="shared" si="0"/>
        <v>0.73595668762039068</v>
      </c>
      <c r="Q4" s="15">
        <f t="shared" si="0"/>
        <v>0.6540726112181251</v>
      </c>
      <c r="R4" s="15">
        <f t="shared" si="0"/>
        <v>0.57218853481585952</v>
      </c>
      <c r="S4" s="15">
        <f t="shared" si="0"/>
        <v>0.49030445841359394</v>
      </c>
      <c r="T4" s="15">
        <f t="shared" si="0"/>
        <v>0.40842038201132835</v>
      </c>
      <c r="U4" s="15">
        <f t="shared" si="0"/>
        <v>0.32653630560906277</v>
      </c>
      <c r="V4" s="15">
        <f t="shared" si="0"/>
        <v>0.24465222920679719</v>
      </c>
      <c r="W4" s="15">
        <f t="shared" si="0"/>
        <v>0.16276815280453161</v>
      </c>
      <c r="X4" s="15">
        <f t="shared" si="0"/>
        <v>8.0884076402266025E-2</v>
      </c>
      <c r="Y4" s="15">
        <f>X4+deltaalpha+0.002</f>
        <v>1.0000000000004432E-3</v>
      </c>
      <c r="AI4" s="53" t="s">
        <v>101</v>
      </c>
      <c r="AJ4" s="150" t="s">
        <v>104</v>
      </c>
      <c r="AK4" s="150"/>
      <c r="AL4" s="150"/>
      <c r="AM4" s="150"/>
      <c r="AN4" s="150"/>
      <c r="AO4" s="150"/>
      <c r="AP4" s="150"/>
    </row>
    <row r="5" spans="1:51">
      <c r="A5" s="20" t="s">
        <v>17</v>
      </c>
      <c r="B5" s="27">
        <v>2</v>
      </c>
      <c r="C5" s="1" t="s">
        <v>21</v>
      </c>
      <c r="D5" s="15" t="s">
        <v>146</v>
      </c>
      <c r="E5" s="15">
        <f>E4/PI()*180</f>
        <v>89.140627756355315</v>
      </c>
      <c r="F5" s="15">
        <f t="shared" ref="F5:Y5" si="1">F4/PI()*180</f>
        <v>89.083331976842246</v>
      </c>
      <c r="G5" s="15">
        <f t="shared" si="1"/>
        <v>84.391719989665646</v>
      </c>
      <c r="H5" s="15">
        <f t="shared" si="1"/>
        <v>79.700108002489046</v>
      </c>
      <c r="I5" s="15">
        <f t="shared" si="1"/>
        <v>75.00849601531246</v>
      </c>
      <c r="J5" s="15">
        <f t="shared" si="1"/>
        <v>70.316884028135874</v>
      </c>
      <c r="K5" s="15">
        <f t="shared" si="1"/>
        <v>65.625272040959288</v>
      </c>
      <c r="L5" s="15">
        <f t="shared" si="1"/>
        <v>60.933660053782695</v>
      </c>
      <c r="M5" s="15">
        <f t="shared" si="1"/>
        <v>56.242048066606095</v>
      </c>
      <c r="N5" s="15">
        <f t="shared" si="1"/>
        <v>51.550436079429502</v>
      </c>
      <c r="O5" s="15">
        <f t="shared" si="1"/>
        <v>46.858824092252902</v>
      </c>
      <c r="P5" s="15">
        <f t="shared" si="1"/>
        <v>42.16721210507631</v>
      </c>
      <c r="Q5" s="15">
        <f t="shared" si="1"/>
        <v>37.47560011789971</v>
      </c>
      <c r="R5" s="15">
        <f t="shared" si="1"/>
        <v>32.783988130723117</v>
      </c>
      <c r="S5" s="15">
        <f t="shared" si="1"/>
        <v>28.09237614354652</v>
      </c>
      <c r="T5" s="15">
        <f t="shared" si="1"/>
        <v>23.400764156369924</v>
      </c>
      <c r="U5" s="15">
        <f t="shared" si="1"/>
        <v>18.709152169193327</v>
      </c>
      <c r="V5" s="15">
        <f t="shared" si="1"/>
        <v>14.017540182016731</v>
      </c>
      <c r="W5" s="15">
        <f t="shared" si="1"/>
        <v>9.3259281948401345</v>
      </c>
      <c r="X5" s="15">
        <f t="shared" si="1"/>
        <v>4.6343162076635389</v>
      </c>
      <c r="Y5" s="15">
        <f t="shared" si="1"/>
        <v>5.7295779513107714E-2</v>
      </c>
      <c r="AI5" s="53" t="s">
        <v>88</v>
      </c>
      <c r="AJ5" s="31">
        <v>0.5</v>
      </c>
      <c r="AK5" s="15">
        <v>1</v>
      </c>
      <c r="AL5" s="31">
        <v>1.5</v>
      </c>
      <c r="AM5" s="31"/>
      <c r="AN5" s="31">
        <v>0.5</v>
      </c>
      <c r="AO5" s="15">
        <v>1</v>
      </c>
      <c r="AP5" s="31">
        <v>1.5</v>
      </c>
      <c r="AQ5" s="1" t="s">
        <v>25</v>
      </c>
      <c r="AR5" s="31"/>
      <c r="AS5" s="15">
        <v>0.5</v>
      </c>
      <c r="AT5" s="31">
        <v>1</v>
      </c>
      <c r="AU5" s="15">
        <v>1.5</v>
      </c>
      <c r="AV5" s="15"/>
      <c r="AW5" s="31">
        <v>0.5</v>
      </c>
      <c r="AX5" s="15">
        <v>1</v>
      </c>
      <c r="AY5" s="31">
        <v>1.5</v>
      </c>
    </row>
    <row r="6" spans="1:51">
      <c r="A6" s="20" t="s">
        <v>18</v>
      </c>
      <c r="B6" s="27">
        <v>0.5</v>
      </c>
      <c r="C6" s="1" t="s">
        <v>21</v>
      </c>
      <c r="D6" s="15" t="s">
        <v>111</v>
      </c>
      <c r="E6" s="15">
        <f>COS(E4)</f>
        <v>1.4998312784712317E-2</v>
      </c>
      <c r="F6" s="15">
        <f t="shared" ref="F6:Y6" si="2">COS(F4)</f>
        <v>1.5998192637889343E-2</v>
      </c>
      <c r="G6" s="15">
        <f t="shared" si="2"/>
        <v>9.7726722477257458E-2</v>
      </c>
      <c r="H6" s="15">
        <f t="shared" si="2"/>
        <v>0.17880036049368567</v>
      </c>
      <c r="I6" s="15">
        <f t="shared" si="2"/>
        <v>0.25867581145279972</v>
      </c>
      <c r="J6" s="15">
        <f t="shared" si="2"/>
        <v>0.33681780947889284</v>
      </c>
      <c r="K6" s="15">
        <f t="shared" si="2"/>
        <v>0.41270270500879291</v>
      </c>
      <c r="L6" s="15">
        <f t="shared" si="2"/>
        <v>0.48582197390184106</v>
      </c>
      <c r="M6" s="15">
        <f t="shared" si="2"/>
        <v>0.55568562519053577</v>
      </c>
      <c r="N6" s="15">
        <f t="shared" si="2"/>
        <v>0.62182548463563214</v>
      </c>
      <c r="O6" s="15">
        <f t="shared" si="2"/>
        <v>0.683798332081752</v>
      </c>
      <c r="P6" s="15">
        <f t="shared" si="2"/>
        <v>0.7411888715892796</v>
      </c>
      <c r="Q6" s="15">
        <f t="shared" si="2"/>
        <v>0.79361251443892877</v>
      </c>
      <c r="R6" s="15">
        <f t="shared" si="2"/>
        <v>0.84071795635935309</v>
      </c>
      <c r="S6" s="15">
        <f t="shared" si="2"/>
        <v>0.88218953170713732</v>
      </c>
      <c r="T6" s="15">
        <f t="shared" si="2"/>
        <v>0.91774932882320559</v>
      </c>
      <c r="U6" s="15">
        <f t="shared" si="2"/>
        <v>0.94715905239010134</v>
      </c>
      <c r="V6" s="15">
        <f t="shared" si="2"/>
        <v>0.97022162031000492</v>
      </c>
      <c r="W6" s="15">
        <f t="shared" si="2"/>
        <v>0.98678248440239924</v>
      </c>
      <c r="X6" s="15">
        <f t="shared" si="2"/>
        <v>0.99673066607105198</v>
      </c>
      <c r="Y6" s="15">
        <f t="shared" si="2"/>
        <v>0.99999950000004167</v>
      </c>
      <c r="AI6" s="16">
        <v>0.5</v>
      </c>
      <c r="AJ6" s="15"/>
      <c r="AK6" s="15"/>
      <c r="AL6" s="65">
        <v>0.47</v>
      </c>
      <c r="AM6" s="15"/>
      <c r="AN6" s="15"/>
      <c r="AO6" s="15"/>
      <c r="AP6" s="15"/>
      <c r="AR6" s="15">
        <v>0.5</v>
      </c>
      <c r="AS6" s="15"/>
      <c r="AT6" s="15"/>
      <c r="AU6" s="15">
        <v>-1.62</v>
      </c>
      <c r="AV6" s="15"/>
      <c r="AW6" s="15"/>
      <c r="AX6" s="15"/>
      <c r="AY6" s="15"/>
    </row>
    <row r="7" spans="1:51">
      <c r="A7" s="20" t="s">
        <v>19</v>
      </c>
      <c r="B7" s="96">
        <f>Y1*COS(ATAN((B6-B1)/B5))</f>
        <v>-1.6198177807489222</v>
      </c>
      <c r="C7" s="1" t="s">
        <v>22</v>
      </c>
      <c r="D7" s="15" t="s">
        <v>122</v>
      </c>
      <c r="E7" s="15">
        <f t="shared" ref="E7:Y7" si="3">(MR+E6)</f>
        <v>2.6881904635765053</v>
      </c>
      <c r="F7" s="15">
        <f t="shared" si="3"/>
        <v>2.6891903434296824</v>
      </c>
      <c r="G7" s="15">
        <f t="shared" si="3"/>
        <v>2.7709188732690504</v>
      </c>
      <c r="H7" s="15">
        <f t="shared" si="3"/>
        <v>2.8519925112854789</v>
      </c>
      <c r="I7" s="15">
        <f t="shared" si="3"/>
        <v>2.9318679622445929</v>
      </c>
      <c r="J7" s="15">
        <f t="shared" si="3"/>
        <v>3.0100099602706858</v>
      </c>
      <c r="K7" s="15">
        <f t="shared" si="3"/>
        <v>3.0858948558005861</v>
      </c>
      <c r="L7" s="15">
        <f t="shared" si="3"/>
        <v>3.1590141246936341</v>
      </c>
      <c r="M7" s="15">
        <f t="shared" si="3"/>
        <v>3.2288777759823288</v>
      </c>
      <c r="N7" s="15">
        <f t="shared" si="3"/>
        <v>3.295017635427425</v>
      </c>
      <c r="O7" s="15">
        <f t="shared" si="3"/>
        <v>3.3569904828735453</v>
      </c>
      <c r="P7" s="15">
        <f t="shared" si="3"/>
        <v>3.4143810223810727</v>
      </c>
      <c r="Q7" s="15">
        <f t="shared" si="3"/>
        <v>3.4668046652307218</v>
      </c>
      <c r="R7" s="15">
        <f t="shared" si="3"/>
        <v>3.5139101071511463</v>
      </c>
      <c r="S7" s="15">
        <f t="shared" si="3"/>
        <v>3.5553816824989304</v>
      </c>
      <c r="T7" s="15">
        <f t="shared" si="3"/>
        <v>3.5909414796149988</v>
      </c>
      <c r="U7" s="15">
        <f t="shared" si="3"/>
        <v>3.6203512031818943</v>
      </c>
      <c r="V7" s="15">
        <f t="shared" si="3"/>
        <v>3.6434137711017982</v>
      </c>
      <c r="W7" s="15">
        <f t="shared" si="3"/>
        <v>3.6599746351941924</v>
      </c>
      <c r="X7" s="15">
        <f t="shared" si="3"/>
        <v>3.669922816862845</v>
      </c>
      <c r="Y7" s="15">
        <f t="shared" si="3"/>
        <v>3.6731916507918347</v>
      </c>
      <c r="AI7" s="16">
        <v>1</v>
      </c>
      <c r="AJ7" s="31"/>
      <c r="AK7" s="31"/>
      <c r="AL7" s="65">
        <v>0.52</v>
      </c>
      <c r="AM7" s="31"/>
      <c r="AN7" s="31"/>
      <c r="AO7" s="31"/>
      <c r="AP7" s="31"/>
      <c r="AQ7" s="28"/>
      <c r="AR7" s="31">
        <v>1</v>
      </c>
      <c r="AS7" s="31"/>
      <c r="AT7" s="31"/>
      <c r="AU7" s="31">
        <v>-1.615</v>
      </c>
      <c r="AV7" s="31"/>
      <c r="AW7" s="31"/>
      <c r="AX7" s="31"/>
      <c r="AY7" s="31"/>
    </row>
    <row r="8" spans="1:51">
      <c r="A8" s="20" t="s">
        <v>20</v>
      </c>
      <c r="B8" s="96">
        <f>Y1*SIN(ATAN((B6-B1)/B5))</f>
        <v>-2.4297266711233854E-2</v>
      </c>
      <c r="C8" s="1" t="s">
        <v>22</v>
      </c>
      <c r="D8" s="15" t="s">
        <v>116</v>
      </c>
      <c r="E8" s="15">
        <f t="shared" ref="E8:Y8" si="4">POWER(TAN(E4/2),MR)</f>
        <v>0.96069684393556865</v>
      </c>
      <c r="F8" s="15">
        <f t="shared" si="4"/>
        <v>0.95813183839972038</v>
      </c>
      <c r="G8" s="15">
        <f t="shared" si="4"/>
        <v>0.76945041028025452</v>
      </c>
      <c r="H8" s="15">
        <f t="shared" si="4"/>
        <v>0.61683039220358704</v>
      </c>
      <c r="I8" s="15">
        <f t="shared" si="4"/>
        <v>0.4928433751873128</v>
      </c>
      <c r="J8" s="15">
        <f t="shared" si="4"/>
        <v>0.39182084400018413</v>
      </c>
      <c r="K8" s="15">
        <f t="shared" si="4"/>
        <v>0.30938498398629105</v>
      </c>
      <c r="L8" s="15">
        <f t="shared" si="4"/>
        <v>0.24211702883834763</v>
      </c>
      <c r="M8" s="15">
        <f t="shared" si="4"/>
        <v>0.18731922265217799</v>
      </c>
      <c r="N8" s="15">
        <f t="shared" si="4"/>
        <v>0.14284151494959285</v>
      </c>
      <c r="O8" s="15">
        <f t="shared" si="4"/>
        <v>0.10695365431453674</v>
      </c>
      <c r="P8" s="15">
        <f t="shared" si="4"/>
        <v>7.8249513857477151E-2</v>
      </c>
      <c r="Q8" s="15">
        <f t="shared" si="4"/>
        <v>5.5574528097136519E-2</v>
      </c>
      <c r="R8" s="15">
        <f t="shared" si="4"/>
        <v>3.7969806576078249E-2</v>
      </c>
      <c r="S8" s="15">
        <f t="shared" si="4"/>
        <v>2.4628278827295354E-2</v>
      </c>
      <c r="T8" s="15">
        <f t="shared" si="4"/>
        <v>1.4859396950925575E-2</v>
      </c>
      <c r="U8" s="15">
        <f t="shared" si="4"/>
        <v>8.0596224757435719E-3</v>
      </c>
      <c r="V8" s="15">
        <f t="shared" si="4"/>
        <v>3.686162269721929E-3</v>
      </c>
      <c r="W8" s="15">
        <f t="shared" si="4"/>
        <v>1.2309196015916053E-3</v>
      </c>
      <c r="X8" s="15">
        <f t="shared" si="4"/>
        <v>1.8898623870493728E-4</v>
      </c>
      <c r="Y8" s="15">
        <f t="shared" si="4"/>
        <v>1.4986928066512389E-9</v>
      </c>
      <c r="AI8" s="16">
        <v>1.5</v>
      </c>
      <c r="AJ8" s="31"/>
      <c r="AK8" s="31"/>
      <c r="AL8" s="65">
        <v>0.6</v>
      </c>
      <c r="AM8" s="31"/>
      <c r="AN8" s="31"/>
      <c r="AO8" s="31"/>
      <c r="AP8" s="31"/>
      <c r="AQ8" s="28"/>
      <c r="AR8" s="31">
        <v>1.5</v>
      </c>
      <c r="AS8" s="31"/>
      <c r="AT8" s="31"/>
      <c r="AU8" s="31">
        <v>-1.65</v>
      </c>
      <c r="AV8" s="31"/>
      <c r="AW8" s="31"/>
      <c r="AX8" s="31"/>
      <c r="AY8" s="31"/>
    </row>
    <row r="9" spans="1:51">
      <c r="A9" s="20" t="s">
        <v>118</v>
      </c>
      <c r="B9" s="18">
        <f>SQRT(vxupR*vxupR+vyupR*vyupR)</f>
        <v>1.62</v>
      </c>
      <c r="C9" s="1" t="s">
        <v>22</v>
      </c>
      <c r="D9" s="15" t="s">
        <v>117</v>
      </c>
      <c r="E9" s="15">
        <f>SIN(E4)</f>
        <v>0.99988751898081618</v>
      </c>
      <c r="F9" s="15">
        <f t="shared" ref="F9:Y9" si="5">SIN(F4)</f>
        <v>0.99987202072681336</v>
      </c>
      <c r="G9" s="15">
        <f t="shared" si="5"/>
        <v>0.99521328754888172</v>
      </c>
      <c r="H9" s="15">
        <f t="shared" si="5"/>
        <v>0.98388537497379647</v>
      </c>
      <c r="I9" s="15">
        <f t="shared" si="5"/>
        <v>0.96596419424802471</v>
      </c>
      <c r="J9" s="15">
        <f t="shared" si="5"/>
        <v>0.94156983979832332</v>
      </c>
      <c r="K9" s="15">
        <f t="shared" si="5"/>
        <v>0.91086578444819477</v>
      </c>
      <c r="L9" s="15">
        <f t="shared" si="5"/>
        <v>0.874057783944585</v>
      </c>
      <c r="M9" s="15">
        <f t="shared" si="5"/>
        <v>0.83139249813587046</v>
      </c>
      <c r="N9" s="15">
        <f t="shared" si="5"/>
        <v>0.78315583804097466</v>
      </c>
      <c r="O9" s="15">
        <f t="shared" si="5"/>
        <v>0.72967104988632658</v>
      </c>
      <c r="P9" s="15">
        <f t="shared" si="5"/>
        <v>0.67129654895002278</v>
      </c>
      <c r="Q9" s="15">
        <f t="shared" si="5"/>
        <v>0.60842351772915626</v>
      </c>
      <c r="R9" s="15">
        <f t="shared" si="5"/>
        <v>0.54147328452561061</v>
      </c>
      <c r="S9" s="15">
        <f t="shared" si="5"/>
        <v>0.47089450001708644</v>
      </c>
      <c r="T9" s="15">
        <f t="shared" si="5"/>
        <v>0.39716013073388384</v>
      </c>
      <c r="U9" s="15">
        <f t="shared" si="5"/>
        <v>0.320764289588921</v>
      </c>
      <c r="V9" s="15">
        <f t="shared" si="5"/>
        <v>0.24221892470042194</v>
      </c>
      <c r="W9" s="15">
        <f t="shared" si="5"/>
        <v>0.16205038869632074</v>
      </c>
      <c r="X9" s="15">
        <f t="shared" si="5"/>
        <v>8.0795911490353159E-2</v>
      </c>
      <c r="Y9" s="15">
        <f t="shared" si="5"/>
        <v>9.999998333337849E-4</v>
      </c>
      <c r="AI9" s="16">
        <v>2</v>
      </c>
      <c r="AJ9" s="31"/>
      <c r="AK9" s="31"/>
      <c r="AL9" s="65">
        <v>0.68</v>
      </c>
      <c r="AM9" s="31"/>
      <c r="AN9" s="31"/>
      <c r="AO9" s="31"/>
      <c r="AP9" s="31"/>
      <c r="AQ9" s="28"/>
      <c r="AR9" s="31">
        <v>2</v>
      </c>
      <c r="AS9" s="31"/>
      <c r="AT9" s="31"/>
      <c r="AU9" s="31">
        <v>-1.7050000000000001</v>
      </c>
      <c r="AV9" s="31"/>
      <c r="AW9" s="31"/>
      <c r="AX9" s="31"/>
      <c r="AY9" s="31"/>
    </row>
    <row r="10" spans="1:51">
      <c r="A10" s="20" t="s">
        <v>110</v>
      </c>
      <c r="B10" s="60">
        <f>ATAN(vyupR/vxupR)</f>
        <v>1.5557974516430459</v>
      </c>
      <c r="C10" s="1" t="s">
        <v>120</v>
      </c>
      <c r="D10" s="15" t="s">
        <v>119</v>
      </c>
      <c r="E10" s="15">
        <f>(E7*ZZ2null*E8/E9/N2null/N3null)</f>
        <v>1.0000000000000002</v>
      </c>
      <c r="F10" s="15">
        <f t="shared" ref="F10:Y10" si="6">(F7*ZZ2null*F8/F9/N2null/N3null)</f>
        <v>0.99771648155607329</v>
      </c>
      <c r="G10" s="15">
        <f t="shared" si="6"/>
        <v>0.82945537874223962</v>
      </c>
      <c r="H10" s="15">
        <f t="shared" si="6"/>
        <v>0.69226820750942697</v>
      </c>
      <c r="I10" s="15">
        <f t="shared" si="6"/>
        <v>0.57915798663945695</v>
      </c>
      <c r="J10" s="15">
        <f t="shared" si="6"/>
        <v>0.48496196303747441</v>
      </c>
      <c r="K10" s="15">
        <f t="shared" si="6"/>
        <v>0.40581744711472084</v>
      </c>
      <c r="L10" s="15">
        <f t="shared" si="6"/>
        <v>0.33879852121351539</v>
      </c>
      <c r="M10" s="15">
        <f t="shared" si="6"/>
        <v>0.28166481457454617</v>
      </c>
      <c r="N10" s="15">
        <f t="shared" si="6"/>
        <v>0.23268519344063968</v>
      </c>
      <c r="O10" s="15">
        <f t="shared" si="6"/>
        <v>0.1905124532120282</v>
      </c>
      <c r="P10" s="15">
        <f t="shared" si="6"/>
        <v>0.15409337408084439</v>
      </c>
      <c r="Q10" s="15">
        <f t="shared" si="6"/>
        <v>0.12260379422942869</v>
      </c>
      <c r="R10" s="15">
        <f t="shared" si="6"/>
        <v>9.5401838740125436E-2</v>
      </c>
      <c r="S10" s="15">
        <f t="shared" si="6"/>
        <v>7.1994848424796934E-2</v>
      </c>
      <c r="T10" s="15">
        <f t="shared" si="6"/>
        <v>5.2017396829463873E-2</v>
      </c>
      <c r="U10" s="15">
        <f t="shared" si="6"/>
        <v>3.5219577076964124E-2</v>
      </c>
      <c r="V10" s="15">
        <f t="shared" si="6"/>
        <v>2.1467408502033967E-2</v>
      </c>
      <c r="W10" s="15">
        <f t="shared" si="6"/>
        <v>1.0763721031928724E-2</v>
      </c>
      <c r="X10" s="15">
        <f t="shared" si="6"/>
        <v>3.3235519740440899E-3</v>
      </c>
      <c r="Y10" s="15">
        <f t="shared" si="6"/>
        <v>2.1313807104975274E-6</v>
      </c>
      <c r="AI10" s="16">
        <v>2.5</v>
      </c>
      <c r="AJ10" s="31"/>
      <c r="AK10" s="31"/>
      <c r="AL10" s="65">
        <v>0.78</v>
      </c>
      <c r="AM10" s="31"/>
      <c r="AN10" s="31"/>
      <c r="AO10" s="31"/>
      <c r="AP10" s="31"/>
      <c r="AQ10" s="28"/>
      <c r="AR10" s="31">
        <v>2.5</v>
      </c>
      <c r="AS10" s="31"/>
      <c r="AT10" s="31"/>
      <c r="AU10" s="31">
        <v>-1.778</v>
      </c>
      <c r="AV10" s="31"/>
      <c r="AW10" s="31"/>
      <c r="AX10" s="31"/>
      <c r="AY10" s="31"/>
    </row>
    <row r="11" spans="1:51">
      <c r="A11" s="20" t="s">
        <v>110</v>
      </c>
      <c r="B11" s="18">
        <f>ATAN(vyupR/vxupR)/PI()*180</f>
        <v>89.140627756355315</v>
      </c>
      <c r="C11" s="1" t="s">
        <v>23</v>
      </c>
      <c r="D11" s="17" t="s">
        <v>9</v>
      </c>
      <c r="E11" s="17">
        <f>voR*(MR+unull)/9.81/SIN(ThetaR/180*PI())/(1-MR*MR)*(E10-1)</f>
        <v>-6.1268576078061009E-16</v>
      </c>
      <c r="F11" s="17">
        <f>voR*(MR+unull)/9.81/SIN(ThetaR/180*PI())/(1-MR*MR)*(F10-1)</f>
        <v>6.3008927217401336E-3</v>
      </c>
      <c r="G11" s="17">
        <f t="shared" ref="G11:Y11" si="7">voR*(MR+unull)/9.81/SIN(ThetaR/180*PI())/(1-MR*MR)*(G10-1)</f>
        <v>0.47058230060410999</v>
      </c>
      <c r="H11" s="17">
        <f t="shared" si="7"/>
        <v>0.8491216774310959</v>
      </c>
      <c r="I11" s="17">
        <f t="shared" si="7"/>
        <v>1.1612257330517153</v>
      </c>
      <c r="J11" s="17">
        <f t="shared" si="7"/>
        <v>1.4211400074947913</v>
      </c>
      <c r="K11" s="17">
        <f t="shared" si="7"/>
        <v>1.6395227867841922</v>
      </c>
      <c r="L11" s="17">
        <f t="shared" si="7"/>
        <v>1.8244475302443768</v>
      </c>
      <c r="M11" s="17">
        <f t="shared" si="7"/>
        <v>1.9820960735635524</v>
      </c>
      <c r="N11" s="17">
        <f t="shared" si="7"/>
        <v>2.1172451191677251</v>
      </c>
      <c r="O11" s="17">
        <f t="shared" si="7"/>
        <v>2.2336119970745032</v>
      </c>
      <c r="P11" s="17">
        <f t="shared" si="7"/>
        <v>2.3341028476040724</v>
      </c>
      <c r="Q11" s="17">
        <f t="shared" si="7"/>
        <v>2.4209917733423958</v>
      </c>
      <c r="R11" s="17">
        <f t="shared" si="7"/>
        <v>2.4960498942064944</v>
      </c>
      <c r="S11" s="17">
        <f t="shared" si="7"/>
        <v>2.5606366004395658</v>
      </c>
      <c r="T11" s="17">
        <f t="shared" si="7"/>
        <v>2.6157602101002331</v>
      </c>
      <c r="U11" s="17">
        <f t="shared" si="7"/>
        <v>2.6621102890764399</v>
      </c>
      <c r="V11" s="17">
        <f t="shared" si="7"/>
        <v>2.7000565290607845</v>
      </c>
      <c r="W11" s="17">
        <f t="shared" si="7"/>
        <v>2.7295911214594315</v>
      </c>
      <c r="X11" s="17">
        <f t="shared" si="7"/>
        <v>2.7501207156871565</v>
      </c>
      <c r="Y11" s="17">
        <f t="shared" si="7"/>
        <v>2.7592854828463769</v>
      </c>
      <c r="AI11" s="16">
        <v>3</v>
      </c>
      <c r="AJ11" s="31"/>
      <c r="AK11" s="31"/>
      <c r="AL11" s="65">
        <v>0.88</v>
      </c>
      <c r="AM11" s="31"/>
      <c r="AN11" s="31"/>
      <c r="AO11" s="31"/>
      <c r="AP11" s="31"/>
      <c r="AQ11" s="28"/>
      <c r="AR11" s="31">
        <v>3</v>
      </c>
      <c r="AS11" s="31"/>
      <c r="AT11" s="31"/>
      <c r="AU11" s="31">
        <v>-1.86</v>
      </c>
      <c r="AV11" s="31"/>
      <c r="AW11" s="31"/>
      <c r="AX11" s="31"/>
      <c r="AY11" s="31"/>
    </row>
    <row r="12" spans="1:51">
      <c r="A12" s="20" t="s">
        <v>112</v>
      </c>
      <c r="B12" s="16">
        <f>COS(alphanull)</f>
        <v>1.4998312784712317E-2</v>
      </c>
      <c r="D12" s="68" t="s">
        <v>7</v>
      </c>
      <c r="E12" s="69">
        <f t="shared" ref="E12:Y12" si="8">-(-yupR+Konst*((POWER(TAN(E4/2),2*MR-1)/(2*MR-1))+(POWER(TAN(E4/2),2*MR+1)/(2*MR+1))-(POWER(TAN(alphanull/2),2*MR-1)/(2*MR-1))-(POWER(TAN(alphanull/2),2*MR+1)/(2*MR+1))))</f>
        <v>2</v>
      </c>
      <c r="F12" s="69">
        <f t="shared" si="8"/>
        <v>1.9898073270854937</v>
      </c>
      <c r="G12" s="69">
        <f t="shared" si="8"/>
        <v>1.3136721547652148</v>
      </c>
      <c r="H12" s="69">
        <f t="shared" si="8"/>
        <v>0.87136747889466748</v>
      </c>
      <c r="I12" s="69">
        <f t="shared" si="8"/>
        <v>0.5794926722435354</v>
      </c>
      <c r="J12" s="69">
        <f t="shared" si="8"/>
        <v>0.38573995668846051</v>
      </c>
      <c r="K12" s="69">
        <f t="shared" si="8"/>
        <v>0.25672724464098584</v>
      </c>
      <c r="L12" s="69">
        <f t="shared" si="8"/>
        <v>0.17082019933828585</v>
      </c>
      <c r="M12" s="69">
        <f t="shared" si="8"/>
        <v>0.11380673651619788</v>
      </c>
      <c r="N12" s="69">
        <f t="shared" si="8"/>
        <v>7.6239714339100706E-2</v>
      </c>
      <c r="O12" s="69">
        <f t="shared" si="8"/>
        <v>5.1775612487953149E-2</v>
      </c>
      <c r="P12" s="69">
        <f t="shared" si="8"/>
        <v>3.6119230592644547E-2</v>
      </c>
      <c r="Q12" s="69">
        <f t="shared" si="8"/>
        <v>2.6343594322833841E-2</v>
      </c>
      <c r="R12" s="69">
        <f t="shared" si="8"/>
        <v>2.0445920395889772E-2</v>
      </c>
      <c r="S12" s="69">
        <f t="shared" si="8"/>
        <v>1.705431581624639E-2</v>
      </c>
      <c r="T12" s="69">
        <f t="shared" si="8"/>
        <v>1.5232060582029971E-2</v>
      </c>
      <c r="U12" s="69">
        <f t="shared" si="8"/>
        <v>1.4345869676385847E-2</v>
      </c>
      <c r="V12" s="69">
        <f t="shared" si="8"/>
        <v>1.3976571613534938E-2</v>
      </c>
      <c r="W12" s="69">
        <f t="shared" si="8"/>
        <v>1.3858123348439166E-2</v>
      </c>
      <c r="X12" s="69">
        <f t="shared" si="8"/>
        <v>1.3835483187109698E-2</v>
      </c>
      <c r="Y12" s="69">
        <f t="shared" si="8"/>
        <v>1.383435782926723E-2</v>
      </c>
      <c r="Z12" s="170">
        <f>SQRT(Y12*Y12+Y13*Y13)</f>
        <v>5.2707870170001017E-2</v>
      </c>
      <c r="AI12" s="16">
        <v>3.5</v>
      </c>
      <c r="AJ12" s="31"/>
      <c r="AK12" s="31"/>
      <c r="AL12" s="65">
        <v>0.99</v>
      </c>
      <c r="AM12" s="31"/>
      <c r="AN12" s="31"/>
      <c r="AO12" s="31"/>
      <c r="AP12" s="31"/>
      <c r="AQ12" s="28"/>
      <c r="AR12" s="31">
        <v>3.5</v>
      </c>
      <c r="AS12" s="31"/>
      <c r="AT12" s="31"/>
      <c r="AU12" s="31">
        <v>1.9450000000000001</v>
      </c>
      <c r="AV12" s="31"/>
      <c r="AW12" s="31"/>
      <c r="AX12" s="31"/>
      <c r="AY12" s="31"/>
    </row>
    <row r="13" spans="1:51">
      <c r="A13" s="20" t="s">
        <v>121</v>
      </c>
      <c r="B13" s="16">
        <f>SIN(alphanull)</f>
        <v>0.99988751898081618</v>
      </c>
      <c r="D13" s="70" t="s">
        <v>6</v>
      </c>
      <c r="E13" s="71">
        <f t="shared" ref="E13:Y13" si="9">-(-xupR+0.5*Konst*((POWER(TAN(E4/2),2*MR-2)/(2*MR-2))-(POWER(TAN(E4/2),2*MR+2)/(2*MR+2))-(POWER(TAN(alphanull/2),2*MR-2)/(2*MR-2))+(POWER(TAN(alphanull/2),2*MR+2)/(2*MR+2))))</f>
        <v>0.5</v>
      </c>
      <c r="F13" s="71">
        <f t="shared" si="9"/>
        <v>0.49984201688778412</v>
      </c>
      <c r="G13" s="71">
        <f t="shared" si="9"/>
        <v>0.46326097179093034</v>
      </c>
      <c r="H13" s="71">
        <f t="shared" si="9"/>
        <v>0.40271209927839768</v>
      </c>
      <c r="I13" s="71">
        <f t="shared" si="9"/>
        <v>0.33804712400821646</v>
      </c>
      <c r="J13" s="71">
        <f t="shared" si="9"/>
        <v>0.2781141561558711</v>
      </c>
      <c r="K13" s="71">
        <f t="shared" si="9"/>
        <v>0.22629479127385321</v>
      </c>
      <c r="L13" s="71">
        <f t="shared" si="9"/>
        <v>0.18331791442107309</v>
      </c>
      <c r="M13" s="71">
        <f t="shared" si="9"/>
        <v>0.1486933791930457</v>
      </c>
      <c r="N13" s="71">
        <f t="shared" si="9"/>
        <v>0.12143716530372767</v>
      </c>
      <c r="O13" s="71">
        <f t="shared" si="9"/>
        <v>0.10043001277822039</v>
      </c>
      <c r="P13" s="71">
        <f t="shared" si="9"/>
        <v>8.458623491056505E-2</v>
      </c>
      <c r="Q13" s="71">
        <f t="shared" si="9"/>
        <v>7.2924976558922772E-2</v>
      </c>
      <c r="R13" s="71">
        <f t="shared" si="9"/>
        <v>6.4592391575870545E-2</v>
      </c>
      <c r="S13" s="71">
        <f t="shared" si="9"/>
        <v>5.8860231699740362E-2</v>
      </c>
      <c r="T13" s="71">
        <f t="shared" si="9"/>
        <v>5.511419075752344E-2</v>
      </c>
      <c r="U13" s="71">
        <f t="shared" si="9"/>
        <v>5.2838927267960689E-2</v>
      </c>
      <c r="V13" s="71">
        <f t="shared" si="9"/>
        <v>5.1603359759907097E-2</v>
      </c>
      <c r="W13" s="71">
        <f t="shared" si="9"/>
        <v>5.1048266026054112E-2</v>
      </c>
      <c r="X13" s="71">
        <f t="shared" si="9"/>
        <v>5.0877947608958529E-2</v>
      </c>
      <c r="Y13" s="71">
        <f t="shared" si="9"/>
        <v>5.0859906815776568E-2</v>
      </c>
      <c r="Z13" s="170"/>
      <c r="AI13" s="16">
        <v>4</v>
      </c>
      <c r="AJ13" s="31"/>
      <c r="AK13" s="31"/>
      <c r="AL13" s="65">
        <v>1.1000000000000001</v>
      </c>
      <c r="AM13" s="31"/>
      <c r="AN13" s="31"/>
      <c r="AO13" s="31"/>
      <c r="AP13" s="31"/>
      <c r="AQ13" s="28"/>
      <c r="AR13" s="31">
        <v>4</v>
      </c>
      <c r="AS13" s="31"/>
      <c r="AT13" s="31"/>
      <c r="AU13" s="31">
        <v>-2.0329999999999999</v>
      </c>
      <c r="AV13" s="31"/>
      <c r="AW13" s="31"/>
      <c r="AX13" s="31"/>
      <c r="AY13" s="31"/>
    </row>
    <row r="14" spans="1:51">
      <c r="A14" s="20" t="s">
        <v>114</v>
      </c>
      <c r="B14" s="16">
        <f>MR+unull</f>
        <v>2.6881904635765053</v>
      </c>
      <c r="D14" s="66" t="s">
        <v>10</v>
      </c>
      <c r="E14" s="67">
        <f t="shared" ref="E14:Y14" si="10">-voR*SIN(E4)*(MR+unull)/(MR+E6)*E10</f>
        <v>-1.6198177807489227</v>
      </c>
      <c r="F14" s="67">
        <f t="shared" si="10"/>
        <v>-1.615492960072229</v>
      </c>
      <c r="G14" s="67">
        <f t="shared" si="10"/>
        <v>-1.2973597902858316</v>
      </c>
      <c r="H14" s="67">
        <f t="shared" si="10"/>
        <v>-1.0400292696961457</v>
      </c>
      <c r="I14" s="67">
        <f t="shared" si="10"/>
        <v>-0.83097645973557754</v>
      </c>
      <c r="J14" s="67">
        <f t="shared" si="10"/>
        <v>-0.66064375456833924</v>
      </c>
      <c r="K14" s="67">
        <f t="shared" si="10"/>
        <v>-0.52164978090770686</v>
      </c>
      <c r="L14" s="67">
        <f t="shared" si="10"/>
        <v>-0.40823020374235552</v>
      </c>
      <c r="M14" s="67">
        <f t="shared" si="10"/>
        <v>-0.31583637381910046</v>
      </c>
      <c r="N14" s="67">
        <f t="shared" si="10"/>
        <v>-0.24084312049637727</v>
      </c>
      <c r="O14" s="67">
        <f t="shared" si="10"/>
        <v>-0.18033309057730118</v>
      </c>
      <c r="P14" s="67">
        <f t="shared" si="10"/>
        <v>-0.1319354327865383</v>
      </c>
      <c r="Q14" s="67">
        <f t="shared" si="10"/>
        <v>-9.3703450091181681E-2</v>
      </c>
      <c r="R14" s="67">
        <f t="shared" si="10"/>
        <v>-6.4020370433999066E-2</v>
      </c>
      <c r="S14" s="67">
        <f t="shared" si="10"/>
        <v>-4.1525403362697791E-2</v>
      </c>
      <c r="T14" s="67">
        <f t="shared" si="10"/>
        <v>-2.5054225528328936E-2</v>
      </c>
      <c r="U14" s="67">
        <f t="shared" si="10"/>
        <v>-1.358921898697177E-2</v>
      </c>
      <c r="V14" s="67">
        <f t="shared" si="10"/>
        <v>-6.2151876785199863E-3</v>
      </c>
      <c r="W14" s="67">
        <f t="shared" si="10"/>
        <v>-2.0754366686190394E-3</v>
      </c>
      <c r="X14" s="67">
        <f t="shared" si="10"/>
        <v>-3.1864710673666841E-4</v>
      </c>
      <c r="Y14" s="67">
        <f t="shared" si="10"/>
        <v>-2.526925399431204E-9</v>
      </c>
      <c r="AI14" s="16">
        <v>4.5</v>
      </c>
      <c r="AJ14" s="31"/>
      <c r="AK14" s="31"/>
      <c r="AL14" s="65">
        <v>1.22</v>
      </c>
      <c r="AM14" s="31"/>
      <c r="AN14" s="31"/>
      <c r="AO14" s="31"/>
      <c r="AP14" s="31"/>
      <c r="AQ14" s="28"/>
      <c r="AR14" s="31">
        <v>4.5</v>
      </c>
      <c r="AS14" s="31"/>
      <c r="AT14" s="31"/>
      <c r="AU14" s="31">
        <v>-2.12</v>
      </c>
      <c r="AV14" s="31"/>
      <c r="AW14" s="31"/>
      <c r="AX14" s="31"/>
      <c r="AY14" s="31"/>
    </row>
    <row r="15" spans="1:51">
      <c r="A15" s="20" t="s">
        <v>115</v>
      </c>
      <c r="B15" s="16">
        <f>POWER(TAN(alphanull/2),MR)</f>
        <v>0.96069684393556865</v>
      </c>
      <c r="D15" s="61" t="s">
        <v>11</v>
      </c>
      <c r="E15" s="15">
        <f t="shared" ref="E15:Y15" si="11">-voR*COS(E4)*(MR+unull)/(MR+E6)*E10</f>
        <v>-2.4297266711233965E-2</v>
      </c>
      <c r="F15" s="15">
        <f t="shared" si="11"/>
        <v>-2.5848275623917078E-2</v>
      </c>
      <c r="G15" s="15">
        <f t="shared" si="11"/>
        <v>-0.12739653073833085</v>
      </c>
      <c r="H15" s="15">
        <f t="shared" si="11"/>
        <v>-0.18900332607404399</v>
      </c>
      <c r="I15" s="15">
        <f t="shared" si="11"/>
        <v>-0.22252740971171336</v>
      </c>
      <c r="J15" s="15">
        <f t="shared" si="11"/>
        <v>-0.23632509544621838</v>
      </c>
      <c r="K15" s="15">
        <f t="shared" si="11"/>
        <v>-0.23635345549649325</v>
      </c>
      <c r="L15" s="15">
        <f t="shared" si="11"/>
        <v>-0.22690399540110473</v>
      </c>
      <c r="M15" s="15">
        <f t="shared" si="11"/>
        <v>-0.21109852835705592</v>
      </c>
      <c r="N15" s="15">
        <f t="shared" si="11"/>
        <v>-0.19122936055541756</v>
      </c>
      <c r="O15" s="15">
        <f t="shared" si="11"/>
        <v>-0.16899596958809918</v>
      </c>
      <c r="P15" s="15">
        <f t="shared" si="11"/>
        <v>-0.14567194588241184</v>
      </c>
      <c r="Q15" s="15">
        <f t="shared" si="11"/>
        <v>-0.122224451342739</v>
      </c>
      <c r="R15" s="15">
        <f t="shared" si="11"/>
        <v>-9.9401164443034942E-2</v>
      </c>
      <c r="S15" s="15">
        <f t="shared" si="11"/>
        <v>-7.7795081796791246E-2</v>
      </c>
      <c r="T15" s="15">
        <f t="shared" si="11"/>
        <v>-5.7894780677811397E-2</v>
      </c>
      <c r="U15" s="15">
        <f t="shared" si="11"/>
        <v>-4.012651094957273E-2</v>
      </c>
      <c r="V15" s="15">
        <f t="shared" si="11"/>
        <v>-2.4895286226881405E-2</v>
      </c>
      <c r="W15" s="15">
        <f t="shared" si="11"/>
        <v>-1.2638072444970528E-2</v>
      </c>
      <c r="X15" s="15">
        <f t="shared" si="11"/>
        <v>-3.9309581027150665E-3</v>
      </c>
      <c r="Y15" s="15">
        <f t="shared" si="11"/>
        <v>-2.526924557121561E-6</v>
      </c>
      <c r="AI15" s="16">
        <v>5</v>
      </c>
      <c r="AJ15" s="31"/>
      <c r="AK15" s="31"/>
      <c r="AL15" s="65">
        <v>1.33</v>
      </c>
      <c r="AM15" s="31"/>
      <c r="AN15" s="31"/>
      <c r="AO15" s="31"/>
      <c r="AP15" s="31"/>
      <c r="AQ15" s="28"/>
      <c r="AR15" s="31">
        <v>5</v>
      </c>
      <c r="AS15" s="31"/>
      <c r="AT15" s="31"/>
      <c r="AU15" s="31">
        <v>-2.21</v>
      </c>
      <c r="AV15" s="31"/>
      <c r="AW15" s="31"/>
      <c r="AX15" s="31"/>
      <c r="AY15" s="31"/>
    </row>
    <row r="16" spans="1:51">
      <c r="A16" s="20" t="s">
        <v>123</v>
      </c>
      <c r="B16" s="16">
        <f>-voR*voR*SIN(alphanull)*SIN(alphanull)/(2*9.81*SIN(ThetaR/180*PI())*POWER(TAN(alphanull/2),2*MR))</f>
        <v>-5.5353052750783664</v>
      </c>
      <c r="D16" s="40" t="s">
        <v>15</v>
      </c>
      <c r="E16" s="19">
        <f>SQRT(E14*E14+E15*E15)</f>
        <v>1.6200000000000006</v>
      </c>
      <c r="F16" s="19">
        <f t="shared" ref="F16:Y16" si="12">SQRT(F14*F14+F15*F15)</f>
        <v>1.6156997361501493</v>
      </c>
      <c r="G16" s="19">
        <f t="shared" si="12"/>
        <v>1.3035997474281205</v>
      </c>
      <c r="H16" s="19">
        <f t="shared" si="12"/>
        <v>1.0570634508352608</v>
      </c>
      <c r="I16" s="19">
        <f t="shared" si="12"/>
        <v>0.86025596464522036</v>
      </c>
      <c r="J16" s="19">
        <f t="shared" si="12"/>
        <v>0.70164073512575953</v>
      </c>
      <c r="K16" s="19">
        <f t="shared" si="12"/>
        <v>0.57269664731530545</v>
      </c>
      <c r="L16" s="19">
        <f t="shared" si="12"/>
        <v>0.46705173415426865</v>
      </c>
      <c r="M16" s="19">
        <f t="shared" si="12"/>
        <v>0.3798884095385292</v>
      </c>
      <c r="N16" s="19">
        <f t="shared" si="12"/>
        <v>0.30752898567267833</v>
      </c>
      <c r="O16" s="19">
        <f t="shared" si="12"/>
        <v>0.24714299766366607</v>
      </c>
      <c r="P16" s="19">
        <f t="shared" si="12"/>
        <v>0.1965382259046303</v>
      </c>
      <c r="Q16" s="19">
        <f t="shared" si="12"/>
        <v>0.15401023688386481</v>
      </c>
      <c r="R16" s="19">
        <f t="shared" si="12"/>
        <v>0.1182336640857321</v>
      </c>
      <c r="S16" s="19">
        <f t="shared" si="12"/>
        <v>8.8184090833915124E-2</v>
      </c>
      <c r="T16" s="19">
        <f t="shared" si="12"/>
        <v>6.3083435595695431E-2</v>
      </c>
      <c r="U16" s="19">
        <f t="shared" si="12"/>
        <v>4.2365124261142612E-2</v>
      </c>
      <c r="V16" s="19">
        <f t="shared" si="12"/>
        <v>2.5659381017428647E-2</v>
      </c>
      <c r="W16" s="19">
        <f t="shared" si="12"/>
        <v>1.2807353844169833E-2</v>
      </c>
      <c r="X16" s="19">
        <f t="shared" si="12"/>
        <v>3.9438518714491402E-3</v>
      </c>
      <c r="Y16" s="19">
        <f t="shared" si="12"/>
        <v>2.5269258205843659E-6</v>
      </c>
      <c r="AJ16" s="150" t="s">
        <v>339</v>
      </c>
      <c r="AK16" s="150"/>
      <c r="AL16" s="150"/>
      <c r="AM16" s="150"/>
      <c r="AN16" s="150"/>
      <c r="AO16" s="150"/>
      <c r="AP16" s="150"/>
      <c r="AU16" s="164" t="s">
        <v>340</v>
      </c>
      <c r="AV16" s="164"/>
      <c r="AW16" s="164"/>
    </row>
    <row r="17" spans="4:51">
      <c r="D17" s="92" t="s">
        <v>164</v>
      </c>
      <c r="E17" s="29">
        <f>-E15/E14*E12+E13</f>
        <v>0.46999999999999986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AI17" s="64"/>
      <c r="AR17" s="28"/>
      <c r="AS17" s="28"/>
    </row>
    <row r="18" spans="4:51">
      <c r="E18" s="29">
        <f>-((E13-F13)/(E12-F12)*E12-E13)</f>
        <v>0.46900065104786542</v>
      </c>
      <c r="G18">
        <f>(xupR+0.5*Konst*((POWER(TAN(E4/2),2*MR-2)/(2*MR-2))-(POWER(TAN(E4/2),2*MR+2)/(2*MR+2))-(POWER(TAN(alphanull/2),2*MR-2)/(2*MR-2))+(POWER(TAN(alphanull/2),2*MR+2)/(2*MR+2))))</f>
        <v>0.5</v>
      </c>
      <c r="AH18" s="64"/>
      <c r="AI18" s="53" t="s">
        <v>88</v>
      </c>
      <c r="AJ18" s="31">
        <v>0.5</v>
      </c>
      <c r="AK18" s="15">
        <v>1</v>
      </c>
      <c r="AL18" s="31">
        <v>1.5</v>
      </c>
      <c r="AM18" s="31"/>
      <c r="AN18" s="31">
        <v>0.5</v>
      </c>
      <c r="AO18" s="15">
        <v>1</v>
      </c>
      <c r="AP18" s="31">
        <v>1.5</v>
      </c>
      <c r="AQ18" s="1" t="s">
        <v>25</v>
      </c>
      <c r="AR18" s="31"/>
      <c r="AS18" s="15">
        <v>0.5</v>
      </c>
      <c r="AT18" s="31">
        <v>1</v>
      </c>
      <c r="AU18" s="15">
        <v>1.5</v>
      </c>
      <c r="AV18" s="15"/>
      <c r="AW18" s="31">
        <v>0.5</v>
      </c>
      <c r="AX18" s="15">
        <v>1</v>
      </c>
      <c r="AY18" s="31">
        <v>1.5</v>
      </c>
    </row>
    <row r="19" spans="4:51">
      <c r="AH19" s="64"/>
      <c r="AI19" s="16">
        <v>0.5</v>
      </c>
      <c r="AJ19" s="15"/>
      <c r="AK19" s="15"/>
      <c r="AL19" s="15">
        <v>0.15</v>
      </c>
      <c r="AM19" s="15"/>
      <c r="AN19" s="15"/>
      <c r="AO19" s="15"/>
      <c r="AP19" s="15"/>
      <c r="AR19" s="15">
        <v>0.5</v>
      </c>
      <c r="AS19" s="15"/>
      <c r="AT19" s="15"/>
      <c r="AU19" s="15">
        <v>-2.13</v>
      </c>
      <c r="AV19" s="15"/>
      <c r="AW19" s="15"/>
      <c r="AX19" s="15"/>
      <c r="AY19" s="15"/>
    </row>
    <row r="20" spans="4:51">
      <c r="H20" t="s">
        <v>42</v>
      </c>
      <c r="AH20" s="64"/>
      <c r="AI20" s="16">
        <v>1</v>
      </c>
      <c r="AJ20" s="31"/>
      <c r="AK20" s="31"/>
      <c r="AL20" s="31">
        <v>0.17</v>
      </c>
      <c r="AM20" s="31"/>
      <c r="AN20" s="31"/>
      <c r="AO20" s="31"/>
      <c r="AP20" s="31"/>
      <c r="AQ20" s="28"/>
      <c r="AR20" s="31">
        <v>1</v>
      </c>
      <c r="AS20" s="31"/>
      <c r="AT20" s="31"/>
      <c r="AU20" s="31">
        <v>-2.16</v>
      </c>
      <c r="AV20" s="31"/>
      <c r="AW20" s="31"/>
      <c r="AX20" s="31"/>
      <c r="AY20" s="31"/>
    </row>
    <row r="21" spans="4:51">
      <c r="AH21" s="64"/>
      <c r="AI21" s="16">
        <v>1.5</v>
      </c>
      <c r="AJ21" s="31"/>
      <c r="AK21" s="31"/>
      <c r="AL21" s="31">
        <v>0.2</v>
      </c>
      <c r="AM21" s="31"/>
      <c r="AN21" s="31"/>
      <c r="AO21" s="31"/>
      <c r="AP21" s="31"/>
      <c r="AQ21" s="28"/>
      <c r="AR21" s="31">
        <v>1.5</v>
      </c>
      <c r="AS21" s="31"/>
      <c r="AT21" s="31"/>
      <c r="AU21" s="31">
        <v>-2.2000000000000002</v>
      </c>
      <c r="AV21" s="31"/>
      <c r="AW21" s="31"/>
      <c r="AX21" s="31"/>
      <c r="AY21" s="31"/>
    </row>
    <row r="22" spans="4:51">
      <c r="AH22" s="64"/>
      <c r="AI22" s="16">
        <v>2</v>
      </c>
      <c r="AJ22" s="31"/>
      <c r="AK22" s="31"/>
      <c r="AL22" s="31">
        <v>0.25</v>
      </c>
      <c r="AM22" s="31"/>
      <c r="AN22" s="31"/>
      <c r="AO22" s="31"/>
      <c r="AP22" s="31"/>
      <c r="AQ22" s="28"/>
      <c r="AR22" s="31">
        <v>2</v>
      </c>
      <c r="AS22" s="31"/>
      <c r="AT22" s="31"/>
      <c r="AU22" s="31">
        <v>-2.23</v>
      </c>
      <c r="AV22" s="31"/>
      <c r="AW22" s="31"/>
      <c r="AX22" s="31"/>
      <c r="AY22" s="31"/>
    </row>
    <row r="23" spans="4:51">
      <c r="AH23" s="64"/>
      <c r="AI23" s="16">
        <v>2.5</v>
      </c>
      <c r="AJ23" s="31"/>
      <c r="AK23" s="31"/>
      <c r="AL23" s="31">
        <v>0.3</v>
      </c>
      <c r="AM23" s="31"/>
      <c r="AN23" s="31"/>
      <c r="AO23" s="31"/>
      <c r="AP23" s="31"/>
      <c r="AQ23" s="28"/>
      <c r="AR23" s="31">
        <v>2.5</v>
      </c>
      <c r="AS23" s="31"/>
      <c r="AT23" s="31"/>
      <c r="AU23" s="31">
        <v>-2.29</v>
      </c>
      <c r="AV23" s="31"/>
      <c r="AW23" s="31"/>
      <c r="AX23" s="31"/>
      <c r="AY23" s="31"/>
    </row>
    <row r="24" spans="4:51">
      <c r="AH24" s="64"/>
      <c r="AI24" s="16">
        <v>3</v>
      </c>
      <c r="AJ24" s="31"/>
      <c r="AK24" s="31"/>
      <c r="AL24" s="31">
        <v>0.37</v>
      </c>
      <c r="AM24" s="31"/>
      <c r="AN24" s="31"/>
      <c r="AO24" s="31"/>
      <c r="AP24" s="31"/>
      <c r="AQ24" s="28"/>
      <c r="AR24" s="31">
        <v>3</v>
      </c>
      <c r="AS24" s="31"/>
      <c r="AT24" s="31"/>
      <c r="AU24" s="31">
        <v>-2.36</v>
      </c>
      <c r="AV24" s="31"/>
      <c r="AW24" s="31"/>
      <c r="AX24" s="31"/>
      <c r="AY24" s="31"/>
    </row>
    <row r="25" spans="4:51">
      <c r="AH25" s="64"/>
      <c r="AI25" s="16">
        <v>3.5</v>
      </c>
      <c r="AJ25" s="31"/>
      <c r="AK25" s="31"/>
      <c r="AL25" s="31">
        <v>0.44</v>
      </c>
      <c r="AM25" s="31"/>
      <c r="AN25" s="31"/>
      <c r="AO25" s="31"/>
      <c r="AP25" s="31"/>
      <c r="AQ25" s="28"/>
      <c r="AR25" s="31">
        <v>3.5</v>
      </c>
      <c r="AS25" s="31"/>
      <c r="AT25" s="31"/>
      <c r="AU25" s="31">
        <v>-2.42</v>
      </c>
      <c r="AV25" s="31"/>
      <c r="AW25" s="31"/>
      <c r="AX25" s="31"/>
      <c r="AY25" s="31"/>
    </row>
    <row r="26" spans="4:51">
      <c r="AH26" s="64"/>
      <c r="AI26" s="16">
        <v>4</v>
      </c>
      <c r="AJ26" s="31"/>
      <c r="AK26" s="31"/>
      <c r="AL26" s="31">
        <v>0.51</v>
      </c>
      <c r="AM26" s="31"/>
      <c r="AN26" s="31"/>
      <c r="AO26" s="31"/>
      <c r="AP26" s="31"/>
      <c r="AQ26" s="28"/>
      <c r="AR26" s="31">
        <v>4</v>
      </c>
      <c r="AS26" s="31"/>
      <c r="AT26" s="31"/>
      <c r="AU26" s="31">
        <v>-2.5</v>
      </c>
      <c r="AV26" s="31"/>
      <c r="AW26" s="31"/>
      <c r="AX26" s="31"/>
      <c r="AY26" s="31"/>
    </row>
    <row r="27" spans="4:51">
      <c r="AI27" s="16">
        <v>4.5</v>
      </c>
      <c r="AJ27" s="31"/>
      <c r="AK27" s="31"/>
      <c r="AL27" s="31">
        <v>0.59</v>
      </c>
      <c r="AM27" s="31"/>
      <c r="AN27" s="31"/>
      <c r="AO27" s="31"/>
      <c r="AP27" s="31"/>
      <c r="AQ27" s="28"/>
      <c r="AR27" s="31">
        <v>4.5</v>
      </c>
      <c r="AS27" s="31"/>
      <c r="AT27" s="31"/>
      <c r="AU27" s="31">
        <v>-2.56</v>
      </c>
      <c r="AV27" s="31"/>
      <c r="AW27" s="31"/>
      <c r="AX27" s="31"/>
      <c r="AY27" s="31"/>
    </row>
    <row r="28" spans="4:51">
      <c r="AI28" s="16">
        <v>5</v>
      </c>
      <c r="AJ28" s="31"/>
      <c r="AK28" s="31"/>
      <c r="AL28" s="31">
        <v>0.67</v>
      </c>
      <c r="AM28" s="31"/>
      <c r="AN28" s="31"/>
      <c r="AO28" s="31"/>
      <c r="AP28" s="31"/>
      <c r="AQ28" s="28"/>
      <c r="AR28" s="31">
        <v>5</v>
      </c>
      <c r="AS28" s="31"/>
      <c r="AT28" s="31"/>
      <c r="AU28" s="31">
        <v>-2.64</v>
      </c>
      <c r="AV28" s="31"/>
      <c r="AW28" s="31"/>
      <c r="AX28" s="31"/>
      <c r="AY28" s="31"/>
    </row>
    <row r="29" spans="4:51">
      <c r="AJ29" s="150" t="s">
        <v>341</v>
      </c>
      <c r="AK29" s="150"/>
      <c r="AL29" s="150"/>
      <c r="AM29" s="150"/>
      <c r="AN29" s="150"/>
      <c r="AO29" s="150"/>
      <c r="AP29" s="150"/>
      <c r="AU29" s="164" t="s">
        <v>340</v>
      </c>
      <c r="AV29" s="164"/>
      <c r="AW29" s="164"/>
    </row>
    <row r="30" spans="4:51">
      <c r="AI30" s="28"/>
      <c r="AJ30" s="28"/>
      <c r="AK30" s="28"/>
      <c r="AL30" s="28"/>
      <c r="AM30" s="28"/>
      <c r="AN30" s="28"/>
      <c r="AO30" s="28"/>
      <c r="AP30" s="28"/>
      <c r="AQ30" s="28"/>
      <c r="AR30" s="28"/>
    </row>
    <row r="31" spans="4:51">
      <c r="AI31" s="28"/>
      <c r="AJ31" s="28"/>
      <c r="AK31" s="28"/>
      <c r="AL31" s="28"/>
      <c r="AM31" s="28"/>
      <c r="AN31" s="28"/>
      <c r="AO31" s="28"/>
      <c r="AP31" s="28"/>
      <c r="AQ31" s="28"/>
      <c r="AR31" s="28"/>
    </row>
    <row r="32" spans="4:51">
      <c r="AI32" s="28"/>
      <c r="AJ32" s="28"/>
      <c r="AK32" s="28"/>
      <c r="AL32" s="28"/>
      <c r="AM32" s="28"/>
      <c r="AN32" s="28"/>
      <c r="AO32" s="28"/>
      <c r="AP32" s="28"/>
      <c r="AQ32" s="28"/>
      <c r="AR32" s="28"/>
    </row>
    <row r="33" spans="35:44">
      <c r="AI33" s="28"/>
      <c r="AJ33" s="28"/>
      <c r="AK33" s="28"/>
      <c r="AL33" s="28"/>
      <c r="AM33" s="28"/>
      <c r="AN33" s="28"/>
      <c r="AO33" s="28"/>
      <c r="AP33" s="28"/>
      <c r="AQ33" s="28"/>
      <c r="AR33" s="28"/>
    </row>
    <row r="34" spans="35:44">
      <c r="AI34" s="28"/>
      <c r="AJ34" s="28"/>
      <c r="AK34" s="28"/>
      <c r="AL34" s="28"/>
      <c r="AM34" s="28"/>
      <c r="AN34" s="28"/>
      <c r="AO34" s="28"/>
      <c r="AP34" s="28"/>
      <c r="AQ34" s="28"/>
      <c r="AR34" s="28"/>
    </row>
    <row r="35" spans="35:44">
      <c r="AI35" s="28"/>
      <c r="AJ35" s="28"/>
      <c r="AK35" s="28"/>
      <c r="AL35" s="28"/>
      <c r="AM35" s="28"/>
      <c r="AN35" s="28"/>
      <c r="AO35" s="28"/>
      <c r="AP35" s="28"/>
      <c r="AQ35" s="28"/>
      <c r="AR35" s="89"/>
    </row>
    <row r="36" spans="35:44">
      <c r="AI36" s="28"/>
      <c r="AJ36" s="28"/>
      <c r="AK36" s="28"/>
      <c r="AL36" s="28"/>
      <c r="AM36" s="28"/>
      <c r="AN36" s="28"/>
      <c r="AO36" s="28"/>
      <c r="AP36" s="28"/>
      <c r="AQ36" s="28"/>
      <c r="AR36" s="28"/>
    </row>
    <row r="37" spans="35:44">
      <c r="AI37" s="28"/>
      <c r="AJ37" s="28"/>
      <c r="AK37" s="28"/>
      <c r="AL37" s="28"/>
      <c r="AM37" s="28"/>
      <c r="AN37" s="28"/>
      <c r="AO37" s="28"/>
      <c r="AP37" s="28"/>
      <c r="AQ37" s="28"/>
      <c r="AR37" s="28"/>
    </row>
    <row r="38" spans="35:44">
      <c r="AI38" s="28"/>
      <c r="AJ38" s="28"/>
      <c r="AK38" s="28"/>
      <c r="AL38" s="28"/>
      <c r="AM38" s="28"/>
      <c r="AN38" s="28"/>
      <c r="AO38" s="28"/>
      <c r="AP38" s="28"/>
      <c r="AQ38" s="28"/>
      <c r="AR38" s="28"/>
    </row>
    <row r="39" spans="35:44">
      <c r="AI39" s="28"/>
      <c r="AJ39" s="28"/>
      <c r="AK39" s="28"/>
      <c r="AL39" s="28"/>
      <c r="AM39" s="28"/>
      <c r="AN39" s="28"/>
      <c r="AO39" s="28"/>
      <c r="AP39" s="28"/>
      <c r="AQ39" s="28"/>
      <c r="AR39" s="28"/>
    </row>
    <row r="40" spans="35:44">
      <c r="AI40" s="28"/>
      <c r="AJ40" s="28"/>
      <c r="AK40" s="28"/>
      <c r="AL40" s="28"/>
      <c r="AM40" s="28"/>
      <c r="AN40" s="28"/>
      <c r="AO40" s="28"/>
      <c r="AP40" s="28"/>
      <c r="AQ40" s="28"/>
      <c r="AR40" s="28"/>
    </row>
    <row r="41" spans="35:44">
      <c r="AI41" s="28"/>
      <c r="AJ41" s="28"/>
      <c r="AK41" s="28"/>
      <c r="AL41" s="28"/>
      <c r="AM41" s="28"/>
      <c r="AN41" s="28"/>
      <c r="AO41" s="28"/>
      <c r="AP41" s="28"/>
      <c r="AQ41" s="28"/>
      <c r="AR41" s="28"/>
    </row>
    <row r="42" spans="35:44">
      <c r="AI42" s="28"/>
      <c r="AJ42" s="28"/>
      <c r="AK42" s="28"/>
      <c r="AL42" s="28"/>
      <c r="AM42" s="28"/>
      <c r="AN42" s="28"/>
      <c r="AO42" s="28"/>
      <c r="AP42" s="28"/>
      <c r="AQ42" s="28"/>
      <c r="AR42" s="28"/>
    </row>
    <row r="43" spans="35:44">
      <c r="AI43" s="28"/>
      <c r="AJ43" s="28"/>
      <c r="AK43" s="28"/>
      <c r="AL43" s="28"/>
      <c r="AM43" s="28"/>
      <c r="AN43" s="28"/>
      <c r="AO43" s="28"/>
      <c r="AP43" s="28"/>
      <c r="AQ43" s="28"/>
      <c r="AR43" s="28"/>
    </row>
    <row r="44" spans="35:44">
      <c r="AI44" s="28"/>
      <c r="AJ44" s="28"/>
      <c r="AK44" s="28"/>
      <c r="AL44" s="28"/>
      <c r="AM44" s="28"/>
      <c r="AN44" s="28"/>
      <c r="AO44" s="28"/>
      <c r="AP44" s="28"/>
      <c r="AQ44" s="28"/>
      <c r="AR44" s="28"/>
    </row>
    <row r="45" spans="35:44">
      <c r="AI45" s="28"/>
      <c r="AJ45" s="28"/>
      <c r="AK45" s="28"/>
      <c r="AL45" s="28"/>
      <c r="AM45" s="28"/>
      <c r="AN45" s="28"/>
      <c r="AO45" s="28"/>
      <c r="AP45" s="28"/>
      <c r="AQ45" s="28"/>
      <c r="AR45" s="120"/>
    </row>
    <row r="46" spans="35:44">
      <c r="AI46" s="28"/>
      <c r="AJ46" s="28"/>
      <c r="AK46" s="28"/>
      <c r="AL46" s="28"/>
      <c r="AM46" s="28"/>
      <c r="AN46" s="28"/>
      <c r="AO46" s="28"/>
      <c r="AP46" s="28"/>
      <c r="AQ46" s="28"/>
      <c r="AR46" s="28"/>
    </row>
    <row r="47" spans="35:44">
      <c r="AI47" s="28"/>
      <c r="AJ47" s="28"/>
      <c r="AK47" s="28"/>
      <c r="AL47" s="28"/>
      <c r="AM47" s="28"/>
      <c r="AN47" s="28"/>
      <c r="AO47" s="28"/>
      <c r="AP47" s="28"/>
      <c r="AQ47" s="28"/>
      <c r="AR47" s="28"/>
    </row>
    <row r="48" spans="35:44">
      <c r="AI48" s="28"/>
      <c r="AJ48" s="28"/>
      <c r="AK48" s="28"/>
      <c r="AL48" s="28"/>
      <c r="AM48" s="28"/>
      <c r="AN48" s="28"/>
      <c r="AO48" s="28"/>
      <c r="AP48" s="28"/>
      <c r="AQ48" s="28"/>
      <c r="AR48" s="28"/>
    </row>
    <row r="49" spans="10:44">
      <c r="AI49" s="28"/>
      <c r="AJ49" s="28"/>
      <c r="AK49" s="28"/>
      <c r="AL49" s="28"/>
      <c r="AM49" s="28"/>
      <c r="AN49" s="28"/>
      <c r="AO49" s="28"/>
      <c r="AP49" s="28"/>
      <c r="AQ49" s="28"/>
      <c r="AR49" s="28"/>
    </row>
    <row r="50" spans="10:44">
      <c r="AI50" s="28"/>
      <c r="AJ50" s="28"/>
      <c r="AK50" s="28"/>
      <c r="AL50" s="28"/>
      <c r="AM50" s="28"/>
      <c r="AN50" s="28"/>
      <c r="AO50" s="28"/>
      <c r="AP50" s="28"/>
      <c r="AQ50" s="28"/>
      <c r="AR50" s="28"/>
    </row>
    <row r="51" spans="10:44">
      <c r="AI51" s="28"/>
      <c r="AJ51" s="28"/>
      <c r="AK51" s="28"/>
      <c r="AL51" s="28"/>
      <c r="AM51" s="28"/>
      <c r="AN51" s="28"/>
      <c r="AO51" s="28"/>
      <c r="AP51" s="28"/>
      <c r="AQ51" s="28"/>
      <c r="AR51" s="28"/>
    </row>
    <row r="52" spans="10:44">
      <c r="AI52" s="28"/>
      <c r="AJ52" s="28"/>
      <c r="AK52" s="28"/>
      <c r="AL52" s="28"/>
      <c r="AM52" s="28"/>
      <c r="AN52" s="28"/>
      <c r="AO52" s="28"/>
      <c r="AP52" s="28"/>
      <c r="AQ52" s="28"/>
      <c r="AR52" s="28"/>
    </row>
    <row r="53" spans="10:44">
      <c r="AI53" s="28"/>
      <c r="AJ53" s="28"/>
      <c r="AK53" s="28"/>
      <c r="AL53" s="28"/>
      <c r="AM53" s="28"/>
      <c r="AN53" s="28"/>
      <c r="AO53" s="28"/>
      <c r="AP53" s="28"/>
    </row>
    <row r="55" spans="10:44">
      <c r="J55" t="s">
        <v>42</v>
      </c>
    </row>
  </sheetData>
  <mergeCells count="11">
    <mergeCell ref="A3:C3"/>
    <mergeCell ref="AJ4:AP4"/>
    <mergeCell ref="Z12:Z13"/>
    <mergeCell ref="AJ16:AP16"/>
    <mergeCell ref="AU16:AW16"/>
    <mergeCell ref="AJ29:AP29"/>
    <mergeCell ref="AU29:AW29"/>
    <mergeCell ref="AJ3:AL3"/>
    <mergeCell ref="AN3:AP3"/>
    <mergeCell ref="AS3:AU3"/>
    <mergeCell ref="AW3:AY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Y51"/>
  <sheetViews>
    <sheetView tabSelected="1" workbookViewId="0">
      <selection activeCell="AF14" sqref="AF14"/>
    </sheetView>
  </sheetViews>
  <sheetFormatPr baseColWidth="10" defaultRowHeight="15"/>
  <cols>
    <col min="1" max="51" width="5.7109375" customWidth="1"/>
    <col min="52" max="57" width="11.42578125" customWidth="1"/>
  </cols>
  <sheetData>
    <row r="1" spans="1:51">
      <c r="A1" s="121" t="s">
        <v>164</v>
      </c>
      <c r="B1" s="123">
        <v>0.44</v>
      </c>
      <c r="C1" s="121" t="s">
        <v>335</v>
      </c>
      <c r="D1" s="121" t="s">
        <v>336</v>
      </c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2" t="s">
        <v>338</v>
      </c>
      <c r="X1" s="119" t="s">
        <v>337</v>
      </c>
      <c r="Y1" s="124">
        <v>1.7749999999999999</v>
      </c>
    </row>
    <row r="2" spans="1:51">
      <c r="A2" s="16" t="s">
        <v>25</v>
      </c>
      <c r="B2" s="83">
        <v>1.5</v>
      </c>
      <c r="C2" s="15" t="s">
        <v>23</v>
      </c>
      <c r="D2" s="16" t="s">
        <v>16</v>
      </c>
      <c r="E2" s="31">
        <v>7.0000000000000007E-2</v>
      </c>
      <c r="G2" s="20" t="s">
        <v>113</v>
      </c>
      <c r="H2" s="15">
        <f>MüRR/TAN(ThetaR/180*PI())</f>
        <v>2.6731921507917931</v>
      </c>
      <c r="AI2" s="133"/>
      <c r="AJ2" s="133"/>
      <c r="AK2" s="133"/>
      <c r="AL2" s="133"/>
      <c r="AM2" s="133"/>
      <c r="AN2" s="133"/>
      <c r="AO2" s="133"/>
      <c r="AP2" s="133"/>
      <c r="AQ2" s="133"/>
      <c r="AR2" s="133"/>
      <c r="AS2" s="133"/>
      <c r="AT2" s="133"/>
      <c r="AU2" s="133"/>
      <c r="AV2" s="133"/>
      <c r="AW2" s="133"/>
      <c r="AX2" s="133"/>
      <c r="AY2" s="133"/>
    </row>
    <row r="3" spans="1:51">
      <c r="A3" s="174" t="s">
        <v>12</v>
      </c>
      <c r="B3" s="174"/>
      <c r="C3" s="174"/>
      <c r="D3" s="81" t="s">
        <v>343</v>
      </c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2"/>
      <c r="V3" s="82"/>
      <c r="W3" s="82"/>
      <c r="X3" s="82"/>
      <c r="Y3" s="82"/>
      <c r="AI3" s="76" t="s">
        <v>165</v>
      </c>
      <c r="AJ3" s="171" t="s">
        <v>342</v>
      </c>
      <c r="AK3" s="151"/>
      <c r="AL3" s="151"/>
      <c r="AM3" s="125"/>
      <c r="AN3" s="143" t="s">
        <v>301</v>
      </c>
      <c r="AO3" s="183"/>
      <c r="AP3" s="183"/>
      <c r="AS3" s="171" t="s">
        <v>342</v>
      </c>
      <c r="AT3" s="151"/>
      <c r="AU3" s="151"/>
      <c r="AV3" s="125"/>
      <c r="AW3" s="143" t="s">
        <v>301</v>
      </c>
      <c r="AX3" s="183"/>
      <c r="AY3" s="183"/>
    </row>
    <row r="4" spans="1:51">
      <c r="A4" s="15" t="s">
        <v>108</v>
      </c>
      <c r="B4" s="16">
        <f>(PI()/2-alphanull)/19/0.3</f>
        <v>-7.7080857418349358E-2</v>
      </c>
      <c r="D4" s="31" t="s">
        <v>109</v>
      </c>
      <c r="E4" s="15">
        <f>alphanull</f>
        <v>2.0101572140794879</v>
      </c>
      <c r="F4" s="15">
        <f>E4-0.0001</f>
        <v>2.0100572140794877</v>
      </c>
      <c r="G4" s="15">
        <f t="shared" ref="G4:X4" si="0">F4+deltaalpha</f>
        <v>1.9329763566611384</v>
      </c>
      <c r="H4" s="15">
        <f t="shared" si="0"/>
        <v>1.8558954992427892</v>
      </c>
      <c r="I4" s="15">
        <f t="shared" si="0"/>
        <v>1.7788146418244399</v>
      </c>
      <c r="J4" s="15">
        <f t="shared" si="0"/>
        <v>1.7017337844060907</v>
      </c>
      <c r="K4" s="15">
        <f t="shared" si="0"/>
        <v>1.6246529269877414</v>
      </c>
      <c r="L4" s="15">
        <f t="shared" si="0"/>
        <v>1.5475720695693922</v>
      </c>
      <c r="M4" s="15">
        <f t="shared" si="0"/>
        <v>1.4704912121510429</v>
      </c>
      <c r="N4" s="15">
        <f t="shared" si="0"/>
        <v>1.3934103547326937</v>
      </c>
      <c r="O4" s="15">
        <f t="shared" si="0"/>
        <v>1.3163294973143445</v>
      </c>
      <c r="P4" s="15">
        <f t="shared" si="0"/>
        <v>1.2392486398959952</v>
      </c>
      <c r="Q4" s="15">
        <f t="shared" si="0"/>
        <v>1.162167782477646</v>
      </c>
      <c r="R4" s="15">
        <f t="shared" si="0"/>
        <v>1.0850869250592967</v>
      </c>
      <c r="S4" s="15">
        <f t="shared" si="0"/>
        <v>1.0080060676409475</v>
      </c>
      <c r="T4" s="15">
        <f t="shared" si="0"/>
        <v>0.93092521022259811</v>
      </c>
      <c r="U4" s="15">
        <f t="shared" si="0"/>
        <v>0.85384435280424875</v>
      </c>
      <c r="V4" s="15">
        <f t="shared" si="0"/>
        <v>0.77676349538589939</v>
      </c>
      <c r="W4" s="15">
        <f t="shared" si="0"/>
        <v>0.69968263796755004</v>
      </c>
      <c r="X4" s="15">
        <f t="shared" si="0"/>
        <v>0.62260178054920068</v>
      </c>
      <c r="Y4" s="15">
        <f>X4+deltaalpha+0.000001</f>
        <v>0.54552192313085135</v>
      </c>
      <c r="AI4" s="53" t="s">
        <v>101</v>
      </c>
      <c r="AJ4" s="150" t="s">
        <v>104</v>
      </c>
      <c r="AK4" s="150"/>
      <c r="AL4" s="150"/>
      <c r="AM4" s="150"/>
      <c r="AN4" s="150"/>
      <c r="AO4" s="150"/>
      <c r="AP4" s="150"/>
    </row>
    <row r="5" spans="1:51">
      <c r="A5" s="20" t="s">
        <v>17</v>
      </c>
      <c r="B5" s="27">
        <v>2</v>
      </c>
      <c r="C5" s="1" t="s">
        <v>21</v>
      </c>
      <c r="D5" s="31" t="s">
        <v>146</v>
      </c>
      <c r="E5" s="15">
        <f>E4/PI()*180</f>
        <v>115.17352452453015</v>
      </c>
      <c r="F5" s="15">
        <f t="shared" ref="F5:Y5" si="1">F4/PI()*180</f>
        <v>115.16779494657882</v>
      </c>
      <c r="G5" s="15">
        <f t="shared" si="1"/>
        <v>110.75138713525776</v>
      </c>
      <c r="H5" s="15">
        <f t="shared" si="1"/>
        <v>106.33497932393669</v>
      </c>
      <c r="I5" s="15">
        <f t="shared" si="1"/>
        <v>101.91857151261561</v>
      </c>
      <c r="J5" s="15">
        <f t="shared" si="1"/>
        <v>97.502163701294549</v>
      </c>
      <c r="K5" s="15">
        <f t="shared" si="1"/>
        <v>93.085755889973456</v>
      </c>
      <c r="L5" s="15">
        <f t="shared" si="1"/>
        <v>88.669348078652391</v>
      </c>
      <c r="M5" s="15">
        <f t="shared" si="1"/>
        <v>84.252940267331326</v>
      </c>
      <c r="N5" s="15">
        <f t="shared" si="1"/>
        <v>79.836532456010247</v>
      </c>
      <c r="O5" s="15">
        <f t="shared" si="1"/>
        <v>75.420124644689167</v>
      </c>
      <c r="P5" s="15">
        <f t="shared" si="1"/>
        <v>71.003716833368088</v>
      </c>
      <c r="Q5" s="15">
        <f t="shared" si="1"/>
        <v>66.587309022047023</v>
      </c>
      <c r="R5" s="15">
        <f t="shared" si="1"/>
        <v>62.170901210725951</v>
      </c>
      <c r="S5" s="15">
        <f t="shared" si="1"/>
        <v>57.754493399404872</v>
      </c>
      <c r="T5" s="15">
        <f t="shared" si="1"/>
        <v>53.338085588083786</v>
      </c>
      <c r="U5" s="15">
        <f t="shared" si="1"/>
        <v>48.921677776762714</v>
      </c>
      <c r="V5" s="15">
        <f t="shared" si="1"/>
        <v>44.505269965441634</v>
      </c>
      <c r="W5" s="15">
        <f t="shared" si="1"/>
        <v>40.088862154120548</v>
      </c>
      <c r="X5" s="15">
        <f t="shared" si="1"/>
        <v>35.672454342799469</v>
      </c>
      <c r="Y5" s="15">
        <f t="shared" si="1"/>
        <v>31.256103827257906</v>
      </c>
      <c r="AI5" s="53" t="s">
        <v>88</v>
      </c>
      <c r="AJ5" s="31">
        <v>0.5</v>
      </c>
      <c r="AK5" s="15">
        <v>1</v>
      </c>
      <c r="AL5" s="31">
        <v>1.5</v>
      </c>
      <c r="AM5" s="31"/>
      <c r="AN5" s="31">
        <v>0.5</v>
      </c>
      <c r="AO5" s="15">
        <v>1</v>
      </c>
      <c r="AP5" s="31">
        <v>1.5</v>
      </c>
      <c r="AQ5" s="1" t="s">
        <v>25</v>
      </c>
      <c r="AR5" s="31"/>
      <c r="AS5" s="15">
        <v>0.5</v>
      </c>
      <c r="AT5" s="31">
        <v>1</v>
      </c>
      <c r="AU5" s="15">
        <v>1.5</v>
      </c>
      <c r="AV5" s="15"/>
      <c r="AW5" s="31">
        <v>0.5</v>
      </c>
      <c r="AX5" s="15">
        <v>1</v>
      </c>
      <c r="AY5" s="31">
        <v>1.5</v>
      </c>
    </row>
    <row r="6" spans="1:51">
      <c r="A6" s="20" t="s">
        <v>18</v>
      </c>
      <c r="B6" s="27">
        <v>-0.5</v>
      </c>
      <c r="C6" s="1" t="s">
        <v>21</v>
      </c>
      <c r="D6" s="31" t="s">
        <v>111</v>
      </c>
      <c r="E6" s="15">
        <f>COS(E4)</f>
        <v>-0.4253611398224213</v>
      </c>
      <c r="F6" s="15">
        <f t="shared" ref="F6:Y6" si="2">COS(F4)</f>
        <v>-0.42527063532559128</v>
      </c>
      <c r="G6" s="15">
        <f t="shared" si="2"/>
        <v>-0.35431367758970689</v>
      </c>
      <c r="H6" s="15">
        <f t="shared" si="2"/>
        <v>-0.2812526219077644</v>
      </c>
      <c r="I6" s="15">
        <f t="shared" si="2"/>
        <v>-0.20652134263156122</v>
      </c>
      <c r="J6" s="15">
        <f t="shared" si="2"/>
        <v>-0.13056363276480254</v>
      </c>
      <c r="K6" s="15">
        <f t="shared" si="2"/>
        <v>-5.3830568490618375E-2</v>
      </c>
      <c r="L6" s="15">
        <f t="shared" si="2"/>
        <v>2.3222169552207069E-2</v>
      </c>
      <c r="M6" s="15">
        <f t="shared" si="2"/>
        <v>0.1001370023366462</v>
      </c>
      <c r="N6" s="15">
        <f t="shared" si="2"/>
        <v>0.1764571697884505</v>
      </c>
      <c r="O6" s="15">
        <f t="shared" si="2"/>
        <v>0.25172944326380758</v>
      </c>
      <c r="P6" s="15">
        <f t="shared" si="2"/>
        <v>0.32550681705553719</v>
      </c>
      <c r="Q6" s="15">
        <f t="shared" si="2"/>
        <v>0.39735116294426953</v>
      </c>
      <c r="R6" s="15">
        <f t="shared" si="2"/>
        <v>0.46683583203050766</v>
      </c>
      <c r="S6" s="15">
        <f t="shared" si="2"/>
        <v>0.53354818839654872</v>
      </c>
      <c r="T6" s="15">
        <f t="shared" si="2"/>
        <v>0.59709205955206912</v>
      </c>
      <c r="U6" s="15">
        <f t="shared" si="2"/>
        <v>0.65709008911135858</v>
      </c>
      <c r="V6" s="15">
        <f t="shared" si="2"/>
        <v>0.71318597773079018</v>
      </c>
      <c r="W6" s="15">
        <f t="shared" si="2"/>
        <v>0.76504659899867877</v>
      </c>
      <c r="X6" s="15">
        <f t="shared" si="2"/>
        <v>0.81236397771227919</v>
      </c>
      <c r="Y6" s="15">
        <f t="shared" si="2"/>
        <v>0.8548565999299893</v>
      </c>
      <c r="AI6" s="16">
        <v>0.5</v>
      </c>
      <c r="AJ6" s="15"/>
      <c r="AK6" s="15"/>
      <c r="AL6" s="15">
        <v>0.4</v>
      </c>
      <c r="AM6" s="15"/>
      <c r="AN6" s="15"/>
      <c r="AO6" s="15"/>
      <c r="AP6" s="134">
        <v>0.44</v>
      </c>
      <c r="AR6" s="15">
        <v>0.5</v>
      </c>
      <c r="AS6" s="15"/>
      <c r="AT6" s="15"/>
      <c r="AU6" s="15">
        <v>-1.58</v>
      </c>
      <c r="AV6" s="15"/>
      <c r="AW6" s="15"/>
      <c r="AX6" s="15"/>
      <c r="AY6" s="15">
        <v>1.7749999999999999</v>
      </c>
    </row>
    <row r="7" spans="1:51">
      <c r="A7" s="20" t="s">
        <v>19</v>
      </c>
      <c r="B7" s="96">
        <f>Y1*COS(ATAN((B6-B1)/B5))</f>
        <v>1.6064170706059531</v>
      </c>
      <c r="C7" s="1" t="s">
        <v>22</v>
      </c>
      <c r="D7" s="31" t="s">
        <v>122</v>
      </c>
      <c r="E7" s="15">
        <f t="shared" ref="E7:Y7" si="3">(MR+E6)</f>
        <v>2.2478310109693718</v>
      </c>
      <c r="F7" s="15">
        <f t="shared" si="3"/>
        <v>2.247921515466202</v>
      </c>
      <c r="G7" s="15">
        <f t="shared" si="3"/>
        <v>2.3188784732020862</v>
      </c>
      <c r="H7" s="15">
        <f t="shared" si="3"/>
        <v>2.3919395288840288</v>
      </c>
      <c r="I7" s="15">
        <f t="shared" si="3"/>
        <v>2.4666708081602318</v>
      </c>
      <c r="J7" s="15">
        <f t="shared" si="3"/>
        <v>2.5426285180269907</v>
      </c>
      <c r="K7" s="15">
        <f t="shared" si="3"/>
        <v>2.6193615823011749</v>
      </c>
      <c r="L7" s="15">
        <f t="shared" si="3"/>
        <v>2.6964143203440001</v>
      </c>
      <c r="M7" s="15">
        <f t="shared" si="3"/>
        <v>2.7733291531284392</v>
      </c>
      <c r="N7" s="15">
        <f t="shared" si="3"/>
        <v>2.8496493205802436</v>
      </c>
      <c r="O7" s="15">
        <f t="shared" si="3"/>
        <v>2.9249215940556006</v>
      </c>
      <c r="P7" s="15">
        <f t="shared" si="3"/>
        <v>2.9986989678473304</v>
      </c>
      <c r="Q7" s="15">
        <f t="shared" si="3"/>
        <v>3.0705433137360627</v>
      </c>
      <c r="R7" s="15">
        <f t="shared" si="3"/>
        <v>3.1400279828223008</v>
      </c>
      <c r="S7" s="15">
        <f t="shared" si="3"/>
        <v>3.2067403391883418</v>
      </c>
      <c r="T7" s="15">
        <f t="shared" si="3"/>
        <v>3.2702842103438621</v>
      </c>
      <c r="U7" s="15">
        <f t="shared" si="3"/>
        <v>3.3302822399031515</v>
      </c>
      <c r="V7" s="15">
        <f t="shared" si="3"/>
        <v>3.3863781285225834</v>
      </c>
      <c r="W7" s="15">
        <f t="shared" si="3"/>
        <v>3.4382387497904716</v>
      </c>
      <c r="X7" s="15">
        <f t="shared" si="3"/>
        <v>3.4855561285040721</v>
      </c>
      <c r="Y7" s="15">
        <f t="shared" si="3"/>
        <v>3.5280487507217826</v>
      </c>
      <c r="AI7" s="16">
        <v>1</v>
      </c>
      <c r="AJ7" s="31"/>
      <c r="AK7" s="31"/>
      <c r="AL7" s="31">
        <v>0.43</v>
      </c>
      <c r="AM7" s="31"/>
      <c r="AN7" s="31"/>
      <c r="AO7" s="31"/>
      <c r="AP7" s="65">
        <v>0.47</v>
      </c>
      <c r="AQ7" s="28"/>
      <c r="AR7" s="31">
        <v>1</v>
      </c>
      <c r="AS7" s="31"/>
      <c r="AT7" s="31"/>
      <c r="AU7" s="31">
        <v>-1.58</v>
      </c>
      <c r="AV7" s="31"/>
      <c r="AW7" s="31"/>
      <c r="AX7" s="31"/>
      <c r="AY7" s="31">
        <v>1.91</v>
      </c>
    </row>
    <row r="8" spans="1:51">
      <c r="A8" s="20" t="s">
        <v>20</v>
      </c>
      <c r="B8" s="96">
        <f>Y1*SIN(ATAN((B6-B1)/B5))</f>
        <v>-0.7550160231847981</v>
      </c>
      <c r="C8" s="1" t="s">
        <v>22</v>
      </c>
      <c r="D8" s="31" t="s">
        <v>116</v>
      </c>
      <c r="E8" s="15">
        <f t="shared" ref="E8:Y8" si="4">POWER(TAN(E4/2),MR)</f>
        <v>3.3676515263661329</v>
      </c>
      <c r="F8" s="15">
        <f t="shared" si="4"/>
        <v>3.3666569845944236</v>
      </c>
      <c r="G8" s="15">
        <f t="shared" si="4"/>
        <v>2.6914099491229035</v>
      </c>
      <c r="H8" s="15">
        <f t="shared" si="4"/>
        <v>2.1655279694538656</v>
      </c>
      <c r="I8" s="15">
        <f t="shared" si="4"/>
        <v>1.7508952458923321</v>
      </c>
      <c r="J8" s="15">
        <f t="shared" si="4"/>
        <v>1.4205234847539332</v>
      </c>
      <c r="K8" s="15">
        <f t="shared" si="4"/>
        <v>1.1549287909881421</v>
      </c>
      <c r="L8" s="15">
        <f t="shared" si="4"/>
        <v>0.9397997260814217</v>
      </c>
      <c r="M8" s="15">
        <f t="shared" si="4"/>
        <v>0.76445998068772303</v>
      </c>
      <c r="N8" s="15">
        <f t="shared" si="4"/>
        <v>0.62083290502015454</v>
      </c>
      <c r="O8" s="15">
        <f t="shared" si="4"/>
        <v>0.50273044460104921</v>
      </c>
      <c r="P8" s="15">
        <f t="shared" si="4"/>
        <v>0.40535620849664922</v>
      </c>
      <c r="Q8" s="15">
        <f t="shared" si="4"/>
        <v>0.32495258406585958</v>
      </c>
      <c r="R8" s="15">
        <f t="shared" si="4"/>
        <v>0.2585464325626784</v>
      </c>
      <c r="S8" s="15">
        <f t="shared" si="4"/>
        <v>0.20376331380198062</v>
      </c>
      <c r="T8" s="15">
        <f t="shared" si="4"/>
        <v>0.15869003038545099</v>
      </c>
      <c r="U8" s="15">
        <f t="shared" si="4"/>
        <v>0.12177168043517526</v>
      </c>
      <c r="V8" s="15">
        <f t="shared" si="4"/>
        <v>9.1733635371579844E-2</v>
      </c>
      <c r="W8" s="15">
        <f t="shared" si="4"/>
        <v>6.7521692667755775E-2</v>
      </c>
      <c r="X8" s="15">
        <f t="shared" si="4"/>
        <v>4.825557462391606E-2</v>
      </c>
      <c r="Y8" s="15">
        <f t="shared" si="4"/>
        <v>3.3192426612795319E-2</v>
      </c>
      <c r="AI8" s="16">
        <v>1.5</v>
      </c>
      <c r="AJ8" s="31"/>
      <c r="AK8" s="31"/>
      <c r="AL8" s="31">
        <v>0.49</v>
      </c>
      <c r="AM8" s="31"/>
      <c r="AN8" s="31"/>
      <c r="AO8" s="31"/>
      <c r="AP8" s="65">
        <v>0.51</v>
      </c>
      <c r="AQ8" s="28"/>
      <c r="AR8" s="31">
        <v>1.5</v>
      </c>
      <c r="AS8" s="31"/>
      <c r="AT8" s="31"/>
      <c r="AU8" s="31">
        <v>-1.62</v>
      </c>
      <c r="AV8" s="31"/>
      <c r="AW8" s="31"/>
      <c r="AX8" s="31"/>
      <c r="AY8" s="31">
        <v>2.06</v>
      </c>
    </row>
    <row r="9" spans="1:51">
      <c r="A9" s="20" t="s">
        <v>118</v>
      </c>
      <c r="B9" s="18">
        <f>SQRT(vxupR*vxupR+vyupR*vyupR)</f>
        <v>1.7749999999999999</v>
      </c>
      <c r="C9" s="1" t="s">
        <v>22</v>
      </c>
      <c r="D9" s="31" t="s">
        <v>117</v>
      </c>
      <c r="E9" s="15">
        <f>SIN(E4)</f>
        <v>0.90502370174983293</v>
      </c>
      <c r="F9" s="15">
        <f t="shared" ref="F9:Y9" si="5">SIN(F4)</f>
        <v>0.9050662333386259</v>
      </c>
      <c r="G9" s="15">
        <f t="shared" si="5"/>
        <v>0.93512663199849955</v>
      </c>
      <c r="H9" s="15">
        <f t="shared" si="5"/>
        <v>0.95963376486553875</v>
      </c>
      <c r="I9" s="15">
        <f t="shared" si="5"/>
        <v>0.97844209590432962</v>
      </c>
      <c r="J9" s="15">
        <f t="shared" si="5"/>
        <v>0.99143993151338106</v>
      </c>
      <c r="K9" s="15">
        <f t="shared" si="5"/>
        <v>0.99855008381952326</v>
      </c>
      <c r="L9" s="15">
        <f t="shared" si="5"/>
        <v>0.99973032905943615</v>
      </c>
      <c r="M9" s="15">
        <f t="shared" si="5"/>
        <v>0.99497365832620444</v>
      </c>
      <c r="N9" s="15">
        <f t="shared" si="5"/>
        <v>0.98430831919183226</v>
      </c>
      <c r="O9" s="15">
        <f t="shared" si="5"/>
        <v>0.96779764795854584</v>
      </c>
      <c r="P9" s="15">
        <f t="shared" si="5"/>
        <v>0.94553969353505884</v>
      </c>
      <c r="Q9" s="15">
        <f t="shared" si="5"/>
        <v>0.91766663517142033</v>
      </c>
      <c r="R9" s="15">
        <f t="shared" si="5"/>
        <v>0.88434399751023562</v>
      </c>
      <c r="S9" s="15">
        <f t="shared" si="5"/>
        <v>0.84576966761569372</v>
      </c>
      <c r="T9" s="15">
        <f t="shared" si="5"/>
        <v>0.80217271981778859</v>
      </c>
      <c r="U9" s="15">
        <f t="shared" si="5"/>
        <v>0.75381205535042151</v>
      </c>
      <c r="V9" s="15">
        <f t="shared" si="5"/>
        <v>0.70097486486191274</v>
      </c>
      <c r="W9" s="15">
        <f t="shared" si="5"/>
        <v>0.64397492292833491</v>
      </c>
      <c r="X9" s="15">
        <f t="shared" si="5"/>
        <v>0.58315072469772644</v>
      </c>
      <c r="Y9" s="15">
        <f t="shared" si="5"/>
        <v>0.51886433058761927</v>
      </c>
      <c r="AI9" s="16">
        <v>2</v>
      </c>
      <c r="AJ9" s="31"/>
      <c r="AK9" s="31"/>
      <c r="AL9" s="31">
        <v>0.54</v>
      </c>
      <c r="AM9" s="31"/>
      <c r="AN9" s="31"/>
      <c r="AO9" s="31"/>
      <c r="AP9" s="65">
        <v>0.56000000000000005</v>
      </c>
      <c r="AQ9" s="28"/>
      <c r="AR9" s="31">
        <v>2</v>
      </c>
      <c r="AS9" s="31"/>
      <c r="AT9" s="31"/>
      <c r="AU9" s="31">
        <v>-1.68</v>
      </c>
      <c r="AV9" s="31"/>
      <c r="AW9" s="31"/>
      <c r="AX9" s="31"/>
      <c r="AY9" s="31">
        <v>2.39</v>
      </c>
    </row>
    <row r="10" spans="1:51">
      <c r="A10" s="20" t="s">
        <v>110</v>
      </c>
      <c r="B10" s="60">
        <f>ATAN(vyupR/vxupR)+PI()</f>
        <v>2.0101572140794879</v>
      </c>
      <c r="C10" s="1" t="s">
        <v>120</v>
      </c>
      <c r="D10" s="31" t="s">
        <v>119</v>
      </c>
      <c r="E10" s="15">
        <f>(E7*ZZ2null*E8/E9/N2null/N3null)</f>
        <v>1</v>
      </c>
      <c r="F10" s="15">
        <f t="shared" ref="F10:Y10" si="6">(F7*ZZ2null*F8/F9/N2null/N3null)</f>
        <v>0.99969794828290026</v>
      </c>
      <c r="G10" s="15">
        <f t="shared" si="6"/>
        <v>0.79791488279658673</v>
      </c>
      <c r="H10" s="15">
        <f t="shared" si="6"/>
        <v>0.64532371006427558</v>
      </c>
      <c r="I10" s="15">
        <f t="shared" si="6"/>
        <v>0.52772221590428336</v>
      </c>
      <c r="J10" s="15">
        <f t="shared" si="6"/>
        <v>0.43554604457667678</v>
      </c>
      <c r="K10" s="15">
        <f t="shared" si="6"/>
        <v>0.36220126094040678</v>
      </c>
      <c r="L10" s="15">
        <f t="shared" si="6"/>
        <v>0.30304576582428294</v>
      </c>
      <c r="M10" s="15">
        <f t="shared" si="6"/>
        <v>0.25474973326994044</v>
      </c>
      <c r="N10" s="15">
        <f t="shared" si="6"/>
        <v>0.21488402940867499</v>
      </c>
      <c r="O10" s="15">
        <f t="shared" si="6"/>
        <v>0.1816494142125113</v>
      </c>
      <c r="P10" s="15">
        <f t="shared" si="6"/>
        <v>0.15369476777715324</v>
      </c>
      <c r="Q10" s="15">
        <f t="shared" si="6"/>
        <v>0.12999283940678202</v>
      </c>
      <c r="R10" s="15">
        <f t="shared" si="6"/>
        <v>0.10975390586796234</v>
      </c>
      <c r="S10" s="15">
        <f t="shared" si="6"/>
        <v>9.2364872102354126E-2</v>
      </c>
      <c r="T10" s="15">
        <f t="shared" si="6"/>
        <v>7.7345740421628104E-2</v>
      </c>
      <c r="U10" s="15">
        <f t="shared" si="6"/>
        <v>6.4318130263015416E-2</v>
      </c>
      <c r="V10" s="15">
        <f t="shared" si="6"/>
        <v>5.2982294052908885E-2</v>
      </c>
      <c r="W10" s="15">
        <f t="shared" si="6"/>
        <v>4.3100225721189399E-2</v>
      </c>
      <c r="X10" s="15">
        <f t="shared" si="6"/>
        <v>3.4483227028820208E-2</v>
      </c>
      <c r="Y10" s="15">
        <f t="shared" si="6"/>
        <v>2.6982918038237401E-2</v>
      </c>
      <c r="AI10" s="16">
        <v>2.5</v>
      </c>
      <c r="AJ10" s="31"/>
      <c r="AK10" s="31"/>
      <c r="AL10" s="31">
        <v>0.61</v>
      </c>
      <c r="AM10" s="31"/>
      <c r="AN10" s="31"/>
      <c r="AO10" s="31"/>
      <c r="AP10" s="65">
        <v>0.62</v>
      </c>
      <c r="AQ10" s="28"/>
      <c r="AR10" s="31">
        <v>2.5</v>
      </c>
      <c r="AS10" s="31"/>
      <c r="AT10" s="31"/>
      <c r="AU10" s="31">
        <v>-1.75</v>
      </c>
      <c r="AV10" s="31"/>
      <c r="AW10" s="31"/>
      <c r="AX10" s="31"/>
      <c r="AY10" s="31">
        <v>2.375</v>
      </c>
    </row>
    <row r="11" spans="1:51">
      <c r="A11" s="20" t="s">
        <v>110</v>
      </c>
      <c r="B11" s="84">
        <f>ATAN(vyupR/vxupR)/PI()*180+180</f>
        <v>115.17352452453018</v>
      </c>
      <c r="C11" s="1" t="s">
        <v>23</v>
      </c>
      <c r="D11" s="88" t="s">
        <v>9</v>
      </c>
      <c r="E11" s="17">
        <f>voR*(MR+unull)/9.81/SIN(ThetaR/180*PI())/(1-MR*MR)*(E10-1)</f>
        <v>0</v>
      </c>
      <c r="F11" s="17">
        <f>voR*(MR+unull)/9.81/SIN(ThetaR/180*PI())/(1-MR*MR)*(F10-1)</f>
        <v>7.6359985247439566E-4</v>
      </c>
      <c r="G11" s="17">
        <f t="shared" ref="G11:Y11" si="7">voR*(MR+unull)/9.81/SIN(ThetaR/180*PI())/(1-MR*MR)*(G10-1)</f>
        <v>0.51087994852498386</v>
      </c>
      <c r="H11" s="17">
        <f t="shared" si="7"/>
        <v>0.89663705696351348</v>
      </c>
      <c r="I11" s="17">
        <f t="shared" si="7"/>
        <v>1.1939387391177856</v>
      </c>
      <c r="J11" s="17">
        <f t="shared" si="7"/>
        <v>1.4269641014737739</v>
      </c>
      <c r="K11" s="17">
        <f t="shared" si="7"/>
        <v>1.6123828983016326</v>
      </c>
      <c r="L11" s="17">
        <f t="shared" si="7"/>
        <v>1.7619305578132203</v>
      </c>
      <c r="M11" s="17">
        <f t="shared" si="7"/>
        <v>1.8840250245744108</v>
      </c>
      <c r="N11" s="17">
        <f t="shared" si="7"/>
        <v>1.9848072544506221</v>
      </c>
      <c r="O11" s="17">
        <f t="shared" si="7"/>
        <v>2.0688258043350913</v>
      </c>
      <c r="P11" s="17">
        <f t="shared" si="7"/>
        <v>2.1394963639961206</v>
      </c>
      <c r="Q11" s="17">
        <f t="shared" si="7"/>
        <v>2.1994158677842677</v>
      </c>
      <c r="R11" s="17">
        <f t="shared" si="7"/>
        <v>2.2505807703144485</v>
      </c>
      <c r="S11" s="17">
        <f t="shared" si="7"/>
        <v>2.2945410025077524</v>
      </c>
      <c r="T11" s="17">
        <f t="shared" si="7"/>
        <v>2.3325100193563104</v>
      </c>
      <c r="U11" s="17">
        <f t="shared" si="7"/>
        <v>2.3654443833477785</v>
      </c>
      <c r="V11" s="17">
        <f t="shared" si="7"/>
        <v>2.3941018693598606</v>
      </c>
      <c r="W11" s="17">
        <f t="shared" si="7"/>
        <v>2.4190841670693328</v>
      </c>
      <c r="X11" s="17">
        <f t="shared" si="7"/>
        <v>2.4408683138156082</v>
      </c>
      <c r="Y11" s="17">
        <f t="shared" si="7"/>
        <v>2.4598294205218161</v>
      </c>
      <c r="AI11" s="16">
        <v>3</v>
      </c>
      <c r="AJ11" s="31"/>
      <c r="AK11" s="31"/>
      <c r="AL11" s="31">
        <v>0.68</v>
      </c>
      <c r="AM11" s="31"/>
      <c r="AN11" s="31"/>
      <c r="AO11" s="31"/>
      <c r="AP11" s="65">
        <v>0.69</v>
      </c>
      <c r="AQ11" s="28"/>
      <c r="AR11" s="31">
        <v>3</v>
      </c>
      <c r="AS11" s="31"/>
      <c r="AT11" s="31"/>
      <c r="AU11" s="31">
        <v>-1.84</v>
      </c>
      <c r="AV11" s="31"/>
      <c r="AW11" s="31"/>
      <c r="AX11" s="31"/>
      <c r="AY11" s="31">
        <v>2.5499999999999998</v>
      </c>
    </row>
    <row r="12" spans="1:51">
      <c r="A12" s="20" t="s">
        <v>112</v>
      </c>
      <c r="B12" s="16">
        <f>COS(alphanull)</f>
        <v>-0.4253611398224213</v>
      </c>
      <c r="D12" s="68" t="s">
        <v>7</v>
      </c>
      <c r="E12" s="69">
        <f t="shared" ref="E12:Y12" si="8">-(-yupR+Konst*((POWER(TAN(E4/2),2*MR-1)/(2*MR-1))+(POWER(TAN(E4/2),2*MR+1)/(2*MR+1))-(POWER(TAN(alphanull/2),2*MR-1)/(2*MR-1))-(POWER(TAN(alphanull/2),2*MR+1)/(2*MR+1))))</f>
        <v>2</v>
      </c>
      <c r="F12" s="69">
        <f t="shared" si="8"/>
        <v>1.9987735212903059</v>
      </c>
      <c r="G12" s="69">
        <f t="shared" si="8"/>
        <v>1.2612631362696618</v>
      </c>
      <c r="H12" s="69">
        <f t="shared" si="8"/>
        <v>0.8141879321234462</v>
      </c>
      <c r="I12" s="69">
        <f t="shared" si="8"/>
        <v>0.53638478331572936</v>
      </c>
      <c r="J12" s="69">
        <f t="shared" si="8"/>
        <v>0.36008255749071383</v>
      </c>
      <c r="K12" s="69">
        <f t="shared" si="8"/>
        <v>0.24617247339165127</v>
      </c>
      <c r="L12" s="69">
        <f t="shared" si="8"/>
        <v>0.1714557597723454</v>
      </c>
      <c r="M12" s="69">
        <f t="shared" si="8"/>
        <v>0.1218310589871725</v>
      </c>
      <c r="N12" s="69">
        <f t="shared" si="8"/>
        <v>8.8538560154943546E-2</v>
      </c>
      <c r="O12" s="69">
        <f t="shared" si="8"/>
        <v>6.6030099626198213E-2</v>
      </c>
      <c r="P12" s="69">
        <f t="shared" si="8"/>
        <v>5.0730254317855605E-2</v>
      </c>
      <c r="Q12" s="69">
        <f t="shared" si="8"/>
        <v>4.0298960841309794E-2</v>
      </c>
      <c r="R12" s="69">
        <f t="shared" si="8"/>
        <v>3.3183393409432327E-2</v>
      </c>
      <c r="S12" s="69">
        <f t="shared" si="8"/>
        <v>2.8340414850700713E-2</v>
      </c>
      <c r="T12" s="69">
        <f t="shared" si="8"/>
        <v>2.506167255291647E-2</v>
      </c>
      <c r="U12" s="69">
        <f t="shared" si="8"/>
        <v>2.2861621406358612E-2</v>
      </c>
      <c r="V12" s="69">
        <f t="shared" si="8"/>
        <v>2.1404789731126916E-2</v>
      </c>
      <c r="W12" s="69">
        <f t="shared" si="8"/>
        <v>2.0457907299377132E-2</v>
      </c>
      <c r="X12" s="69">
        <f t="shared" si="8"/>
        <v>1.9858016174441051E-2</v>
      </c>
      <c r="Y12" s="69">
        <f t="shared" si="8"/>
        <v>1.9491000076009124E-2</v>
      </c>
      <c r="Z12" s="170">
        <f>SQRT(Y12*Y12+Y13*Y13)</f>
        <v>5.0434441108312966E-2</v>
      </c>
      <c r="AI12" s="16">
        <v>3.5</v>
      </c>
      <c r="AJ12" s="31"/>
      <c r="AK12" s="31"/>
      <c r="AL12" s="31">
        <v>0.76</v>
      </c>
      <c r="AM12" s="31"/>
      <c r="AN12" s="31"/>
      <c r="AO12" s="31"/>
      <c r="AP12" s="65">
        <v>0.77</v>
      </c>
      <c r="AQ12" s="28"/>
      <c r="AR12" s="31">
        <v>3.5</v>
      </c>
      <c r="AS12" s="31"/>
      <c r="AT12" s="31"/>
      <c r="AU12" s="31">
        <v>-1.925</v>
      </c>
      <c r="AV12" s="31"/>
      <c r="AW12" s="31"/>
      <c r="AX12" s="31"/>
      <c r="AY12" s="31">
        <v>2.72</v>
      </c>
    </row>
    <row r="13" spans="1:51">
      <c r="A13" s="20" t="s">
        <v>121</v>
      </c>
      <c r="B13" s="16">
        <f>SIN(alphanull)</f>
        <v>0.90502370174983293</v>
      </c>
      <c r="D13" s="85" t="s">
        <v>6</v>
      </c>
      <c r="E13" s="71">
        <f t="shared" ref="E13:Y13" si="9">-(-xupR+0.5*Konst*((POWER(TAN(E4/2),2*MR-2)/(2*MR-2))-(POWER(TAN(E4/2),2*MR+2)/(2*MR+2))-(POWER(TAN(alphanull/2),2*MR-2)/(2*MR-2))+(POWER(TAN(alphanull/2),2*MR+2)/(2*MR+2))))</f>
        <v>-0.5</v>
      </c>
      <c r="F13" s="71">
        <f t="shared" si="9"/>
        <v>-0.49942362986594746</v>
      </c>
      <c r="G13" s="71">
        <f t="shared" si="9"/>
        <v>-0.18394052133170763</v>
      </c>
      <c r="H13" s="71">
        <f t="shared" si="9"/>
        <v>-3.2343094100191094E-2</v>
      </c>
      <c r="I13" s="71">
        <f t="shared" si="9"/>
        <v>3.8489285293526354E-2</v>
      </c>
      <c r="J13" s="71">
        <f t="shared" si="9"/>
        <v>6.91904525770769E-2</v>
      </c>
      <c r="K13" s="71">
        <f t="shared" si="9"/>
        <v>8.0066074808849086E-2</v>
      </c>
      <c r="L13" s="71">
        <f t="shared" si="9"/>
        <v>8.1409698029381028E-2</v>
      </c>
      <c r="M13" s="71">
        <f t="shared" si="9"/>
        <v>7.8468022585191699E-2</v>
      </c>
      <c r="N13" s="71">
        <f t="shared" si="9"/>
        <v>7.3899074399171427E-2</v>
      </c>
      <c r="O13" s="71">
        <f t="shared" si="9"/>
        <v>6.9018058359715861E-2</v>
      </c>
      <c r="P13" s="71">
        <f t="shared" si="9"/>
        <v>6.4440820471059812E-2</v>
      </c>
      <c r="Q13" s="71">
        <f t="shared" si="9"/>
        <v>6.0420942279236334E-2</v>
      </c>
      <c r="R13" s="71">
        <f t="shared" si="9"/>
        <v>5.7027951085768191E-2</v>
      </c>
      <c r="S13" s="71">
        <f t="shared" si="9"/>
        <v>5.4241819797880897E-2</v>
      </c>
      <c r="T13" s="71">
        <f t="shared" si="9"/>
        <v>5.2002833609141819E-2</v>
      </c>
      <c r="U13" s="71">
        <f t="shared" si="9"/>
        <v>5.0237476511024282E-2</v>
      </c>
      <c r="V13" s="71">
        <f t="shared" si="9"/>
        <v>4.8871401533181369E-2</v>
      </c>
      <c r="W13" s="71">
        <f t="shared" si="9"/>
        <v>4.7835472874903306E-2</v>
      </c>
      <c r="X13" s="71">
        <f t="shared" si="9"/>
        <v>4.7068142777103361E-2</v>
      </c>
      <c r="Y13" s="71">
        <f t="shared" si="9"/>
        <v>4.6515951736419425E-2</v>
      </c>
      <c r="Z13" s="170"/>
      <c r="AI13" s="16">
        <v>4</v>
      </c>
      <c r="AJ13" s="31"/>
      <c r="AK13" s="31"/>
      <c r="AL13" s="31">
        <v>0.85</v>
      </c>
      <c r="AM13" s="31"/>
      <c r="AN13" s="31"/>
      <c r="AO13" s="31"/>
      <c r="AP13" s="65">
        <v>0.85</v>
      </c>
      <c r="AQ13" s="28"/>
      <c r="AR13" s="31">
        <v>4</v>
      </c>
      <c r="AS13" s="31"/>
      <c r="AT13" s="31"/>
      <c r="AU13" s="31">
        <v>-2.0129999999999999</v>
      </c>
      <c r="AV13" s="31"/>
      <c r="AW13" s="31"/>
      <c r="AX13" s="31"/>
      <c r="AY13" s="31">
        <v>2.87</v>
      </c>
    </row>
    <row r="14" spans="1:51">
      <c r="A14" s="20" t="s">
        <v>114</v>
      </c>
      <c r="B14" s="16">
        <f>MR+unull</f>
        <v>2.2478310109693718</v>
      </c>
      <c r="D14" s="66" t="s">
        <v>10</v>
      </c>
      <c r="E14" s="67">
        <f t="shared" ref="E14:Y14" si="10">-voR*SIN(E4)*(MR+unull)/(MR+E6)*E10</f>
        <v>-1.6064170706059533</v>
      </c>
      <c r="F14" s="67">
        <f t="shared" si="10"/>
        <v>-1.6059426602143205</v>
      </c>
      <c r="G14" s="67">
        <f t="shared" si="10"/>
        <v>-1.2838403416801971</v>
      </c>
      <c r="H14" s="67">
        <f t="shared" si="10"/>
        <v>-1.0329872523238992</v>
      </c>
      <c r="I14" s="67">
        <f t="shared" si="10"/>
        <v>-0.83520162042397006</v>
      </c>
      <c r="J14" s="67">
        <f t="shared" si="10"/>
        <v>-0.67760965089155689</v>
      </c>
      <c r="K14" s="67">
        <f t="shared" si="10"/>
        <v>-0.55091725217175502</v>
      </c>
      <c r="L14" s="67">
        <f t="shared" si="10"/>
        <v>-0.44829766711553115</v>
      </c>
      <c r="M14" s="67">
        <f t="shared" si="10"/>
        <v>-0.3646581462355088</v>
      </c>
      <c r="N14" s="67">
        <f t="shared" si="10"/>
        <v>-0.29614601416151148</v>
      </c>
      <c r="O14" s="67">
        <f t="shared" si="10"/>
        <v>-0.23980948200774263</v>
      </c>
      <c r="P14" s="67">
        <f t="shared" si="10"/>
        <v>-0.19336060394222856</v>
      </c>
      <c r="Q14" s="67">
        <f t="shared" si="10"/>
        <v>-0.15500694596634457</v>
      </c>
      <c r="R14" s="67">
        <f t="shared" si="10"/>
        <v>-0.1233302791459315</v>
      </c>
      <c r="S14" s="67">
        <f t="shared" si="10"/>
        <v>-9.7197962167998961E-2</v>
      </c>
      <c r="T14" s="67">
        <f t="shared" si="10"/>
        <v>-7.5697373006179208E-2</v>
      </c>
      <c r="U14" s="67">
        <f t="shared" si="10"/>
        <v>-5.8086801628943557E-2</v>
      </c>
      <c r="V14" s="67">
        <f t="shared" si="10"/>
        <v>-4.375823230399957E-2</v>
      </c>
      <c r="W14" s="67">
        <f t="shared" si="10"/>
        <v>-3.2208795621658098E-2</v>
      </c>
      <c r="X14" s="67">
        <f t="shared" si="10"/>
        <v>-2.3018586757224464E-2</v>
      </c>
      <c r="Y14" s="67">
        <f t="shared" si="10"/>
        <v>-1.5833253621453429E-2</v>
      </c>
      <c r="AI14" s="16">
        <v>4.5</v>
      </c>
      <c r="AJ14" s="31"/>
      <c r="AK14" s="31"/>
      <c r="AL14" s="31">
        <v>0.95</v>
      </c>
      <c r="AM14" s="31"/>
      <c r="AN14" s="31"/>
      <c r="AO14" s="31"/>
      <c r="AP14" s="65">
        <v>0.93</v>
      </c>
      <c r="AQ14" s="28"/>
      <c r="AR14" s="31">
        <v>4.5</v>
      </c>
      <c r="AS14" s="31"/>
      <c r="AT14" s="31"/>
      <c r="AU14" s="31">
        <v>-2.1019999999999999</v>
      </c>
      <c r="AV14" s="31"/>
      <c r="AW14" s="31"/>
      <c r="AX14" s="31"/>
      <c r="AY14" s="31">
        <v>3.01</v>
      </c>
    </row>
    <row r="15" spans="1:51">
      <c r="A15" s="20" t="s">
        <v>115</v>
      </c>
      <c r="B15" s="16">
        <f>POWER(TAN(alphanull/2),MR)</f>
        <v>3.3676515263661329</v>
      </c>
      <c r="D15" s="61" t="s">
        <v>11</v>
      </c>
      <c r="E15" s="15">
        <f t="shared" ref="E15:Y15" si="11">-voR*COS(E4)*(MR+unull)/(MR+E6)*E10</f>
        <v>0.75501602318479777</v>
      </c>
      <c r="F15" s="15">
        <f t="shared" si="11"/>
        <v>0.75459698997552627</v>
      </c>
      <c r="G15" s="15">
        <f t="shared" si="11"/>
        <v>0.48643913811607314</v>
      </c>
      <c r="H15" s="15">
        <f t="shared" si="11"/>
        <v>0.30275130341427942</v>
      </c>
      <c r="I15" s="15">
        <f t="shared" si="11"/>
        <v>0.17628734571011276</v>
      </c>
      <c r="J15" s="15">
        <f t="shared" si="11"/>
        <v>8.9235035633318374E-2</v>
      </c>
      <c r="K15" s="15">
        <f t="shared" si="11"/>
        <v>2.9699250299251845E-2</v>
      </c>
      <c r="L15" s="15">
        <f t="shared" si="11"/>
        <v>-1.0413252587235274E-2</v>
      </c>
      <c r="M15" s="15">
        <f t="shared" si="11"/>
        <v>-3.6700241595431699E-2</v>
      </c>
      <c r="N15" s="15">
        <f t="shared" si="11"/>
        <v>-5.3090161369332388E-2</v>
      </c>
      <c r="O15" s="15">
        <f t="shared" si="11"/>
        <v>-6.2375753363865243E-2</v>
      </c>
      <c r="P15" s="15">
        <f t="shared" si="11"/>
        <v>-6.656536490589697E-2</v>
      </c>
      <c r="Q15" s="15">
        <f t="shared" si="11"/>
        <v>-6.7118262649552604E-2</v>
      </c>
      <c r="R15" s="15">
        <f t="shared" si="11"/>
        <v>-6.510474842565922E-2</v>
      </c>
      <c r="S15" s="15">
        <f t="shared" si="11"/>
        <v>-6.1316690130032568E-2</v>
      </c>
      <c r="T15" s="15">
        <f t="shared" si="11"/>
        <v>-5.6344848477529158E-2</v>
      </c>
      <c r="U15" s="15">
        <f t="shared" si="11"/>
        <v>-5.063365780322153E-2</v>
      </c>
      <c r="V15" s="15">
        <f t="shared" si="11"/>
        <v>-4.4520508871094398E-2</v>
      </c>
      <c r="W15" s="15">
        <f t="shared" si="11"/>
        <v>-3.826426879503704E-2</v>
      </c>
      <c r="X15" s="15">
        <f t="shared" si="11"/>
        <v>-3.2066273619237716E-2</v>
      </c>
      <c r="Y15" s="15">
        <f t="shared" si="11"/>
        <v>-2.6086128027602431E-2</v>
      </c>
      <c r="AI15" s="16">
        <v>5</v>
      </c>
      <c r="AJ15" s="31"/>
      <c r="AK15" s="31"/>
      <c r="AL15" s="31">
        <v>1.03</v>
      </c>
      <c r="AM15" s="31"/>
      <c r="AN15" s="31"/>
      <c r="AO15" s="31"/>
      <c r="AP15" s="65">
        <v>1.03</v>
      </c>
      <c r="AQ15" s="28"/>
      <c r="AR15" s="31">
        <v>5</v>
      </c>
      <c r="AS15" s="31"/>
      <c r="AT15" s="31"/>
      <c r="AU15" s="31">
        <v>-2.1920000000000002</v>
      </c>
      <c r="AV15" s="31"/>
      <c r="AW15" s="31"/>
      <c r="AX15" s="31"/>
      <c r="AY15" s="31">
        <v>3.16</v>
      </c>
    </row>
    <row r="16" spans="1:51">
      <c r="A16" s="20" t="s">
        <v>123</v>
      </c>
      <c r="B16" s="16">
        <f>-voR*voR*SIN(alphanull)*SIN(alphanull)/(2*9.81*SIN(ThetaR/180*PI())*POWER(TAN(alphanull/2),2*MR))</f>
        <v>-0.44304140031507322</v>
      </c>
      <c r="D16" s="40" t="s">
        <v>15</v>
      </c>
      <c r="E16" s="19">
        <f>SQRT(E14*E14+E15*E15)</f>
        <v>1.7749999999999999</v>
      </c>
      <c r="F16" s="19">
        <f t="shared" ref="F16:Y16" si="12">SQRT(F14*F14+F15*F15)</f>
        <v>1.7743924157796587</v>
      </c>
      <c r="G16" s="19">
        <f t="shared" si="12"/>
        <v>1.3729053346886788</v>
      </c>
      <c r="H16" s="19">
        <f t="shared" si="12"/>
        <v>1.0764390438769509</v>
      </c>
      <c r="I16" s="19">
        <f t="shared" si="12"/>
        <v>0.85360352331532818</v>
      </c>
      <c r="J16" s="19">
        <f t="shared" si="12"/>
        <v>0.68346011629491388</v>
      </c>
      <c r="K16" s="19">
        <f t="shared" si="12"/>
        <v>0.55171719586108126</v>
      </c>
      <c r="L16" s="19">
        <f t="shared" si="12"/>
        <v>0.44841859257915828</v>
      </c>
      <c r="M16" s="19">
        <f t="shared" si="12"/>
        <v>0.36650030197679345</v>
      </c>
      <c r="N16" s="19">
        <f t="shared" si="12"/>
        <v>0.30086712505352242</v>
      </c>
      <c r="O16" s="19">
        <f t="shared" si="12"/>
        <v>0.24778886631269689</v>
      </c>
      <c r="P16" s="19">
        <f t="shared" si="12"/>
        <v>0.20449760624994759</v>
      </c>
      <c r="Q16" s="19">
        <f t="shared" si="12"/>
        <v>0.16891422225173222</v>
      </c>
      <c r="R16" s="19">
        <f t="shared" si="12"/>
        <v>0.13945962147439583</v>
      </c>
      <c r="S16" s="19">
        <f t="shared" si="12"/>
        <v>0.11492249709310268</v>
      </c>
      <c r="T16" s="19">
        <f t="shared" si="12"/>
        <v>9.4365429210025581E-2</v>
      </c>
      <c r="U16" s="19">
        <f t="shared" si="12"/>
        <v>7.7057406042599016E-2</v>
      </c>
      <c r="V16" s="19">
        <f t="shared" si="12"/>
        <v>6.242482362419606E-2</v>
      </c>
      <c r="W16" s="19">
        <f t="shared" si="12"/>
        <v>5.0015605382886123E-2</v>
      </c>
      <c r="X16" s="19">
        <f t="shared" si="12"/>
        <v>3.9472791136727206E-2</v>
      </c>
      <c r="Y16" s="19">
        <f t="shared" si="12"/>
        <v>3.0515209252334044E-2</v>
      </c>
      <c r="AJ16" s="150" t="s">
        <v>339</v>
      </c>
      <c r="AK16" s="150"/>
      <c r="AL16" s="150"/>
      <c r="AM16" s="150"/>
      <c r="AN16" s="150"/>
      <c r="AO16" s="150"/>
      <c r="AP16" s="150"/>
      <c r="AU16" s="164" t="s">
        <v>340</v>
      </c>
      <c r="AV16" s="164"/>
      <c r="AW16" s="164"/>
    </row>
    <row r="17" spans="4:51">
      <c r="D17" s="92" t="s">
        <v>164</v>
      </c>
      <c r="E17" s="29">
        <f>-E15/E14*E12+E13</f>
        <v>0.43999999999999961</v>
      </c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  <c r="Q17" s="59"/>
      <c r="R17" s="59"/>
      <c r="S17" s="59"/>
      <c r="T17" s="59"/>
      <c r="U17" s="59"/>
      <c r="V17" s="59"/>
      <c r="W17" s="59"/>
      <c r="X17" s="59"/>
      <c r="Y17" s="59"/>
      <c r="AI17" s="64"/>
      <c r="AR17" s="28"/>
      <c r="AS17" s="28"/>
    </row>
    <row r="18" spans="4:51">
      <c r="E18" s="29">
        <f>-((E13-F13)/(E12-F12)*E12-E13)</f>
        <v>0.43987792775679624</v>
      </c>
      <c r="AI18" s="53" t="s">
        <v>88</v>
      </c>
      <c r="AJ18" s="31">
        <v>0.5</v>
      </c>
      <c r="AK18" s="15">
        <v>1</v>
      </c>
      <c r="AL18" s="31">
        <v>1.5</v>
      </c>
      <c r="AM18" s="31"/>
      <c r="AN18" s="31">
        <v>0.5</v>
      </c>
      <c r="AO18" s="15">
        <v>1</v>
      </c>
      <c r="AP18" s="31">
        <v>1.5</v>
      </c>
      <c r="AQ18" s="1" t="s">
        <v>25</v>
      </c>
      <c r="AR18" s="31"/>
      <c r="AS18" s="15">
        <v>0.5</v>
      </c>
      <c r="AT18" s="31">
        <v>1</v>
      </c>
      <c r="AU18" s="15">
        <v>1.5</v>
      </c>
      <c r="AV18" s="15"/>
      <c r="AW18" s="31">
        <v>0.5</v>
      </c>
      <c r="AX18" s="15">
        <v>1</v>
      </c>
      <c r="AY18" s="31">
        <v>1.5</v>
      </c>
    </row>
    <row r="19" spans="4:51">
      <c r="AI19" s="16">
        <v>0.5</v>
      </c>
      <c r="AJ19" s="15"/>
      <c r="AK19" s="15"/>
      <c r="AL19" s="15">
        <v>0.15</v>
      </c>
      <c r="AM19" s="15"/>
      <c r="AN19" s="15"/>
      <c r="AO19" s="15"/>
      <c r="AP19" s="15">
        <v>0.14000000000000001</v>
      </c>
      <c r="AR19" s="15">
        <v>0.5</v>
      </c>
      <c r="AS19" s="15"/>
      <c r="AT19" s="15"/>
      <c r="AU19" s="15">
        <v>-2.13</v>
      </c>
      <c r="AV19" s="15"/>
      <c r="AW19" s="15"/>
      <c r="AX19" s="15"/>
      <c r="AY19" s="15">
        <v>2.29</v>
      </c>
    </row>
    <row r="20" spans="4:51">
      <c r="H20" t="s">
        <v>42</v>
      </c>
      <c r="AI20" s="16">
        <v>1</v>
      </c>
      <c r="AJ20" s="31"/>
      <c r="AK20" s="31"/>
      <c r="AL20" s="31">
        <v>0.17</v>
      </c>
      <c r="AM20" s="31"/>
      <c r="AN20" s="31"/>
      <c r="AO20" s="31"/>
      <c r="AP20" s="31">
        <v>0.15</v>
      </c>
      <c r="AQ20" s="28"/>
      <c r="AR20" s="31">
        <v>1</v>
      </c>
      <c r="AS20" s="31"/>
      <c r="AT20" s="31"/>
      <c r="AU20" s="31">
        <v>-2.16</v>
      </c>
      <c r="AV20" s="31"/>
      <c r="AW20" s="31"/>
      <c r="AX20" s="31"/>
      <c r="AY20" s="31">
        <v>2.4</v>
      </c>
    </row>
    <row r="21" spans="4:51">
      <c r="AI21" s="16">
        <v>1.5</v>
      </c>
      <c r="AJ21" s="31"/>
      <c r="AK21" s="31"/>
      <c r="AL21" s="31">
        <v>0.2</v>
      </c>
      <c r="AM21" s="31"/>
      <c r="AN21" s="31"/>
      <c r="AO21" s="31"/>
      <c r="AP21" s="31">
        <v>0.17</v>
      </c>
      <c r="AQ21" s="28"/>
      <c r="AR21" s="31">
        <v>1.5</v>
      </c>
      <c r="AS21" s="31"/>
      <c r="AT21" s="31"/>
      <c r="AU21" s="31">
        <v>-2.2000000000000002</v>
      </c>
      <c r="AV21" s="31"/>
      <c r="AW21" s="31"/>
      <c r="AX21" s="31"/>
      <c r="AY21" s="31">
        <v>2.5299999999999998</v>
      </c>
    </row>
    <row r="22" spans="4:51">
      <c r="AI22" s="16">
        <v>2</v>
      </c>
      <c r="AJ22" s="31"/>
      <c r="AK22" s="31"/>
      <c r="AL22" s="31">
        <v>0.25</v>
      </c>
      <c r="AM22" s="31"/>
      <c r="AN22" s="31"/>
      <c r="AO22" s="31"/>
      <c r="AP22" s="31">
        <v>0.2</v>
      </c>
      <c r="AQ22" s="28"/>
      <c r="AR22" s="31">
        <v>2</v>
      </c>
      <c r="AS22" s="31"/>
      <c r="AT22" s="31"/>
      <c r="AU22" s="31">
        <v>-2.23</v>
      </c>
      <c r="AV22" s="31"/>
      <c r="AW22" s="31"/>
      <c r="AX22" s="31"/>
      <c r="AY22" s="31">
        <v>2.66</v>
      </c>
    </row>
    <row r="23" spans="4:51">
      <c r="AI23" s="16">
        <v>2.5</v>
      </c>
      <c r="AJ23" s="31"/>
      <c r="AK23" s="31"/>
      <c r="AL23" s="31">
        <v>0.3</v>
      </c>
      <c r="AM23" s="31"/>
      <c r="AN23" s="31"/>
      <c r="AO23" s="31"/>
      <c r="AP23" s="31">
        <v>0.24</v>
      </c>
      <c r="AQ23" s="28"/>
      <c r="AR23" s="31">
        <v>2.5</v>
      </c>
      <c r="AS23" s="31"/>
      <c r="AT23" s="31"/>
      <c r="AU23" s="31">
        <v>-2.29</v>
      </c>
      <c r="AV23" s="31"/>
      <c r="AW23" s="31"/>
      <c r="AX23" s="31"/>
      <c r="AY23" s="31">
        <v>2.8</v>
      </c>
    </row>
    <row r="24" spans="4:51">
      <c r="AI24" s="16">
        <v>3</v>
      </c>
      <c r="AJ24" s="31"/>
      <c r="AK24" s="31"/>
      <c r="AL24" s="31">
        <v>0.37</v>
      </c>
      <c r="AM24" s="31"/>
      <c r="AN24" s="31"/>
      <c r="AO24" s="31"/>
      <c r="AP24" s="31">
        <v>0.28999999999999998</v>
      </c>
      <c r="AQ24" s="28"/>
      <c r="AR24" s="31">
        <v>3</v>
      </c>
      <c r="AS24" s="31"/>
      <c r="AT24" s="31"/>
      <c r="AU24" s="31">
        <v>-2.36</v>
      </c>
      <c r="AV24" s="31"/>
      <c r="AW24" s="31"/>
      <c r="AX24" s="31"/>
      <c r="AY24" s="31">
        <v>2.94</v>
      </c>
    </row>
    <row r="25" spans="4:51">
      <c r="AI25" s="16">
        <v>3.5</v>
      </c>
      <c r="AJ25" s="31"/>
      <c r="AK25" s="31"/>
      <c r="AL25" s="31">
        <v>0.44</v>
      </c>
      <c r="AM25" s="31"/>
      <c r="AN25" s="31"/>
      <c r="AO25" s="31"/>
      <c r="AP25" s="31">
        <v>0.33</v>
      </c>
      <c r="AQ25" s="28"/>
      <c r="AR25" s="31">
        <v>3.5</v>
      </c>
      <c r="AS25" s="31"/>
      <c r="AT25" s="31"/>
      <c r="AU25" s="31">
        <v>-2.42</v>
      </c>
      <c r="AV25" s="31"/>
      <c r="AW25" s="31"/>
      <c r="AX25" s="31"/>
      <c r="AY25" s="31">
        <v>3.08</v>
      </c>
    </row>
    <row r="26" spans="4:51">
      <c r="AI26" s="16">
        <v>4</v>
      </c>
      <c r="AJ26" s="31"/>
      <c r="AK26" s="31"/>
      <c r="AL26" s="31">
        <v>0.51</v>
      </c>
      <c r="AM26" s="31"/>
      <c r="AN26" s="31"/>
      <c r="AO26" s="31"/>
      <c r="AP26" s="31">
        <v>0.38</v>
      </c>
      <c r="AQ26" s="28"/>
      <c r="AR26" s="31">
        <v>4</v>
      </c>
      <c r="AS26" s="31"/>
      <c r="AT26" s="31"/>
      <c r="AU26" s="31">
        <v>-2.5</v>
      </c>
      <c r="AV26" s="31"/>
      <c r="AW26" s="31"/>
      <c r="AX26" s="31"/>
      <c r="AY26" s="31">
        <v>3.23</v>
      </c>
    </row>
    <row r="27" spans="4:51">
      <c r="AI27" s="16">
        <v>4.5</v>
      </c>
      <c r="AJ27" s="31"/>
      <c r="AK27" s="31"/>
      <c r="AL27" s="31">
        <v>0.59</v>
      </c>
      <c r="AM27" s="31"/>
      <c r="AN27" s="31"/>
      <c r="AO27" s="31"/>
      <c r="AP27" s="31">
        <v>0.43</v>
      </c>
      <c r="AQ27" s="28"/>
      <c r="AR27" s="31">
        <v>4.5</v>
      </c>
      <c r="AS27" s="31"/>
      <c r="AT27" s="31"/>
      <c r="AU27" s="31">
        <v>-2.56</v>
      </c>
      <c r="AV27" s="31"/>
      <c r="AW27" s="31"/>
      <c r="AX27" s="31"/>
      <c r="AY27" s="31">
        <v>3.35</v>
      </c>
    </row>
    <row r="28" spans="4:51">
      <c r="AI28" s="16">
        <v>5</v>
      </c>
      <c r="AJ28" s="31"/>
      <c r="AK28" s="31"/>
      <c r="AL28" s="31">
        <v>0.67</v>
      </c>
      <c r="AM28" s="31"/>
      <c r="AN28" s="31"/>
      <c r="AO28" s="31"/>
      <c r="AP28" s="31">
        <v>0.49</v>
      </c>
      <c r="AQ28" s="28"/>
      <c r="AR28" s="31">
        <v>5</v>
      </c>
      <c r="AS28" s="31"/>
      <c r="AT28" s="31"/>
      <c r="AU28" s="31">
        <v>-2.64</v>
      </c>
      <c r="AV28" s="31"/>
      <c r="AW28" s="31"/>
      <c r="AX28" s="31"/>
      <c r="AY28" s="31">
        <v>3.48</v>
      </c>
    </row>
    <row r="29" spans="4:51">
      <c r="AJ29" s="150" t="s">
        <v>341</v>
      </c>
      <c r="AK29" s="150"/>
      <c r="AL29" s="150"/>
      <c r="AM29" s="150"/>
      <c r="AN29" s="150"/>
      <c r="AO29" s="150"/>
      <c r="AP29" s="150"/>
      <c r="AU29" s="164" t="s">
        <v>340</v>
      </c>
      <c r="AV29" s="164"/>
      <c r="AW29" s="164"/>
    </row>
    <row r="30" spans="4:51">
      <c r="AI30" s="128"/>
      <c r="AJ30" s="127"/>
      <c r="AK30" s="127"/>
      <c r="AL30" s="127"/>
      <c r="AM30" s="127"/>
      <c r="AN30" s="127"/>
      <c r="AO30" s="127"/>
      <c r="AP30" s="126"/>
      <c r="AQ30" s="126"/>
      <c r="AR30" s="126"/>
      <c r="AS30" s="126"/>
    </row>
    <row r="31" spans="4:51">
      <c r="AI31" s="128"/>
      <c r="AJ31" s="127"/>
      <c r="AK31" s="127"/>
      <c r="AL31" s="127"/>
      <c r="AM31" s="127"/>
      <c r="AN31" s="127"/>
      <c r="AO31" s="127"/>
      <c r="AP31" s="126"/>
      <c r="AQ31" s="126"/>
      <c r="AR31" s="126"/>
      <c r="AS31" s="126"/>
    </row>
    <row r="32" spans="4:51">
      <c r="AI32" s="128"/>
      <c r="AJ32" s="127"/>
      <c r="AK32" s="127"/>
      <c r="AL32" s="127"/>
      <c r="AM32" s="127"/>
      <c r="AN32" s="127"/>
      <c r="AO32" s="127"/>
      <c r="AP32" s="126"/>
      <c r="AQ32" s="126"/>
      <c r="AR32" s="126"/>
      <c r="AS32" s="126"/>
    </row>
    <row r="33" spans="35:45">
      <c r="AI33" s="128"/>
      <c r="AJ33" s="127"/>
      <c r="AK33" s="127"/>
      <c r="AL33" s="127"/>
      <c r="AM33" s="127"/>
      <c r="AN33" s="127"/>
      <c r="AO33" s="127"/>
      <c r="AP33" s="126"/>
      <c r="AQ33" s="126"/>
      <c r="AR33" s="126"/>
      <c r="AS33" s="126"/>
    </row>
    <row r="34" spans="35:45">
      <c r="AI34" s="128"/>
      <c r="AJ34" s="127"/>
      <c r="AK34" s="127"/>
      <c r="AL34" s="127"/>
      <c r="AM34" s="127"/>
      <c r="AN34" s="127"/>
      <c r="AO34" s="127"/>
      <c r="AP34" s="126"/>
      <c r="AQ34" s="126"/>
      <c r="AR34" s="126"/>
      <c r="AS34" s="126"/>
    </row>
    <row r="35" spans="35:45">
      <c r="AI35" s="128"/>
      <c r="AJ35" s="127"/>
      <c r="AK35" s="127"/>
      <c r="AL35" s="127"/>
      <c r="AM35" s="127"/>
      <c r="AN35" s="127"/>
      <c r="AO35" s="127"/>
      <c r="AP35" s="126"/>
      <c r="AQ35" s="25"/>
      <c r="AR35" s="126"/>
      <c r="AS35" s="126"/>
    </row>
    <row r="36" spans="35:45">
      <c r="AI36" s="128"/>
      <c r="AJ36" s="127"/>
      <c r="AK36" s="127"/>
      <c r="AL36" s="127"/>
      <c r="AM36" s="127"/>
      <c r="AN36" s="127"/>
      <c r="AO36" s="127"/>
      <c r="AP36" s="126"/>
      <c r="AQ36" s="126"/>
      <c r="AR36" s="126"/>
      <c r="AS36" s="126"/>
    </row>
    <row r="37" spans="35:45">
      <c r="AI37" s="128"/>
      <c r="AJ37" s="127"/>
      <c r="AK37" s="127"/>
      <c r="AL37" s="127"/>
      <c r="AM37" s="127"/>
      <c r="AN37" s="127"/>
      <c r="AO37" s="127"/>
      <c r="AP37" s="126"/>
      <c r="AQ37" s="126"/>
      <c r="AR37" s="126"/>
      <c r="AS37" s="126"/>
    </row>
    <row r="38" spans="35:45">
      <c r="AI38" s="126"/>
      <c r="AJ38" s="126"/>
      <c r="AK38" s="126"/>
      <c r="AL38" s="126"/>
      <c r="AM38" s="126"/>
      <c r="AN38" s="126"/>
      <c r="AO38" s="126"/>
      <c r="AP38" s="126"/>
      <c r="AQ38" s="126"/>
      <c r="AR38" s="126"/>
      <c r="AS38" s="126"/>
    </row>
    <row r="39" spans="35:45">
      <c r="AI39" s="126"/>
      <c r="AJ39" s="126"/>
      <c r="AK39" s="126"/>
      <c r="AL39" s="126"/>
      <c r="AM39" s="126"/>
      <c r="AN39" s="126"/>
      <c r="AO39" s="126"/>
      <c r="AP39" s="126"/>
      <c r="AQ39" s="126"/>
      <c r="AR39" s="126"/>
      <c r="AS39" s="126"/>
    </row>
    <row r="40" spans="35:45">
      <c r="AI40" s="111"/>
      <c r="AJ40" s="127"/>
      <c r="AK40" s="127"/>
      <c r="AL40" s="127"/>
      <c r="AM40" s="127"/>
      <c r="AN40" s="127"/>
      <c r="AO40" s="127"/>
      <c r="AP40" s="126"/>
      <c r="AQ40" s="126"/>
      <c r="AR40" s="126"/>
      <c r="AS40" s="126"/>
    </row>
    <row r="41" spans="35:45">
      <c r="AI41" s="128"/>
      <c r="AJ41" s="129"/>
      <c r="AK41" s="129"/>
      <c r="AL41" s="129"/>
      <c r="AM41" s="129"/>
      <c r="AN41" s="129"/>
      <c r="AO41" s="129"/>
      <c r="AP41" s="126"/>
      <c r="AQ41" s="126"/>
      <c r="AR41" s="126"/>
      <c r="AS41" s="126"/>
    </row>
    <row r="42" spans="35:45">
      <c r="AI42" s="128"/>
      <c r="AJ42" s="129"/>
      <c r="AK42" s="129"/>
      <c r="AL42" s="129"/>
      <c r="AM42" s="129"/>
      <c r="AN42" s="129"/>
      <c r="AO42" s="129"/>
      <c r="AP42" s="126"/>
      <c r="AQ42" s="126"/>
      <c r="AR42" s="126"/>
      <c r="AS42" s="126"/>
    </row>
    <row r="43" spans="35:45">
      <c r="AI43" s="128"/>
      <c r="AJ43" s="129"/>
      <c r="AK43" s="129"/>
      <c r="AL43" s="129"/>
      <c r="AM43" s="129"/>
      <c r="AN43" s="129"/>
      <c r="AO43" s="129"/>
      <c r="AP43" s="126"/>
      <c r="AQ43" s="126"/>
      <c r="AR43" s="126"/>
      <c r="AS43" s="126"/>
    </row>
    <row r="44" spans="35:45">
      <c r="AI44" s="128"/>
      <c r="AJ44" s="130"/>
      <c r="AK44" s="131"/>
      <c r="AL44" s="131"/>
      <c r="AM44" s="131"/>
      <c r="AN44" s="130"/>
      <c r="AO44" s="129"/>
      <c r="AP44" s="126"/>
      <c r="AQ44" s="126"/>
      <c r="AR44" s="126"/>
      <c r="AS44" s="126"/>
    </row>
    <row r="45" spans="35:45">
      <c r="AI45" s="128"/>
      <c r="AJ45" s="130"/>
      <c r="AK45" s="131"/>
      <c r="AL45" s="131"/>
      <c r="AM45" s="131"/>
      <c r="AN45" s="130"/>
      <c r="AO45" s="129"/>
      <c r="AP45" s="126"/>
      <c r="AQ45" s="132"/>
      <c r="AR45" s="126"/>
      <c r="AS45" s="126"/>
    </row>
    <row r="46" spans="35:45">
      <c r="AI46" s="128"/>
      <c r="AJ46" s="130"/>
      <c r="AK46" s="131"/>
      <c r="AL46" s="131"/>
      <c r="AM46" s="131"/>
      <c r="AN46" s="130"/>
      <c r="AO46" s="129"/>
      <c r="AP46" s="126"/>
      <c r="AQ46" s="126"/>
      <c r="AR46" s="126"/>
      <c r="AS46" s="126"/>
    </row>
    <row r="47" spans="35:45">
      <c r="AI47" s="128"/>
      <c r="AJ47" s="130"/>
      <c r="AK47" s="131"/>
      <c r="AL47" s="131"/>
      <c r="AM47" s="131"/>
      <c r="AN47" s="130"/>
      <c r="AO47" s="129"/>
      <c r="AP47" s="126"/>
      <c r="AQ47" s="126"/>
      <c r="AR47" s="126"/>
      <c r="AS47" s="126"/>
    </row>
    <row r="48" spans="35:45">
      <c r="AI48" s="128"/>
      <c r="AJ48" s="130"/>
      <c r="AK48" s="131"/>
      <c r="AL48" s="131"/>
      <c r="AM48" s="131"/>
      <c r="AN48" s="130"/>
      <c r="AO48" s="129"/>
      <c r="AP48" s="126"/>
      <c r="AQ48" s="126"/>
      <c r="AR48" s="126"/>
      <c r="AS48" s="126"/>
    </row>
    <row r="49" spans="35:45">
      <c r="AI49" s="128"/>
      <c r="AJ49" s="129"/>
      <c r="AK49" s="129"/>
      <c r="AL49" s="129"/>
      <c r="AM49" s="129"/>
      <c r="AN49" s="129"/>
      <c r="AO49" s="129"/>
      <c r="AP49" s="126"/>
      <c r="AQ49" s="126"/>
      <c r="AR49" s="126"/>
      <c r="AS49" s="126"/>
    </row>
    <row r="50" spans="35:45">
      <c r="AI50" s="128"/>
      <c r="AJ50" s="129"/>
      <c r="AK50" s="129"/>
      <c r="AL50" s="129"/>
      <c r="AM50" s="129"/>
      <c r="AN50" s="129"/>
      <c r="AO50" s="129"/>
      <c r="AP50" s="126"/>
      <c r="AQ50" s="126"/>
      <c r="AR50" s="126"/>
      <c r="AS50" s="126"/>
    </row>
    <row r="51" spans="35:45">
      <c r="AI51" s="126"/>
      <c r="AJ51" s="126"/>
      <c r="AK51" s="126"/>
      <c r="AL51" s="126"/>
      <c r="AM51" s="126"/>
      <c r="AN51" s="126"/>
      <c r="AO51" s="126"/>
    </row>
  </sheetData>
  <mergeCells count="11">
    <mergeCell ref="A3:C3"/>
    <mergeCell ref="Z12:Z13"/>
    <mergeCell ref="AJ3:AL3"/>
    <mergeCell ref="AN3:AP3"/>
    <mergeCell ref="AS3:AU3"/>
    <mergeCell ref="AW3:AY3"/>
    <mergeCell ref="AJ4:AP4"/>
    <mergeCell ref="AJ16:AP16"/>
    <mergeCell ref="AU16:AW16"/>
    <mergeCell ref="AJ29:AP29"/>
    <mergeCell ref="AU29:AW29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O52"/>
  <sheetViews>
    <sheetView workbookViewId="0">
      <selection activeCell="A2" sqref="A2"/>
    </sheetView>
  </sheetViews>
  <sheetFormatPr baseColWidth="10" defaultRowHeight="15"/>
  <cols>
    <col min="1" max="3" width="5.7109375" customWidth="1"/>
    <col min="4" max="4" width="1.7109375" customWidth="1"/>
    <col min="5" max="41" width="5.7109375" customWidth="1"/>
  </cols>
  <sheetData>
    <row r="1" spans="1:41">
      <c r="A1" s="157" t="s">
        <v>12</v>
      </c>
      <c r="B1" s="151"/>
      <c r="C1" s="151"/>
      <c r="E1" s="17" t="s">
        <v>24</v>
      </c>
      <c r="F1" s="26">
        <f>tmaxx/20</f>
        <v>0.12059205040370805</v>
      </c>
      <c r="AC1" s="145" t="s">
        <v>12</v>
      </c>
      <c r="AD1" s="145"/>
      <c r="AE1" s="145"/>
      <c r="AF1" s="145"/>
      <c r="AG1" s="147"/>
      <c r="AH1" s="151"/>
      <c r="AI1" s="57" t="s">
        <v>107</v>
      </c>
      <c r="AJ1" s="152" t="s">
        <v>13</v>
      </c>
      <c r="AK1" s="153"/>
      <c r="AL1" s="153"/>
      <c r="AM1" s="153"/>
      <c r="AN1" s="153"/>
      <c r="AO1" s="141"/>
    </row>
    <row r="2" spans="1:41">
      <c r="A2" s="16" t="s">
        <v>43</v>
      </c>
      <c r="B2" s="27">
        <v>-2</v>
      </c>
      <c r="C2" s="1" t="s">
        <v>21</v>
      </c>
      <c r="E2" s="15" t="s">
        <v>9</v>
      </c>
      <c r="F2" s="18">
        <v>0</v>
      </c>
      <c r="G2" s="18">
        <f t="shared" ref="G2:Z2" si="0">F2+deltat</f>
        <v>0.12059205040370805</v>
      </c>
      <c r="H2" s="18">
        <f t="shared" si="0"/>
        <v>0.24118410080741609</v>
      </c>
      <c r="I2" s="18">
        <f t="shared" si="0"/>
        <v>0.36177615121112416</v>
      </c>
      <c r="J2" s="18">
        <f t="shared" si="0"/>
        <v>0.48236820161483218</v>
      </c>
      <c r="K2" s="18">
        <f t="shared" si="0"/>
        <v>0.6029602520185402</v>
      </c>
      <c r="L2" s="18">
        <f t="shared" si="0"/>
        <v>0.72355230242224822</v>
      </c>
      <c r="M2" s="18">
        <f t="shared" si="0"/>
        <v>0.84414435282595623</v>
      </c>
      <c r="N2" s="18">
        <f t="shared" si="0"/>
        <v>0.96473640322966425</v>
      </c>
      <c r="O2" s="18">
        <f t="shared" si="0"/>
        <v>1.0853284536333723</v>
      </c>
      <c r="P2" s="18">
        <f t="shared" si="0"/>
        <v>1.2059205040370804</v>
      </c>
      <c r="Q2" s="18">
        <f t="shared" si="0"/>
        <v>1.3265125544407885</v>
      </c>
      <c r="R2" s="18">
        <f t="shared" si="0"/>
        <v>1.4471046048444967</v>
      </c>
      <c r="S2" s="18">
        <f t="shared" si="0"/>
        <v>1.5676966552482048</v>
      </c>
      <c r="T2" s="18">
        <f t="shared" si="0"/>
        <v>1.6882887056519129</v>
      </c>
      <c r="U2" s="18">
        <f t="shared" si="0"/>
        <v>1.808880756055621</v>
      </c>
      <c r="V2" s="18">
        <f t="shared" si="0"/>
        <v>1.9294728064593292</v>
      </c>
      <c r="W2" s="18">
        <f t="shared" si="0"/>
        <v>2.0500648568630373</v>
      </c>
      <c r="X2" s="18">
        <f t="shared" si="0"/>
        <v>2.1706569072667454</v>
      </c>
      <c r="Y2" s="18">
        <f t="shared" si="0"/>
        <v>2.2912489576704536</v>
      </c>
      <c r="Z2" s="18">
        <f t="shared" si="0"/>
        <v>2.4118410080741617</v>
      </c>
      <c r="AB2" s="53" t="s">
        <v>101</v>
      </c>
      <c r="AC2" s="150" t="s">
        <v>102</v>
      </c>
      <c r="AD2" s="150"/>
      <c r="AE2" s="150"/>
      <c r="AF2" s="150"/>
      <c r="AG2" s="150"/>
      <c r="AH2" s="150"/>
      <c r="AJ2" s="150" t="s">
        <v>102</v>
      </c>
      <c r="AK2" s="150"/>
      <c r="AL2" s="150"/>
      <c r="AM2" s="150"/>
      <c r="AN2" s="150"/>
      <c r="AO2" s="150"/>
    </row>
    <row r="3" spans="1:41">
      <c r="A3" s="16" t="s">
        <v>18</v>
      </c>
      <c r="B3" s="27">
        <v>-2</v>
      </c>
      <c r="C3" s="1" t="s">
        <v>21</v>
      </c>
      <c r="E3" s="31" t="s">
        <v>7</v>
      </c>
      <c r="F3" s="27">
        <f>xup</f>
        <v>-2</v>
      </c>
      <c r="G3" s="18">
        <f t="shared" ref="G3:Z3" si="1">xup+vxup*G2-0.5*MüR*9.81*COS(ThetaKR/180*PI())*G2*G2</f>
        <v>-1.7974120420942679</v>
      </c>
      <c r="H3" s="18">
        <f t="shared" si="1"/>
        <v>-1.604796693665377</v>
      </c>
      <c r="I3" s="18">
        <f t="shared" si="1"/>
        <v>-1.4221539547133277</v>
      </c>
      <c r="J3" s="18">
        <f t="shared" si="1"/>
        <v>-1.2494838252381197</v>
      </c>
      <c r="K3" s="18">
        <f t="shared" si="1"/>
        <v>-1.0867863052397533</v>
      </c>
      <c r="L3" s="18">
        <f t="shared" si="1"/>
        <v>-0.93406139471822802</v>
      </c>
      <c r="M3" s="18">
        <f t="shared" si="1"/>
        <v>-0.79130909367354429</v>
      </c>
      <c r="N3" s="18">
        <f t="shared" si="1"/>
        <v>-0.65852940210570177</v>
      </c>
      <c r="O3" s="18">
        <f t="shared" si="1"/>
        <v>-0.53572232001470055</v>
      </c>
      <c r="P3" s="18">
        <f t="shared" si="1"/>
        <v>-0.4228878474005407</v>
      </c>
      <c r="Q3" s="18">
        <f t="shared" si="1"/>
        <v>-0.32002598426322226</v>
      </c>
      <c r="R3" s="18">
        <f t="shared" si="1"/>
        <v>-0.22713673060274486</v>
      </c>
      <c r="S3" s="18">
        <f t="shared" si="1"/>
        <v>-0.14422008641910922</v>
      </c>
      <c r="T3" s="18">
        <f t="shared" si="1"/>
        <v>-7.1276051712314992E-2</v>
      </c>
      <c r="U3" s="18">
        <f t="shared" si="1"/>
        <v>-8.3046264823620763E-3</v>
      </c>
      <c r="V3" s="18">
        <f t="shared" si="1"/>
        <v>4.4694189270749973E-2</v>
      </c>
      <c r="W3" s="18">
        <f t="shared" si="1"/>
        <v>8.7720395547020047E-2</v>
      </c>
      <c r="X3" s="18">
        <f t="shared" si="1"/>
        <v>0.12077399234644881</v>
      </c>
      <c r="Y3" s="18">
        <f t="shared" si="1"/>
        <v>0.14385497966903582</v>
      </c>
      <c r="Z3" s="18">
        <f t="shared" si="1"/>
        <v>0.15696335751478241</v>
      </c>
      <c r="AB3" s="53" t="s">
        <v>88</v>
      </c>
      <c r="AC3" s="31">
        <v>0.5</v>
      </c>
      <c r="AD3" s="15">
        <v>1</v>
      </c>
      <c r="AE3" s="31">
        <v>1.5</v>
      </c>
      <c r="AF3" s="15">
        <v>2</v>
      </c>
      <c r="AG3" s="31">
        <v>2.5</v>
      </c>
      <c r="AH3" s="15">
        <v>3</v>
      </c>
      <c r="AI3" s="1" t="s">
        <v>25</v>
      </c>
      <c r="AJ3" s="31">
        <v>0.5</v>
      </c>
      <c r="AK3" s="15">
        <v>1</v>
      </c>
      <c r="AL3" s="31">
        <v>1.5</v>
      </c>
      <c r="AM3" s="15">
        <v>2</v>
      </c>
      <c r="AN3" s="31">
        <v>2.5</v>
      </c>
      <c r="AO3" s="15">
        <v>3</v>
      </c>
    </row>
    <row r="4" spans="1:41">
      <c r="A4" s="16" t="s">
        <v>19</v>
      </c>
      <c r="B4" s="18">
        <f>P9</f>
        <v>1.7212930864783615</v>
      </c>
      <c r="C4" s="1" t="s">
        <v>22</v>
      </c>
      <c r="E4" s="15" t="s">
        <v>6</v>
      </c>
      <c r="F4" s="27">
        <f>yup</f>
        <v>-2</v>
      </c>
      <c r="G4" s="18">
        <f>yup+vyup*G2-0.5*(MüR*9.81*COS(ThetaKR/180*PI())+9.81*SIN(ThetaKR/180*PI()))*G2*G2</f>
        <v>-1.7446063953110362</v>
      </c>
      <c r="H4" s="18">
        <f t="shared" ref="H4:Z4" si="2">yup+vyup*H2-0.5*(MüR*9.81*COS(ThetaKR/180*PI())+9.81*SIN(ThetaKR/180*PI()))*H2*H2</f>
        <v>-1.5066517189037461</v>
      </c>
      <c r="I4" s="18">
        <f t="shared" si="2"/>
        <v>-1.2861359707781297</v>
      </c>
      <c r="J4" s="18">
        <f t="shared" si="2"/>
        <v>-1.0830591509341874</v>
      </c>
      <c r="K4" s="18">
        <f t="shared" si="2"/>
        <v>-0.89742125937191863</v>
      </c>
      <c r="L4" s="18">
        <f t="shared" si="2"/>
        <v>-0.72922229609132372</v>
      </c>
      <c r="M4" s="18">
        <f t="shared" si="2"/>
        <v>-0.5784622610924024</v>
      </c>
      <c r="N4" s="18">
        <f t="shared" si="2"/>
        <v>-0.445141154375155</v>
      </c>
      <c r="O4" s="18">
        <f t="shared" si="2"/>
        <v>-0.32925897593958131</v>
      </c>
      <c r="P4" s="18">
        <f t="shared" si="2"/>
        <v>-0.2308157257856811</v>
      </c>
      <c r="Q4" s="18">
        <f t="shared" si="2"/>
        <v>-0.1498114039134546</v>
      </c>
      <c r="R4" s="18">
        <f t="shared" si="2"/>
        <v>-8.6246010322902356E-2</v>
      </c>
      <c r="S4" s="18">
        <f t="shared" si="2"/>
        <v>-4.0119545014023261E-2</v>
      </c>
      <c r="T4" s="18">
        <f t="shared" si="2"/>
        <v>-1.1432007986818427E-2</v>
      </c>
      <c r="U4" s="18">
        <f t="shared" si="2"/>
        <v>-1.8339924128740748E-4</v>
      </c>
      <c r="V4" s="18">
        <f t="shared" si="2"/>
        <v>-6.3737187774299819E-3</v>
      </c>
      <c r="W4" s="18">
        <f t="shared" si="2"/>
        <v>-3.000296659524615E-2</v>
      </c>
      <c r="X4" s="18">
        <f t="shared" si="2"/>
        <v>-7.1071142694735912E-2</v>
      </c>
      <c r="Y4" s="18">
        <f t="shared" si="2"/>
        <v>-0.12957824707589971</v>
      </c>
      <c r="Z4" s="18">
        <f t="shared" si="2"/>
        <v>-0.20552427973873799</v>
      </c>
      <c r="AB4" s="16">
        <v>0.5</v>
      </c>
      <c r="AC4" s="16"/>
      <c r="AD4" s="16"/>
      <c r="AE4" s="16"/>
      <c r="AF4" s="16"/>
      <c r="AG4" s="16"/>
      <c r="AH4" s="16"/>
      <c r="AI4" s="1"/>
      <c r="AJ4" s="16"/>
      <c r="AK4" s="16"/>
      <c r="AL4" s="16"/>
      <c r="AM4" s="16"/>
      <c r="AN4" s="16"/>
      <c r="AO4" s="16"/>
    </row>
    <row r="5" spans="1:41">
      <c r="A5" s="16" t="s">
        <v>20</v>
      </c>
      <c r="B5" s="18">
        <f>M9</f>
        <v>2.1901366462020082</v>
      </c>
      <c r="C5" s="1" t="s">
        <v>22</v>
      </c>
      <c r="E5" s="40" t="s">
        <v>10</v>
      </c>
      <c r="F5" s="27">
        <f>vxup</f>
        <v>1.7212930864783615</v>
      </c>
      <c r="G5" s="18">
        <f t="shared" ref="G5:Z5" si="3">vxup-MüR*9.81*COS(ThetaKR/180*PI())*G2</f>
        <v>1.6385960144619567</v>
      </c>
      <c r="H5" s="18">
        <f t="shared" si="3"/>
        <v>1.5558989424455518</v>
      </c>
      <c r="I5" s="18">
        <f t="shared" si="3"/>
        <v>1.473201870429147</v>
      </c>
      <c r="J5" s="18">
        <f t="shared" si="3"/>
        <v>1.3905047984127421</v>
      </c>
      <c r="K5" s="18">
        <f t="shared" si="3"/>
        <v>1.3078077263963375</v>
      </c>
      <c r="L5" s="18">
        <f t="shared" si="3"/>
        <v>1.2251106543799326</v>
      </c>
      <c r="M5" s="18">
        <f t="shared" si="3"/>
        <v>1.1424135823635277</v>
      </c>
      <c r="N5" s="18">
        <f t="shared" si="3"/>
        <v>1.0597165103471231</v>
      </c>
      <c r="O5" s="18">
        <f t="shared" si="3"/>
        <v>0.97701943833071814</v>
      </c>
      <c r="P5" s="18">
        <f t="shared" si="3"/>
        <v>0.89432236631431328</v>
      </c>
      <c r="Q5" s="18">
        <f t="shared" si="3"/>
        <v>0.81162529429790842</v>
      </c>
      <c r="R5" s="18">
        <f t="shared" si="3"/>
        <v>0.72892822228150356</v>
      </c>
      <c r="S5" s="18">
        <f t="shared" si="3"/>
        <v>0.64623115026509859</v>
      </c>
      <c r="T5" s="18">
        <f t="shared" si="3"/>
        <v>0.56353407824869373</v>
      </c>
      <c r="U5" s="18">
        <f t="shared" si="3"/>
        <v>0.48083700623228887</v>
      </c>
      <c r="V5" s="18">
        <f t="shared" si="3"/>
        <v>0.39813993421588401</v>
      </c>
      <c r="W5" s="18">
        <f t="shared" si="3"/>
        <v>0.31544286219947915</v>
      </c>
      <c r="X5" s="18">
        <f t="shared" si="3"/>
        <v>0.23274579018307429</v>
      </c>
      <c r="Y5" s="18">
        <f t="shared" si="3"/>
        <v>0.1500487181666692</v>
      </c>
      <c r="Z5" s="18">
        <f t="shared" si="3"/>
        <v>6.7351646150264344E-2</v>
      </c>
      <c r="AB5" s="16">
        <v>1</v>
      </c>
      <c r="AC5" s="16"/>
      <c r="AD5" s="16"/>
      <c r="AE5" s="16"/>
      <c r="AF5" s="16"/>
      <c r="AG5" s="16"/>
      <c r="AH5" s="16"/>
      <c r="AI5" s="1"/>
      <c r="AJ5" s="16"/>
      <c r="AK5" s="16"/>
      <c r="AL5" s="16"/>
      <c r="AM5" s="16"/>
      <c r="AN5" s="16"/>
      <c r="AO5" s="16"/>
    </row>
    <row r="6" spans="1:41">
      <c r="A6" s="16" t="s">
        <v>25</v>
      </c>
      <c r="B6" s="18">
        <v>3</v>
      </c>
      <c r="C6" s="1" t="s">
        <v>23</v>
      </c>
      <c r="E6" s="40" t="s">
        <v>11</v>
      </c>
      <c r="F6" s="32">
        <f>vyup</f>
        <v>2.1901366462020082</v>
      </c>
      <c r="G6" s="18">
        <f t="shared" ref="G6:Z6" si="4">vyup-(MüR*9.81*COS(ThetaKR/180*PI())+9.81*SIN(ThetaKR/180*PI()))*G2</f>
        <v>2.0455257185057532</v>
      </c>
      <c r="H6" s="18">
        <f t="shared" si="4"/>
        <v>1.9009147908094983</v>
      </c>
      <c r="I6" s="18">
        <f t="shared" si="4"/>
        <v>1.7563038631132435</v>
      </c>
      <c r="J6" s="18">
        <f t="shared" si="4"/>
        <v>1.6116929354169884</v>
      </c>
      <c r="K6" s="18">
        <f t="shared" si="4"/>
        <v>1.4670820077207336</v>
      </c>
      <c r="L6" s="18">
        <f t="shared" si="4"/>
        <v>1.3224710800244788</v>
      </c>
      <c r="M6" s="18">
        <f t="shared" si="4"/>
        <v>1.1778601523282239</v>
      </c>
      <c r="N6" s="18">
        <f t="shared" si="4"/>
        <v>1.0332492246319689</v>
      </c>
      <c r="O6" s="18">
        <f t="shared" si="4"/>
        <v>0.88863829693571406</v>
      </c>
      <c r="P6" s="18">
        <f t="shared" si="4"/>
        <v>0.744027369239459</v>
      </c>
      <c r="Q6" s="18">
        <f t="shared" si="4"/>
        <v>0.59941644154320395</v>
      </c>
      <c r="R6" s="18">
        <f t="shared" si="4"/>
        <v>0.45480551384694889</v>
      </c>
      <c r="S6" s="18">
        <f t="shared" si="4"/>
        <v>0.31019458615069406</v>
      </c>
      <c r="T6" s="18">
        <f t="shared" si="4"/>
        <v>0.16558365845443879</v>
      </c>
      <c r="U6" s="18">
        <f t="shared" si="4"/>
        <v>2.0972730758183733E-2</v>
      </c>
      <c r="V6" s="18">
        <f t="shared" si="4"/>
        <v>-0.12363819693807132</v>
      </c>
      <c r="W6" s="18">
        <f t="shared" si="4"/>
        <v>-0.26824912463432593</v>
      </c>
      <c r="X6" s="18">
        <f t="shared" si="4"/>
        <v>-0.41286005233058098</v>
      </c>
      <c r="Y6" s="18">
        <f t="shared" si="4"/>
        <v>-0.55747098002683604</v>
      </c>
      <c r="Z6" s="18">
        <f t="shared" si="4"/>
        <v>-0.70208190772309109</v>
      </c>
      <c r="AB6" s="16">
        <v>1.5</v>
      </c>
      <c r="AC6" s="16"/>
      <c r="AD6" s="16"/>
      <c r="AE6" s="16"/>
      <c r="AF6" s="16"/>
      <c r="AG6" s="16"/>
      <c r="AH6" s="16"/>
      <c r="AI6" s="1"/>
      <c r="AJ6" s="16"/>
      <c r="AK6" s="16"/>
      <c r="AL6" s="16"/>
      <c r="AM6" s="16"/>
      <c r="AN6" s="16"/>
      <c r="AO6" s="16"/>
    </row>
    <row r="7" spans="1:41">
      <c r="A7" s="16" t="s">
        <v>16</v>
      </c>
      <c r="B7" s="15">
        <v>7.0000000000000007E-2</v>
      </c>
      <c r="C7" s="1"/>
      <c r="E7" s="40" t="s">
        <v>15</v>
      </c>
      <c r="F7" s="19">
        <f>SQRT(F5*F5+F6*F6)</f>
        <v>2.785596600119117</v>
      </c>
      <c r="G7" s="19">
        <f t="shared" ref="G7:Z7" si="5">SQRT(G5*G5+G6*G6)</f>
        <v>2.6209105981851204</v>
      </c>
      <c r="H7" s="19">
        <f t="shared" si="5"/>
        <v>2.4564809303191231</v>
      </c>
      <c r="I7" s="19">
        <f t="shared" si="5"/>
        <v>2.2923627572054213</v>
      </c>
      <c r="J7" s="19">
        <f t="shared" si="5"/>
        <v>2.1286281292141869</v>
      </c>
      <c r="K7" s="19">
        <f t="shared" si="5"/>
        <v>1.9653729077709035</v>
      </c>
      <c r="L7" s="19">
        <f t="shared" si="5"/>
        <v>1.8027273429380102</v>
      </c>
      <c r="M7" s="19">
        <f t="shared" si="5"/>
        <v>1.6408727347394543</v>
      </c>
      <c r="N7" s="19">
        <f t="shared" si="5"/>
        <v>1.480068593851261</v>
      </c>
      <c r="O7" s="19">
        <f t="shared" si="5"/>
        <v>1.3206986808719385</v>
      </c>
      <c r="P7" s="19">
        <f t="shared" si="5"/>
        <v>1.1633525781410479</v>
      </c>
      <c r="Q7" s="19">
        <f t="shared" si="5"/>
        <v>1.0089775462003521</v>
      </c>
      <c r="R7" s="19">
        <f t="shared" si="5"/>
        <v>0.85917658759073523</v>
      </c>
      <c r="S7" s="19">
        <f t="shared" si="5"/>
        <v>0.71682311684972377</v>
      </c>
      <c r="T7" s="19">
        <f t="shared" si="5"/>
        <v>0.58735730632619287</v>
      </c>
      <c r="U7" s="19">
        <f t="shared" si="5"/>
        <v>0.48129417407432379</v>
      </c>
      <c r="V7" s="19">
        <f t="shared" si="5"/>
        <v>0.41689544367805909</v>
      </c>
      <c r="W7" s="19">
        <f t="shared" si="5"/>
        <v>0.41407945153035752</v>
      </c>
      <c r="X7" s="19">
        <f t="shared" si="5"/>
        <v>0.47394517157404792</v>
      </c>
      <c r="Y7" s="19">
        <f t="shared" si="5"/>
        <v>0.57731145094787573</v>
      </c>
      <c r="Z7" s="19">
        <f t="shared" si="5"/>
        <v>0.70530507540442766</v>
      </c>
      <c r="AB7" s="16">
        <v>2</v>
      </c>
      <c r="AC7" s="16"/>
      <c r="AD7" s="16"/>
      <c r="AE7" s="16"/>
      <c r="AF7" s="16"/>
      <c r="AG7" s="16"/>
      <c r="AH7" s="16"/>
      <c r="AI7" s="1"/>
      <c r="AJ7" s="16"/>
      <c r="AK7" s="16"/>
      <c r="AL7" s="16"/>
      <c r="AM7" s="16"/>
      <c r="AN7" s="16"/>
      <c r="AO7" s="16"/>
    </row>
    <row r="8" spans="1:41">
      <c r="E8" s="41" t="s">
        <v>40</v>
      </c>
      <c r="F8" s="16">
        <f>-F6/F5*F3+F4</f>
        <v>0.54475738432536902</v>
      </c>
      <c r="H8">
        <f>ATAN(H6/H5)</f>
        <v>0.88487619290189568</v>
      </c>
      <c r="AB8" s="16">
        <v>2.5</v>
      </c>
      <c r="AC8" s="16"/>
      <c r="AD8" s="16"/>
      <c r="AE8" s="16"/>
      <c r="AF8" s="16"/>
      <c r="AG8" s="16"/>
      <c r="AH8" s="16"/>
      <c r="AI8" s="1"/>
      <c r="AJ8" s="16"/>
      <c r="AK8" s="16"/>
      <c r="AL8" s="16"/>
      <c r="AM8" s="16"/>
      <c r="AN8" s="16"/>
      <c r="AO8" s="16"/>
    </row>
    <row r="9" spans="1:41">
      <c r="E9" s="42" t="s">
        <v>45</v>
      </c>
      <c r="F9" s="16">
        <f>vyup/(MüR*9.81*COS(ThetaKR/180*PI())+9.81*SIN(ThetaKR/180*PI()))</f>
        <v>1.8263700609441604</v>
      </c>
      <c r="G9" s="30"/>
      <c r="H9" s="154" t="s">
        <v>46</v>
      </c>
      <c r="I9" s="155"/>
      <c r="J9" s="34">
        <f>SQRT(-2*yup/(MüR*9.81*COS(ThetaKR/180*PI())+9.81*SIN(ThetaKR/180*PI())))</f>
        <v>1.8263700609441602</v>
      </c>
      <c r="K9" s="154" t="s">
        <v>47</v>
      </c>
      <c r="L9" s="155"/>
      <c r="M9" s="34">
        <f>SQRT(-2*yup*(MüR*9.81*COS(ThetaKR/180*PI())+9.81*SIN(ThetaKR/180*PI())))</f>
        <v>2.1901366462020082</v>
      </c>
      <c r="N9" s="154" t="s">
        <v>48</v>
      </c>
      <c r="O9" s="155"/>
      <c r="P9" s="34">
        <f>-(xup-0.5*MüR*9.81*COS(ThetaKR/180*PI())*J9*J9)/J9</f>
        <v>1.7212930864783615</v>
      </c>
      <c r="Q9" s="154" t="s">
        <v>49</v>
      </c>
      <c r="R9" s="155"/>
      <c r="S9" s="35">
        <f>-M9/P9*xup+yup</f>
        <v>0.54475738432536902</v>
      </c>
      <c r="AB9" s="16">
        <v>3</v>
      </c>
      <c r="AC9" s="16"/>
      <c r="AD9" s="16"/>
      <c r="AE9" s="16"/>
      <c r="AF9" s="16"/>
      <c r="AG9" s="16"/>
      <c r="AH9" s="16"/>
      <c r="AI9" s="1"/>
      <c r="AJ9" s="16"/>
      <c r="AK9" s="16"/>
      <c r="AL9" s="16"/>
      <c r="AM9" s="16"/>
      <c r="AN9" s="16"/>
      <c r="AO9" s="16"/>
    </row>
    <row r="10" spans="1:41">
      <c r="AB10" s="16">
        <v>3.5</v>
      </c>
      <c r="AC10" s="16"/>
      <c r="AD10" s="16"/>
      <c r="AE10" s="16"/>
      <c r="AF10" s="16"/>
      <c r="AG10" s="16"/>
      <c r="AH10" s="16"/>
      <c r="AI10" s="1"/>
      <c r="AJ10" s="16"/>
      <c r="AK10" s="16"/>
      <c r="AL10" s="16"/>
      <c r="AM10" s="16"/>
      <c r="AN10" s="16"/>
      <c r="AO10" s="16"/>
    </row>
    <row r="11" spans="1:41">
      <c r="A11" s="158" t="s">
        <v>13</v>
      </c>
      <c r="B11" s="151"/>
      <c r="C11" s="151"/>
      <c r="AB11" s="16">
        <v>4</v>
      </c>
      <c r="AC11" s="16"/>
      <c r="AD11" s="16"/>
      <c r="AE11" s="16"/>
      <c r="AF11" s="16"/>
      <c r="AG11" s="16"/>
      <c r="AH11" s="16"/>
      <c r="AI11" s="1"/>
      <c r="AJ11" s="16"/>
      <c r="AK11" s="16"/>
      <c r="AL11" s="16"/>
      <c r="AM11" s="16"/>
      <c r="AN11" s="16"/>
      <c r="AO11" s="16"/>
    </row>
    <row r="12" spans="1:41">
      <c r="A12" s="15" t="s">
        <v>26</v>
      </c>
      <c r="B12" s="15">
        <f>-xup</f>
        <v>2</v>
      </c>
      <c r="C12" s="1" t="s">
        <v>21</v>
      </c>
      <c r="E12" s="15" t="s">
        <v>7</v>
      </c>
      <c r="F12" s="27">
        <f>xd</f>
        <v>2</v>
      </c>
      <c r="G12" s="18">
        <f t="shared" ref="G12:Z12" si="6">xd+vxd*G2+0.5*MüR*9.81*COS(ThetaKR/180*PI())*G2*G2</f>
        <v>1.8052603977875059</v>
      </c>
      <c r="H12" s="18">
        <f t="shared" si="6"/>
        <v>1.6204934050518531</v>
      </c>
      <c r="I12" s="18">
        <f t="shared" si="6"/>
        <v>1.4456990217930419</v>
      </c>
      <c r="J12" s="18">
        <f t="shared" si="6"/>
        <v>1.2808772480110719</v>
      </c>
      <c r="K12" s="18">
        <f t="shared" si="6"/>
        <v>1.1260280837059433</v>
      </c>
      <c r="L12" s="18">
        <f t="shared" si="6"/>
        <v>0.98115152887765611</v>
      </c>
      <c r="M12" s="18">
        <f t="shared" si="6"/>
        <v>0.84624758352621043</v>
      </c>
      <c r="N12" s="18">
        <f t="shared" si="6"/>
        <v>0.72131624765160596</v>
      </c>
      <c r="O12" s="18">
        <f t="shared" si="6"/>
        <v>0.60635752125384279</v>
      </c>
      <c r="P12" s="18">
        <f t="shared" si="6"/>
        <v>0.50137140433292071</v>
      </c>
      <c r="Q12" s="18">
        <f t="shared" si="6"/>
        <v>0.40635789688884039</v>
      </c>
      <c r="R12" s="18">
        <f t="shared" si="6"/>
        <v>0.32131699892160148</v>
      </c>
      <c r="S12" s="18">
        <f t="shared" si="6"/>
        <v>0.24624871043120344</v>
      </c>
      <c r="T12" s="18">
        <f t="shared" si="6"/>
        <v>0.18115303141764727</v>
      </c>
      <c r="U12" s="18">
        <f t="shared" si="6"/>
        <v>0.12602996188093241</v>
      </c>
      <c r="V12" s="18">
        <f t="shared" si="6"/>
        <v>8.0879501821058408E-2</v>
      </c>
      <c r="W12" s="18">
        <f t="shared" si="6"/>
        <v>4.5701651238026386E-2</v>
      </c>
      <c r="X12" s="18">
        <f t="shared" si="6"/>
        <v>2.0496410131835674E-2</v>
      </c>
      <c r="Y12" s="18">
        <f t="shared" si="6"/>
        <v>5.2637785024862715E-3</v>
      </c>
      <c r="Z12" s="18">
        <f t="shared" si="6"/>
        <v>3.7563499781789744E-6</v>
      </c>
      <c r="AA12" s="28" t="s">
        <v>42</v>
      </c>
      <c r="AB12" s="16">
        <v>4.5</v>
      </c>
      <c r="AC12" s="16"/>
      <c r="AD12" s="16"/>
      <c r="AE12" s="16"/>
      <c r="AF12" s="16"/>
      <c r="AG12" s="16"/>
      <c r="AH12" s="16"/>
      <c r="AI12" s="1"/>
      <c r="AJ12" s="16"/>
      <c r="AK12" s="16"/>
      <c r="AL12" s="16"/>
      <c r="AM12" s="16"/>
      <c r="AN12" s="16"/>
      <c r="AO12" s="16"/>
    </row>
    <row r="13" spans="1:41">
      <c r="A13" s="15" t="s">
        <v>27</v>
      </c>
      <c r="B13" s="15">
        <f>-yup</f>
        <v>2</v>
      </c>
      <c r="C13" s="1" t="s">
        <v>21</v>
      </c>
      <c r="E13" s="15" t="s">
        <v>6</v>
      </c>
      <c r="F13" s="27">
        <f>yd</f>
        <v>2</v>
      </c>
      <c r="G13" s="21">
        <f>IF(vyd&gt;0, yd+vyd*G2 - 0.5*(MüR*9.81*COS(ThetaKR/180*PI())+9.81*SIN(ThetaKR/180*PI()))*G2*G2,yd+vyd*G2 + 0.5*(MüR*9.81*COS(ThetaKR/180*PI())-9.81*SIN(ThetaKR/180*PI()))*G2*G2)</f>
        <v>1.8762928901607239</v>
      </c>
      <c r="H13" s="21">
        <f t="shared" ref="H13:Z13" si="7">IF(vyd&gt;0, yd+vyd*H2 - 0.5*(MüR*9.81*COS(ThetaKR/180*PI())+9.81*SIN(ThetaKR/180*PI()))*H2*H2,yd+vyd*H2 + 0.5*(MüR*9.81*COS(ThetaKR/180*PI())-9.81*SIN(ThetaKR/180*PI()))*H2*H2)</f>
        <v>1.7550920709934565</v>
      </c>
      <c r="I13" s="21">
        <f t="shared" si="7"/>
        <v>1.6363975424981982</v>
      </c>
      <c r="J13" s="21">
        <f t="shared" si="7"/>
        <v>1.5202093046749487</v>
      </c>
      <c r="K13" s="21">
        <f t="shared" si="7"/>
        <v>1.4065273575237085</v>
      </c>
      <c r="L13" s="21">
        <f t="shared" si="7"/>
        <v>1.2953517010444773</v>
      </c>
      <c r="M13" s="21">
        <f t="shared" si="7"/>
        <v>1.1866823352372551</v>
      </c>
      <c r="N13" s="21">
        <f t="shared" si="7"/>
        <v>1.0805192601020417</v>
      </c>
      <c r="O13" s="21">
        <f t="shared" si="7"/>
        <v>0.9768624756388371</v>
      </c>
      <c r="P13" s="21">
        <f t="shared" si="7"/>
        <v>0.87571198184764154</v>
      </c>
      <c r="Q13" s="21">
        <f t="shared" si="7"/>
        <v>0.77706777872845523</v>
      </c>
      <c r="R13" s="21">
        <f t="shared" si="7"/>
        <v>0.6809298662812775</v>
      </c>
      <c r="S13" s="21">
        <f t="shared" si="7"/>
        <v>0.5872982445061089</v>
      </c>
      <c r="T13" s="21">
        <f t="shared" si="7"/>
        <v>0.49617291340294922</v>
      </c>
      <c r="U13" s="21">
        <f t="shared" si="7"/>
        <v>0.40755387297179885</v>
      </c>
      <c r="V13" s="21">
        <f t="shared" si="7"/>
        <v>0.32144112321265711</v>
      </c>
      <c r="W13" s="21">
        <f t="shared" si="7"/>
        <v>0.23783466412552468</v>
      </c>
      <c r="X13" s="21">
        <f t="shared" si="7"/>
        <v>0.15673449571040071</v>
      </c>
      <c r="Y13" s="21">
        <f t="shared" si="7"/>
        <v>7.8140617967286219E-2</v>
      </c>
      <c r="Z13" s="21">
        <f t="shared" si="7"/>
        <v>2.0530308961801413E-3</v>
      </c>
      <c r="AA13" s="28"/>
      <c r="AB13" s="16">
        <v>5</v>
      </c>
      <c r="AC13" s="16"/>
      <c r="AD13" s="16"/>
      <c r="AE13" s="16"/>
      <c r="AF13" s="16"/>
      <c r="AG13" s="16"/>
      <c r="AH13" s="16"/>
      <c r="AI13" s="1"/>
      <c r="AJ13" s="16"/>
      <c r="AK13" s="16"/>
      <c r="AL13" s="16"/>
      <c r="AM13" s="16"/>
      <c r="AN13" s="16"/>
      <c r="AO13" s="16"/>
    </row>
    <row r="14" spans="1:41">
      <c r="A14" s="15" t="s">
        <v>28</v>
      </c>
      <c r="B14" s="15">
        <f>P18</f>
        <v>-1.6562112202445265</v>
      </c>
      <c r="C14" s="1" t="s">
        <v>22</v>
      </c>
      <c r="E14" s="40" t="s">
        <v>10</v>
      </c>
      <c r="F14" s="27">
        <f>vxd</f>
        <v>-1.6562112202445265</v>
      </c>
      <c r="G14" s="18">
        <f t="shared" ref="G14:Z14" si="8">vxd+MüR*9.81*COS(ThetaKR/180*PI())*G2</f>
        <v>-1.5735141482281216</v>
      </c>
      <c r="H14" s="18">
        <f t="shared" si="8"/>
        <v>-1.4908170762117168</v>
      </c>
      <c r="I14" s="18">
        <f t="shared" si="8"/>
        <v>-1.4081200041953119</v>
      </c>
      <c r="J14" s="18">
        <f t="shared" si="8"/>
        <v>-1.3254229321789071</v>
      </c>
      <c r="K14" s="18">
        <f t="shared" si="8"/>
        <v>-1.2427258601625024</v>
      </c>
      <c r="L14" s="18">
        <f t="shared" si="8"/>
        <v>-1.1600287881460976</v>
      </c>
      <c r="M14" s="18">
        <f t="shared" si="8"/>
        <v>-1.0773317161296927</v>
      </c>
      <c r="N14" s="18">
        <f t="shared" si="8"/>
        <v>-0.99463464411328795</v>
      </c>
      <c r="O14" s="18">
        <f t="shared" si="8"/>
        <v>-0.91193757209688309</v>
      </c>
      <c r="P14" s="18">
        <f t="shared" si="8"/>
        <v>-0.82924050008047823</v>
      </c>
      <c r="Q14" s="18">
        <f t="shared" si="8"/>
        <v>-0.74654342806407337</v>
      </c>
      <c r="R14" s="18">
        <f t="shared" si="8"/>
        <v>-0.66384635604766851</v>
      </c>
      <c r="S14" s="18">
        <f t="shared" si="8"/>
        <v>-0.58114928403126354</v>
      </c>
      <c r="T14" s="18">
        <f t="shared" si="8"/>
        <v>-0.49845221201485868</v>
      </c>
      <c r="U14" s="18">
        <f t="shared" si="8"/>
        <v>-0.41575513999845382</v>
      </c>
      <c r="V14" s="18">
        <f t="shared" si="8"/>
        <v>-0.33305806798204896</v>
      </c>
      <c r="W14" s="18">
        <f t="shared" si="8"/>
        <v>-0.2503609959656441</v>
      </c>
      <c r="X14" s="18">
        <f t="shared" si="8"/>
        <v>-0.16766392394923924</v>
      </c>
      <c r="Y14" s="18">
        <f t="shared" si="8"/>
        <v>-8.4966851932834153E-2</v>
      </c>
      <c r="Z14" s="18">
        <f t="shared" si="8"/>
        <v>-2.2697799164292931E-3</v>
      </c>
      <c r="AA14" s="28"/>
      <c r="AI14" s="1"/>
    </row>
    <row r="15" spans="1:41">
      <c r="A15" s="15" t="s">
        <v>29</v>
      </c>
      <c r="B15" s="15">
        <f>M18</f>
        <v>-1.0362229911254446</v>
      </c>
      <c r="C15" s="1" t="s">
        <v>22</v>
      </c>
      <c r="E15" s="40" t="s">
        <v>11</v>
      </c>
      <c r="F15" s="27">
        <f>vyd</f>
        <v>-1.0362229911254446</v>
      </c>
      <c r="G15" s="18">
        <f>IF(vyd&gt;0,vyd-(MüR*9.81*COS(ThetaKR/180*PI())+9.81*SIN(ThetaKR/180*PI()))*G2,vyd+(MüR*9.81*COS(ThetaKR/180*PI())-9.81*SIN(ThetaKR/180*PI()))*G2)</f>
        <v>-1.0154397747888899</v>
      </c>
      <c r="H15" s="18">
        <f t="shared" ref="H15:Z15" si="9">IF(vyd&gt;0,vyd-(MüR*9.81*COS(ThetaKR/180*PI())+9.81*SIN(ThetaKR/180*PI()))*H2,vyd+(MüR*9.81*COS(ThetaKR/180*PI())-9.81*SIN(ThetaKR/180*PI()))*H2)</f>
        <v>-0.99465655845233514</v>
      </c>
      <c r="I15" s="18">
        <f t="shared" si="9"/>
        <v>-0.97387334211578036</v>
      </c>
      <c r="J15" s="18">
        <f t="shared" si="9"/>
        <v>-0.95309012577922569</v>
      </c>
      <c r="K15" s="18">
        <f t="shared" si="9"/>
        <v>-0.93230690944267092</v>
      </c>
      <c r="L15" s="18">
        <f t="shared" si="9"/>
        <v>-0.91152369310611614</v>
      </c>
      <c r="M15" s="18">
        <f t="shared" si="9"/>
        <v>-0.89074047676956147</v>
      </c>
      <c r="N15" s="18">
        <f t="shared" si="9"/>
        <v>-0.8699572604330067</v>
      </c>
      <c r="O15" s="18">
        <f t="shared" si="9"/>
        <v>-0.84917404409645192</v>
      </c>
      <c r="P15" s="18">
        <f t="shared" si="9"/>
        <v>-0.82839082775989725</v>
      </c>
      <c r="Q15" s="18">
        <f t="shared" si="9"/>
        <v>-0.80760761142334248</v>
      </c>
      <c r="R15" s="18">
        <f t="shared" si="9"/>
        <v>-0.7868243950867877</v>
      </c>
      <c r="S15" s="18">
        <f t="shared" si="9"/>
        <v>-0.76604117875023303</v>
      </c>
      <c r="T15" s="18">
        <f t="shared" si="9"/>
        <v>-0.74525796241367825</v>
      </c>
      <c r="U15" s="18">
        <f t="shared" si="9"/>
        <v>-0.72447474607712348</v>
      </c>
      <c r="V15" s="18">
        <f t="shared" si="9"/>
        <v>-0.70369152974056881</v>
      </c>
      <c r="W15" s="18">
        <f t="shared" si="9"/>
        <v>-0.68290831340401392</v>
      </c>
      <c r="X15" s="18">
        <f t="shared" si="9"/>
        <v>-0.66212509706745926</v>
      </c>
      <c r="Y15" s="18">
        <f t="shared" si="9"/>
        <v>-0.64134188073090448</v>
      </c>
      <c r="Z15" s="18">
        <f t="shared" si="9"/>
        <v>-0.6205586643943497</v>
      </c>
      <c r="AB15" s="53" t="str">
        <f>AB2</f>
        <v>Reibung</v>
      </c>
      <c r="AC15" s="150" t="s">
        <v>104</v>
      </c>
      <c r="AD15" s="150"/>
      <c r="AE15" s="150"/>
      <c r="AF15" s="150"/>
      <c r="AG15" s="150"/>
      <c r="AH15" s="150"/>
      <c r="AI15" s="1"/>
      <c r="AJ15" s="150" t="s">
        <v>104</v>
      </c>
      <c r="AK15" s="150"/>
      <c r="AL15" s="150"/>
      <c r="AM15" s="150"/>
      <c r="AN15" s="150"/>
      <c r="AO15" s="150"/>
    </row>
    <row r="16" spans="1:41">
      <c r="E16" s="40" t="s">
        <v>15</v>
      </c>
      <c r="F16" s="19">
        <f>SQRT(F14*F14+F15*F15)</f>
        <v>1.9536616117948438</v>
      </c>
      <c r="G16" s="19">
        <f t="shared" ref="G16:Z16" si="10">SQRT(G14*G14+G15*G15)</f>
        <v>1.8727158649665416</v>
      </c>
      <c r="H16" s="19">
        <f t="shared" si="10"/>
        <v>1.7921710922779375</v>
      </c>
      <c r="I16" s="19">
        <f t="shared" si="10"/>
        <v>1.7120838859993879</v>
      </c>
      <c r="J16" s="19">
        <f t="shared" si="10"/>
        <v>1.632521588526042</v>
      </c>
      <c r="K16" s="19">
        <f t="shared" si="10"/>
        <v>1.5535648479903168</v>
      </c>
      <c r="L16" s="19">
        <f t="shared" si="10"/>
        <v>1.4753108934802579</v>
      </c>
      <c r="M16" s="19">
        <f t="shared" si="10"/>
        <v>1.3978777570068901</v>
      </c>
      <c r="N16" s="19">
        <f t="shared" si="10"/>
        <v>1.3214097435127641</v>
      </c>
      <c r="O16" s="19">
        <f t="shared" si="10"/>
        <v>1.246084544711586</v>
      </c>
      <c r="P16" s="19">
        <f t="shared" si="10"/>
        <v>1.1721225066051968</v>
      </c>
      <c r="Q16" s="19">
        <f t="shared" si="10"/>
        <v>1.0997986834028193</v>
      </c>
      <c r="R16" s="19">
        <f t="shared" si="10"/>
        <v>1.0294584076792308</v>
      </c>
      <c r="S16" s="19">
        <f t="shared" si="10"/>
        <v>0.96153709126122466</v>
      </c>
      <c r="T16" s="19">
        <f t="shared" si="10"/>
        <v>0.89658465200085435</v>
      </c>
      <c r="U16" s="19">
        <f t="shared" si="10"/>
        <v>0.83529395672340789</v>
      </c>
      <c r="V16" s="19">
        <f t="shared" si="10"/>
        <v>0.7785303113408989</v>
      </c>
      <c r="W16" s="19">
        <f t="shared" si="10"/>
        <v>0.72735437911462675</v>
      </c>
      <c r="X16" s="19">
        <f t="shared" si="10"/>
        <v>0.68302330528368405</v>
      </c>
      <c r="Y16" s="19">
        <f t="shared" si="10"/>
        <v>0.64694572717255805</v>
      </c>
      <c r="Z16" s="19">
        <f t="shared" si="10"/>
        <v>0.62056281539886693</v>
      </c>
      <c r="AB16" s="53" t="s">
        <v>88</v>
      </c>
      <c r="AC16" s="31">
        <v>0.5</v>
      </c>
      <c r="AD16" s="15">
        <v>1</v>
      </c>
      <c r="AE16" s="31">
        <v>1.5</v>
      </c>
      <c r="AF16" s="15">
        <v>2</v>
      </c>
      <c r="AG16" s="31">
        <v>2.5</v>
      </c>
      <c r="AH16" s="15">
        <v>3</v>
      </c>
      <c r="AI16" s="1" t="s">
        <v>25</v>
      </c>
      <c r="AJ16" s="31">
        <v>0.5</v>
      </c>
      <c r="AK16" s="15">
        <v>1</v>
      </c>
      <c r="AL16" s="31">
        <v>1.5</v>
      </c>
      <c r="AM16" s="15">
        <v>2</v>
      </c>
      <c r="AN16" s="31">
        <v>2.5</v>
      </c>
      <c r="AO16" s="15">
        <v>3</v>
      </c>
    </row>
    <row r="17" spans="2:41">
      <c r="B17" s="25"/>
      <c r="E17" s="41" t="s">
        <v>41</v>
      </c>
      <c r="F17" s="16">
        <f>-F15/F14*F12+F13</f>
        <v>0.74868256118630283</v>
      </c>
      <c r="AB17" s="16">
        <v>0.5</v>
      </c>
      <c r="AC17" s="20"/>
      <c r="AD17" s="20"/>
      <c r="AE17" s="20"/>
      <c r="AF17" s="20"/>
      <c r="AG17" s="20"/>
      <c r="AH17" s="20"/>
      <c r="AI17" s="1"/>
      <c r="AJ17" s="20"/>
      <c r="AK17" s="20"/>
      <c r="AL17" s="20"/>
      <c r="AM17" s="20"/>
      <c r="AN17" s="20"/>
      <c r="AO17" s="20"/>
    </row>
    <row r="18" spans="2:41">
      <c r="B18" s="25"/>
      <c r="E18" s="42" t="s">
        <v>44</v>
      </c>
      <c r="F18" s="16">
        <f>-vxd/(MüR*9.81)</f>
        <v>2.4118410080741608</v>
      </c>
      <c r="H18" s="36" t="s">
        <v>50</v>
      </c>
      <c r="I18" s="37" t="s">
        <v>46</v>
      </c>
      <c r="J18" s="38">
        <f>SQRT(2*xd/(MüR*9.81*COS(ThetaKR/180*PI())))</f>
        <v>2.4151508884292134</v>
      </c>
      <c r="K18" s="156" t="s">
        <v>52</v>
      </c>
      <c r="L18" s="155"/>
      <c r="M18" s="39">
        <f>-(yd+0.5*(MüR*9.81*COS(ThetaKR/180*PI())-9.81*SIN(ThetaKR/180*PI()))*J18*J18)/J18</f>
        <v>-1.0362229911254446</v>
      </c>
      <c r="N18" s="156" t="s">
        <v>53</v>
      </c>
      <c r="O18" s="155"/>
      <c r="P18" s="39">
        <f>-(xd+0.5*MüR*9.81*COS(ThetaKR/180*PI())*J18*J18)/J18</f>
        <v>-1.6562112202445265</v>
      </c>
      <c r="Q18" s="156" t="s">
        <v>54</v>
      </c>
      <c r="R18" s="155"/>
      <c r="S18" s="38">
        <f>-M18/P18*xd+yd</f>
        <v>0.74868256118630283</v>
      </c>
      <c r="AB18" s="16">
        <v>1</v>
      </c>
      <c r="AC18" s="20">
        <v>0.38400000000000001</v>
      </c>
      <c r="AD18" s="20">
        <v>0.42799999999999999</v>
      </c>
      <c r="AE18" s="20">
        <v>0.46600000000000003</v>
      </c>
      <c r="AF18" s="20">
        <v>0.5</v>
      </c>
      <c r="AG18" s="20">
        <v>0.52900000000000003</v>
      </c>
      <c r="AH18" s="20">
        <v>0.55500000000000005</v>
      </c>
      <c r="AI18" s="1"/>
      <c r="AJ18" s="20">
        <v>-0.375</v>
      </c>
      <c r="AK18" s="20">
        <v>-0.251</v>
      </c>
      <c r="AL18" s="20">
        <v>-0.126</v>
      </c>
      <c r="AM18" s="20">
        <v>-1E-3</v>
      </c>
      <c r="AN18" s="20">
        <v>0.124</v>
      </c>
      <c r="AO18" s="20">
        <v>0.249</v>
      </c>
    </row>
    <row r="19" spans="2:41">
      <c r="H19" s="36" t="s">
        <v>51</v>
      </c>
      <c r="I19" s="37" t="s">
        <v>46</v>
      </c>
      <c r="J19" s="38">
        <f>J9</f>
        <v>1.8263700609441602</v>
      </c>
      <c r="K19" s="156" t="s">
        <v>52</v>
      </c>
      <c r="L19" s="155"/>
      <c r="M19" s="39">
        <f>-(yd+0.5*(MüR*9.81*COS(ThetaKR/180*PI())-9.81*SIN(ThetaKR/180*PI()))*J19*J19)/J19</f>
        <v>-1.2524495267547151</v>
      </c>
      <c r="N19" s="156" t="s">
        <v>53</v>
      </c>
      <c r="O19" s="155"/>
      <c r="P19" s="39">
        <f>-(xd+0.5*MüR*9.81*COS(ThetaKR/180*PI())*J19*J19)/J19</f>
        <v>-1.7212930864783615</v>
      </c>
      <c r="Q19" s="156" t="s">
        <v>54</v>
      </c>
      <c r="R19" s="155"/>
      <c r="S19" s="38">
        <f>-M19/P19*xd+yd</f>
        <v>0.5447573843253688</v>
      </c>
      <c r="AB19" s="16">
        <v>1.5</v>
      </c>
      <c r="AC19" s="20"/>
      <c r="AD19" s="20"/>
      <c r="AE19" s="20"/>
      <c r="AF19" s="20"/>
      <c r="AG19" s="20"/>
      <c r="AH19" s="20"/>
      <c r="AI19" s="1"/>
      <c r="AJ19" s="20"/>
      <c r="AK19" s="20"/>
      <c r="AL19" s="20"/>
      <c r="AM19" s="20"/>
      <c r="AN19" s="20"/>
      <c r="AO19" s="20"/>
    </row>
    <row r="20" spans="2:41">
      <c r="B20" s="25"/>
      <c r="AB20" s="16">
        <v>2</v>
      </c>
      <c r="AC20" s="16">
        <v>0.11700000000000001</v>
      </c>
      <c r="AD20" s="16">
        <v>0.222</v>
      </c>
      <c r="AE20" s="16">
        <v>0.315</v>
      </c>
      <c r="AF20" s="16">
        <v>0.39900000000000002</v>
      </c>
      <c r="AG20" s="16">
        <v>0.47499999999999998</v>
      </c>
      <c r="AH20" s="16">
        <v>0.54500000000000004</v>
      </c>
      <c r="AI20" s="1"/>
      <c r="AJ20" s="16">
        <v>0.125</v>
      </c>
      <c r="AK20" s="20">
        <v>0.249</v>
      </c>
      <c r="AL20" s="20">
        <v>0.374</v>
      </c>
      <c r="AM20" s="20">
        <v>0.499</v>
      </c>
      <c r="AN20" s="20">
        <v>0.624</v>
      </c>
      <c r="AO20" s="20">
        <v>0.749</v>
      </c>
    </row>
    <row r="21" spans="2:41">
      <c r="B21" s="25"/>
      <c r="Z21" t="s">
        <v>43</v>
      </c>
      <c r="AB21" s="16">
        <v>2.5</v>
      </c>
      <c r="AC21" s="20"/>
      <c r="AD21" s="20"/>
      <c r="AE21" s="20"/>
      <c r="AF21" s="20"/>
      <c r="AG21" s="20"/>
      <c r="AH21" s="20"/>
      <c r="AI21" s="1"/>
      <c r="AJ21" s="20"/>
      <c r="AK21" s="20"/>
      <c r="AL21" s="20"/>
      <c r="AM21" s="20"/>
      <c r="AN21" s="20"/>
      <c r="AO21" s="20"/>
    </row>
    <row r="22" spans="2:41">
      <c r="AB22" s="16">
        <v>3</v>
      </c>
      <c r="AC22" s="20">
        <v>-0.42899999999999999</v>
      </c>
      <c r="AD22" s="20">
        <v>-0.27300000000000002</v>
      </c>
      <c r="AE22" s="20">
        <v>-0.13100000000000001</v>
      </c>
      <c r="AF22" s="20">
        <v>-1E-3</v>
      </c>
      <c r="AG22" s="20">
        <v>0.11899999999999999</v>
      </c>
      <c r="AH22" s="20">
        <v>0.23</v>
      </c>
      <c r="AI22" s="1"/>
      <c r="AJ22" s="20">
        <v>0.625</v>
      </c>
      <c r="AK22" s="20">
        <v>0.749</v>
      </c>
      <c r="AL22" s="20">
        <v>0.874</v>
      </c>
      <c r="AM22" s="20">
        <v>0.999</v>
      </c>
      <c r="AN22" s="20">
        <v>1.1240000000000001</v>
      </c>
      <c r="AO22" s="20">
        <v>1.2490000000000001</v>
      </c>
    </row>
    <row r="23" spans="2:41">
      <c r="B23" s="25"/>
      <c r="AB23" s="16">
        <v>3.5</v>
      </c>
      <c r="AC23" s="20"/>
      <c r="AD23" s="20"/>
      <c r="AE23" s="20"/>
      <c r="AF23" s="20"/>
      <c r="AG23" s="20"/>
      <c r="AH23" s="20"/>
      <c r="AI23" s="1"/>
      <c r="AJ23" s="20"/>
      <c r="AK23" s="20"/>
      <c r="AL23" s="20"/>
      <c r="AM23" s="20"/>
      <c r="AN23" s="20"/>
      <c r="AO23" s="20"/>
    </row>
    <row r="24" spans="2:41">
      <c r="B24" s="25"/>
      <c r="AB24" s="16">
        <v>4</v>
      </c>
      <c r="AC24" s="20">
        <v>-1.121</v>
      </c>
      <c r="AD24" s="20">
        <v>-0.92400000000000004</v>
      </c>
      <c r="AE24" s="20">
        <v>-0.74199999999999999</v>
      </c>
      <c r="AF24" s="20">
        <v>-0.56999999999999995</v>
      </c>
      <c r="AG24" s="20">
        <v>-0.41499999999999998</v>
      </c>
      <c r="AH24" s="20">
        <v>-0.27</v>
      </c>
      <c r="AI24" s="1"/>
      <c r="AJ24" s="20">
        <v>1.125</v>
      </c>
      <c r="AK24" s="20">
        <v>1.2490000000000001</v>
      </c>
      <c r="AL24" s="20">
        <v>1.3740000000000001</v>
      </c>
      <c r="AM24" s="20">
        <v>1.4990000000000001</v>
      </c>
      <c r="AN24" s="20">
        <v>1.6240000000000001</v>
      </c>
      <c r="AO24" s="20">
        <v>1.7490000000000001</v>
      </c>
    </row>
    <row r="25" spans="2:41">
      <c r="AB25" s="16">
        <v>4.5</v>
      </c>
      <c r="AC25" s="20"/>
      <c r="AD25" s="20"/>
      <c r="AE25" s="20"/>
      <c r="AF25" s="20"/>
      <c r="AG25" s="20"/>
      <c r="AH25" s="20"/>
      <c r="AI25" s="1"/>
      <c r="AJ25" s="20"/>
      <c r="AK25" s="20"/>
      <c r="AL25" s="20"/>
      <c r="AM25" s="20"/>
      <c r="AN25" s="20"/>
      <c r="AO25" s="20"/>
    </row>
    <row r="26" spans="2:41">
      <c r="AB26" s="16">
        <v>5</v>
      </c>
      <c r="AC26" s="20">
        <v>-1.897</v>
      </c>
      <c r="AD26" s="20">
        <v>-1.6679999999999999</v>
      </c>
      <c r="AE26" s="20">
        <v>-1.4530000000000001</v>
      </c>
      <c r="AF26" s="20">
        <v>-1.25</v>
      </c>
      <c r="AG26" s="20">
        <v>-1.0620000000000001</v>
      </c>
      <c r="AH26" s="20">
        <v>-0.88</v>
      </c>
      <c r="AI26" s="1"/>
      <c r="AJ26" s="20">
        <v>1.625</v>
      </c>
      <c r="AK26" s="20">
        <v>1.7490000000000001</v>
      </c>
      <c r="AL26" s="20">
        <v>1.8740000000000001</v>
      </c>
      <c r="AM26" s="20">
        <v>1.9990000000000001</v>
      </c>
      <c r="AN26" s="20">
        <v>2.1240000000000001</v>
      </c>
      <c r="AO26" s="20">
        <v>2.2490000000000001</v>
      </c>
    </row>
    <row r="27" spans="2:41">
      <c r="AI27" s="1"/>
    </row>
    <row r="28" spans="2:41">
      <c r="AB28" s="53" t="str">
        <f>AB15</f>
        <v>Reibung</v>
      </c>
      <c r="AC28" s="150" t="s">
        <v>105</v>
      </c>
      <c r="AD28" s="150"/>
      <c r="AE28" s="150"/>
      <c r="AF28" s="150"/>
      <c r="AG28" s="150"/>
      <c r="AH28" s="150"/>
      <c r="AI28" s="1"/>
      <c r="AJ28" s="150" t="s">
        <v>105</v>
      </c>
      <c r="AK28" s="150"/>
      <c r="AL28" s="150"/>
      <c r="AM28" s="150"/>
      <c r="AN28" s="150"/>
      <c r="AO28" s="150"/>
    </row>
    <row r="29" spans="2:41">
      <c r="AB29" s="53" t="s">
        <v>88</v>
      </c>
      <c r="AC29" s="31">
        <v>0.5</v>
      </c>
      <c r="AD29" s="15">
        <v>1</v>
      </c>
      <c r="AE29" s="31">
        <v>1.5</v>
      </c>
      <c r="AF29" s="15">
        <v>2</v>
      </c>
      <c r="AG29" s="31">
        <v>2.5</v>
      </c>
      <c r="AH29" s="15">
        <v>3</v>
      </c>
      <c r="AI29" s="1" t="s">
        <v>25</v>
      </c>
      <c r="AJ29" s="31">
        <v>0.5</v>
      </c>
      <c r="AK29" s="15">
        <v>1</v>
      </c>
      <c r="AL29" s="31">
        <v>1.5</v>
      </c>
      <c r="AM29" s="15">
        <v>2</v>
      </c>
      <c r="AN29" s="31">
        <v>2.5</v>
      </c>
      <c r="AO29" s="15">
        <v>3</v>
      </c>
    </row>
    <row r="30" spans="2:41">
      <c r="AB30" s="16">
        <v>0.5</v>
      </c>
      <c r="AC30" s="16"/>
      <c r="AD30" s="16"/>
      <c r="AE30" s="16"/>
      <c r="AF30" s="16"/>
      <c r="AG30" s="16"/>
      <c r="AH30" s="16"/>
      <c r="AI30" s="1"/>
      <c r="AJ30" s="16"/>
      <c r="AK30" s="16"/>
      <c r="AL30" s="16"/>
      <c r="AM30" s="16"/>
      <c r="AN30" s="16"/>
      <c r="AO30" s="16"/>
    </row>
    <row r="31" spans="2:41">
      <c r="AB31" s="16">
        <v>1</v>
      </c>
      <c r="AC31" s="16"/>
      <c r="AD31" s="16"/>
      <c r="AE31" s="16"/>
      <c r="AF31" s="16"/>
      <c r="AG31" s="16"/>
      <c r="AH31" s="16"/>
      <c r="AI31" s="1"/>
      <c r="AJ31" s="16"/>
      <c r="AK31" s="16"/>
      <c r="AL31" s="16"/>
      <c r="AM31" s="16"/>
      <c r="AN31" s="16"/>
      <c r="AO31" s="16"/>
    </row>
    <row r="32" spans="2:41">
      <c r="AB32" s="16">
        <v>1.5</v>
      </c>
      <c r="AC32" s="16"/>
      <c r="AD32" s="16"/>
      <c r="AE32" s="16"/>
      <c r="AF32" s="16"/>
      <c r="AG32" s="16"/>
      <c r="AH32" s="16"/>
      <c r="AI32" s="1"/>
      <c r="AJ32" s="16"/>
      <c r="AK32" s="16"/>
      <c r="AL32" s="16"/>
      <c r="AM32" s="16"/>
      <c r="AN32" s="16"/>
      <c r="AO32" s="16"/>
    </row>
    <row r="33" spans="28:41">
      <c r="AB33" s="16">
        <v>2</v>
      </c>
      <c r="AC33" s="16"/>
      <c r="AD33" s="16"/>
      <c r="AE33" s="16"/>
      <c r="AF33" s="16"/>
      <c r="AG33" s="16"/>
      <c r="AH33" s="16"/>
      <c r="AI33" s="1"/>
      <c r="AJ33" s="16"/>
      <c r="AK33" s="16"/>
      <c r="AL33" s="16"/>
      <c r="AM33" s="16"/>
      <c r="AN33" s="16"/>
      <c r="AO33" s="16"/>
    </row>
    <row r="34" spans="28:41">
      <c r="AB34" s="16">
        <v>2.5</v>
      </c>
      <c r="AC34" s="16"/>
      <c r="AD34" s="16"/>
      <c r="AE34" s="16"/>
      <c r="AF34" s="16"/>
      <c r="AG34" s="16"/>
      <c r="AH34" s="16"/>
      <c r="AI34" s="1"/>
      <c r="AJ34" s="16"/>
      <c r="AK34" s="16"/>
      <c r="AL34" s="16"/>
      <c r="AM34" s="16"/>
      <c r="AN34" s="16"/>
      <c r="AO34" s="16"/>
    </row>
    <row r="35" spans="28:41">
      <c r="AB35" s="16">
        <v>3</v>
      </c>
      <c r="AC35" s="16"/>
      <c r="AD35" s="16"/>
      <c r="AE35" s="16"/>
      <c r="AF35" s="16"/>
      <c r="AG35" s="16"/>
      <c r="AH35" s="16"/>
      <c r="AI35" s="1"/>
      <c r="AJ35" s="16"/>
      <c r="AK35" s="16"/>
      <c r="AL35" s="16"/>
      <c r="AM35" s="16"/>
      <c r="AN35" s="16"/>
      <c r="AO35" s="16"/>
    </row>
    <row r="36" spans="28:41">
      <c r="AB36" s="16">
        <v>3.5</v>
      </c>
      <c r="AC36" s="16"/>
      <c r="AD36" s="16"/>
      <c r="AE36" s="16"/>
      <c r="AF36" s="16"/>
      <c r="AG36" s="16"/>
      <c r="AH36" s="16"/>
      <c r="AI36" s="1"/>
      <c r="AJ36" s="16"/>
      <c r="AK36" s="16"/>
      <c r="AL36" s="16"/>
      <c r="AM36" s="16"/>
      <c r="AN36" s="16"/>
      <c r="AO36" s="16"/>
    </row>
    <row r="37" spans="28:41">
      <c r="AB37" s="16">
        <v>4</v>
      </c>
      <c r="AC37" s="16"/>
      <c r="AD37" s="16"/>
      <c r="AE37" s="16"/>
      <c r="AF37" s="16"/>
      <c r="AG37" s="16"/>
      <c r="AH37" s="16"/>
      <c r="AI37" s="1"/>
      <c r="AJ37" s="16"/>
      <c r="AK37" s="16"/>
      <c r="AL37" s="16"/>
      <c r="AM37" s="16"/>
      <c r="AN37" s="16"/>
      <c r="AO37" s="16"/>
    </row>
    <row r="38" spans="28:41">
      <c r="AB38" s="16">
        <v>4.5</v>
      </c>
      <c r="AC38" s="16"/>
      <c r="AD38" s="16"/>
      <c r="AE38" s="16"/>
      <c r="AF38" s="16"/>
      <c r="AG38" s="16"/>
      <c r="AH38" s="16"/>
      <c r="AI38" s="1"/>
      <c r="AJ38" s="16"/>
      <c r="AK38" s="16"/>
      <c r="AL38" s="16"/>
      <c r="AM38" s="16"/>
      <c r="AN38" s="16"/>
      <c r="AO38" s="16"/>
    </row>
    <row r="39" spans="28:41">
      <c r="AB39" s="16">
        <v>5</v>
      </c>
      <c r="AC39" s="16"/>
      <c r="AD39" s="16"/>
      <c r="AE39" s="16"/>
      <c r="AF39" s="16"/>
      <c r="AG39" s="16"/>
      <c r="AH39" s="16"/>
      <c r="AI39" s="1"/>
      <c r="AJ39" s="16"/>
      <c r="AK39" s="16"/>
      <c r="AL39" s="16"/>
      <c r="AM39" s="16"/>
      <c r="AN39" s="16"/>
      <c r="AO39" s="16"/>
    </row>
    <row r="40" spans="28:41">
      <c r="AI40" s="1"/>
    </row>
    <row r="41" spans="28:41">
      <c r="AB41" s="53" t="str">
        <f>AB28</f>
        <v>Reibung</v>
      </c>
      <c r="AC41" s="150" t="s">
        <v>106</v>
      </c>
      <c r="AD41" s="150"/>
      <c r="AE41" s="150"/>
      <c r="AF41" s="150"/>
      <c r="AG41" s="150"/>
      <c r="AH41" s="150"/>
      <c r="AI41" s="1"/>
      <c r="AJ41" s="150" t="s">
        <v>106</v>
      </c>
      <c r="AK41" s="150"/>
      <c r="AL41" s="150"/>
      <c r="AM41" s="150"/>
      <c r="AN41" s="150"/>
      <c r="AO41" s="150"/>
    </row>
    <row r="42" spans="28:41">
      <c r="AB42" s="53" t="s">
        <v>88</v>
      </c>
      <c r="AC42" s="31">
        <v>0.5</v>
      </c>
      <c r="AD42" s="15">
        <v>1</v>
      </c>
      <c r="AE42" s="31">
        <v>1.5</v>
      </c>
      <c r="AF42" s="15">
        <v>2</v>
      </c>
      <c r="AG42" s="31">
        <v>2.5</v>
      </c>
      <c r="AH42" s="15">
        <v>3</v>
      </c>
      <c r="AI42" s="1" t="s">
        <v>25</v>
      </c>
      <c r="AJ42" s="31">
        <v>0.5</v>
      </c>
      <c r="AK42" s="15">
        <v>1</v>
      </c>
      <c r="AL42" s="31">
        <v>1.5</v>
      </c>
      <c r="AM42" s="15">
        <v>2</v>
      </c>
      <c r="AN42" s="31">
        <v>2.5</v>
      </c>
      <c r="AO42" s="15">
        <v>3</v>
      </c>
    </row>
    <row r="43" spans="28:41">
      <c r="AB43" s="16">
        <v>0.5</v>
      </c>
      <c r="AC43" s="16"/>
      <c r="AD43" s="16"/>
      <c r="AE43" s="16"/>
      <c r="AF43" s="16"/>
      <c r="AG43" s="16"/>
      <c r="AH43" s="16"/>
      <c r="AJ43" s="16"/>
      <c r="AK43" s="16"/>
      <c r="AL43" s="16"/>
      <c r="AM43" s="16"/>
      <c r="AN43" s="16"/>
      <c r="AO43" s="16"/>
    </row>
    <row r="44" spans="28:41">
      <c r="AB44" s="16">
        <v>1</v>
      </c>
      <c r="AC44" s="16"/>
      <c r="AD44" s="16"/>
      <c r="AE44" s="16"/>
      <c r="AF44" s="16"/>
      <c r="AG44" s="16"/>
      <c r="AH44" s="16"/>
      <c r="AJ44" s="16"/>
      <c r="AK44" s="16"/>
      <c r="AL44" s="16"/>
      <c r="AM44" s="16"/>
      <c r="AN44" s="16"/>
      <c r="AO44" s="16"/>
    </row>
    <row r="45" spans="28:41">
      <c r="AB45" s="16">
        <v>1.5</v>
      </c>
      <c r="AC45" s="16"/>
      <c r="AD45" s="16"/>
      <c r="AE45" s="16"/>
      <c r="AF45" s="16"/>
      <c r="AG45" s="16"/>
      <c r="AH45" s="16"/>
      <c r="AJ45" s="16"/>
      <c r="AK45" s="16"/>
      <c r="AL45" s="16"/>
      <c r="AM45" s="16"/>
      <c r="AN45" s="16"/>
      <c r="AO45" s="16"/>
    </row>
    <row r="46" spans="28:41">
      <c r="AB46" s="16">
        <v>2</v>
      </c>
      <c r="AC46" s="16"/>
      <c r="AD46" s="16"/>
      <c r="AE46" s="16"/>
      <c r="AF46" s="16"/>
      <c r="AG46" s="16"/>
      <c r="AH46" s="16"/>
      <c r="AJ46" s="16"/>
      <c r="AK46" s="16"/>
      <c r="AL46" s="16"/>
      <c r="AM46" s="16"/>
      <c r="AN46" s="16"/>
      <c r="AO46" s="16"/>
    </row>
    <row r="47" spans="28:41">
      <c r="AB47" s="16">
        <v>2.5</v>
      </c>
      <c r="AC47" s="16"/>
      <c r="AD47" s="16"/>
      <c r="AE47" s="16"/>
      <c r="AF47" s="16"/>
      <c r="AG47" s="16"/>
      <c r="AH47" s="16"/>
      <c r="AJ47" s="16"/>
      <c r="AK47" s="16"/>
      <c r="AL47" s="16"/>
      <c r="AM47" s="16"/>
      <c r="AN47" s="16"/>
      <c r="AO47" s="16"/>
    </row>
    <row r="48" spans="28:41">
      <c r="AB48" s="16">
        <v>3</v>
      </c>
      <c r="AC48" s="16"/>
      <c r="AD48" s="16"/>
      <c r="AE48" s="16"/>
      <c r="AF48" s="16"/>
      <c r="AG48" s="16"/>
      <c r="AH48" s="16"/>
      <c r="AJ48" s="16"/>
      <c r="AK48" s="16"/>
      <c r="AL48" s="16"/>
      <c r="AM48" s="16"/>
      <c r="AN48" s="16"/>
      <c r="AO48" s="16"/>
    </row>
    <row r="49" spans="28:41">
      <c r="AB49" s="16">
        <v>3.5</v>
      </c>
      <c r="AC49" s="16"/>
      <c r="AD49" s="16"/>
      <c r="AE49" s="16"/>
      <c r="AF49" s="16"/>
      <c r="AG49" s="16"/>
      <c r="AH49" s="16"/>
      <c r="AJ49" s="16"/>
      <c r="AK49" s="16"/>
      <c r="AL49" s="16"/>
      <c r="AM49" s="16"/>
      <c r="AN49" s="16"/>
      <c r="AO49" s="16"/>
    </row>
    <row r="50" spans="28:41">
      <c r="AB50" s="16">
        <v>4</v>
      </c>
      <c r="AC50" s="16"/>
      <c r="AD50" s="16"/>
      <c r="AE50" s="16"/>
      <c r="AF50" s="16"/>
      <c r="AG50" s="16"/>
      <c r="AH50" s="16"/>
      <c r="AJ50" s="16"/>
      <c r="AK50" s="16"/>
      <c r="AL50" s="16"/>
      <c r="AM50" s="16"/>
      <c r="AN50" s="16"/>
      <c r="AO50" s="16"/>
    </row>
    <row r="51" spans="28:41">
      <c r="AB51" s="16">
        <v>4.5</v>
      </c>
      <c r="AC51" s="16"/>
      <c r="AD51" s="16"/>
      <c r="AE51" s="16"/>
      <c r="AF51" s="16"/>
      <c r="AG51" s="16"/>
      <c r="AH51" s="16"/>
      <c r="AJ51" s="16"/>
      <c r="AK51" s="16"/>
      <c r="AL51" s="16"/>
      <c r="AM51" s="16"/>
      <c r="AN51" s="16"/>
      <c r="AO51" s="16"/>
    </row>
    <row r="52" spans="28:41">
      <c r="AB52" s="16">
        <v>5</v>
      </c>
      <c r="AC52" s="16"/>
      <c r="AD52" s="16"/>
      <c r="AE52" s="16"/>
      <c r="AF52" s="16"/>
      <c r="AG52" s="16"/>
      <c r="AH52" s="16"/>
      <c r="AJ52" s="16"/>
      <c r="AK52" s="16"/>
      <c r="AL52" s="16"/>
      <c r="AM52" s="16"/>
      <c r="AN52" s="16"/>
      <c r="AO52" s="16"/>
    </row>
  </sheetData>
  <mergeCells count="22">
    <mergeCell ref="A1:C1"/>
    <mergeCell ref="A11:C11"/>
    <mergeCell ref="H9:I9"/>
    <mergeCell ref="K9:L9"/>
    <mergeCell ref="N9:O9"/>
    <mergeCell ref="Q9:R9"/>
    <mergeCell ref="K18:L18"/>
    <mergeCell ref="K19:L19"/>
    <mergeCell ref="N18:O18"/>
    <mergeCell ref="N19:O19"/>
    <mergeCell ref="Q18:R18"/>
    <mergeCell ref="Q19:R19"/>
    <mergeCell ref="AC28:AH28"/>
    <mergeCell ref="AJ28:AO28"/>
    <mergeCell ref="AC41:AH41"/>
    <mergeCell ref="AJ41:AO41"/>
    <mergeCell ref="AC1:AH1"/>
    <mergeCell ref="AJ1:AO1"/>
    <mergeCell ref="AC2:AH2"/>
    <mergeCell ref="AJ2:AO2"/>
    <mergeCell ref="AC15:AH15"/>
    <mergeCell ref="AJ15:AO15"/>
  </mergeCells>
  <conditionalFormatting sqref="AC17:AH26 AJ17:AO26">
    <cfRule type="cellIs" dxfId="2" priority="1" operator="lessThan">
      <formula>-0.001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77"/>
  <sheetViews>
    <sheetView topLeftCell="AE1" workbookViewId="0">
      <selection activeCell="AI20" activeCellId="1" sqref="AF20:AG20 AI20:AK20"/>
    </sheetView>
  </sheetViews>
  <sheetFormatPr baseColWidth="10" defaultRowHeight="15"/>
  <cols>
    <col min="1" max="3" width="5.7109375" customWidth="1"/>
    <col min="4" max="4" width="1.7109375" customWidth="1"/>
    <col min="5" max="27" width="5.7109375" customWidth="1"/>
    <col min="28" max="49" width="6.7109375" customWidth="1"/>
  </cols>
  <sheetData>
    <row r="1" spans="1:38">
      <c r="A1" s="157" t="s">
        <v>12</v>
      </c>
      <c r="B1" s="151"/>
      <c r="C1" s="151"/>
      <c r="E1" s="15" t="s">
        <v>24</v>
      </c>
      <c r="F1" s="15">
        <f>J9/20</f>
        <v>0.1235596302526919</v>
      </c>
      <c r="AB1" s="16" t="s">
        <v>84</v>
      </c>
      <c r="AC1" s="16">
        <f>Masse/Beta</f>
        <v>1.4603174603174602</v>
      </c>
      <c r="AE1" s="53" t="s">
        <v>86</v>
      </c>
      <c r="AF1" s="150" t="s">
        <v>87</v>
      </c>
      <c r="AG1" s="150"/>
      <c r="AH1" s="150"/>
      <c r="AI1" s="150"/>
      <c r="AJ1" s="150"/>
      <c r="AK1" s="150"/>
    </row>
    <row r="2" spans="1:38">
      <c r="A2" s="16" t="s">
        <v>32</v>
      </c>
      <c r="B2" s="27">
        <v>-2</v>
      </c>
      <c r="C2" s="1" t="s">
        <v>21</v>
      </c>
      <c r="E2" s="15" t="s">
        <v>9</v>
      </c>
      <c r="F2" s="18">
        <v>0</v>
      </c>
      <c r="G2" s="18">
        <f t="shared" ref="G2:Y2" si="0">F2+deltattt</f>
        <v>0.1235596302526919</v>
      </c>
      <c r="H2" s="18">
        <f t="shared" si="0"/>
        <v>0.2471192605053838</v>
      </c>
      <c r="I2" s="18">
        <f t="shared" si="0"/>
        <v>0.3706788907580757</v>
      </c>
      <c r="J2" s="18">
        <f t="shared" si="0"/>
        <v>0.4942385210107676</v>
      </c>
      <c r="K2" s="18">
        <f t="shared" si="0"/>
        <v>0.61779815126345949</v>
      </c>
      <c r="L2" s="18">
        <f t="shared" si="0"/>
        <v>0.74135778151615139</v>
      </c>
      <c r="M2" s="18">
        <f t="shared" si="0"/>
        <v>0.86491741176884329</v>
      </c>
      <c r="N2" s="18">
        <f t="shared" si="0"/>
        <v>0.98847704202153519</v>
      </c>
      <c r="O2" s="18">
        <f t="shared" si="0"/>
        <v>1.1120366722742272</v>
      </c>
      <c r="P2" s="18">
        <f t="shared" si="0"/>
        <v>1.2355963025269192</v>
      </c>
      <c r="Q2" s="18">
        <f t="shared" si="0"/>
        <v>1.3591559327796112</v>
      </c>
      <c r="R2" s="18">
        <f t="shared" si="0"/>
        <v>1.4827155630323032</v>
      </c>
      <c r="S2" s="18">
        <f t="shared" si="0"/>
        <v>1.6062751932849952</v>
      </c>
      <c r="T2" s="18">
        <f t="shared" si="0"/>
        <v>1.7298348235376872</v>
      </c>
      <c r="U2" s="18">
        <f t="shared" si="0"/>
        <v>1.8533944537903793</v>
      </c>
      <c r="V2" s="18">
        <f t="shared" si="0"/>
        <v>1.9769540840430713</v>
      </c>
      <c r="W2" s="18">
        <f t="shared" si="0"/>
        <v>2.1005137142957633</v>
      </c>
      <c r="X2" s="18">
        <f t="shared" si="0"/>
        <v>2.2240733445484553</v>
      </c>
      <c r="Y2" s="18">
        <f t="shared" si="0"/>
        <v>2.3476329748011473</v>
      </c>
      <c r="Z2" s="18">
        <f>Y2+deltattt</f>
        <v>2.4711926050538393</v>
      </c>
      <c r="AE2" s="53" t="s">
        <v>88</v>
      </c>
      <c r="AF2" s="31">
        <v>0.5</v>
      </c>
      <c r="AG2" s="15">
        <v>1</v>
      </c>
      <c r="AH2" s="31">
        <v>1.5</v>
      </c>
      <c r="AI2" s="15">
        <v>2</v>
      </c>
      <c r="AJ2" s="31">
        <v>2.5</v>
      </c>
      <c r="AK2" s="15">
        <v>3</v>
      </c>
      <c r="AL2" t="s">
        <v>89</v>
      </c>
    </row>
    <row r="3" spans="1:38">
      <c r="A3" s="16" t="s">
        <v>33</v>
      </c>
      <c r="B3" s="27">
        <v>-2</v>
      </c>
      <c r="C3" s="1" t="s">
        <v>21</v>
      </c>
      <c r="E3" s="15" t="s">
        <v>7</v>
      </c>
      <c r="F3" s="18">
        <f t="shared" ref="F3:Z3" si="1">xups+Masse/Beta*vxups*(1-EXP(-Beta/Masse*F2))</f>
        <v>-2</v>
      </c>
      <c r="G3" s="18">
        <f t="shared" si="1"/>
        <v>-1.8011235639422276</v>
      </c>
      <c r="H3" s="18">
        <f t="shared" si="1"/>
        <v>-1.6183821305178403</v>
      </c>
      <c r="I3" s="18">
        <f t="shared" si="1"/>
        <v>-1.4504666541951508</v>
      </c>
      <c r="J3" s="18">
        <f t="shared" si="1"/>
        <v>-1.2961742933423381</v>
      </c>
      <c r="K3" s="18">
        <f t="shared" si="1"/>
        <v>-1.1543997938210118</v>
      </c>
      <c r="L3" s="18">
        <f t="shared" si="1"/>
        <v>-1.0241275716356433</v>
      </c>
      <c r="M3" s="18">
        <f t="shared" si="1"/>
        <v>-0.90442443792391991</v>
      </c>
      <c r="N3" s="18">
        <f t="shared" si="1"/>
        <v>-0.79443291417438444</v>
      </c>
      <c r="O3" s="18">
        <f t="shared" si="1"/>
        <v>-0.69336508978575884</v>
      </c>
      <c r="P3" s="18">
        <f t="shared" si="1"/>
        <v>-0.60049697796734103</v>
      </c>
      <c r="Q3" s="18">
        <f t="shared" si="1"/>
        <v>-0.5151633295496667</v>
      </c>
      <c r="R3" s="18">
        <f t="shared" si="1"/>
        <v>-0.43675286755482001</v>
      </c>
      <c r="S3" s="18">
        <f t="shared" si="1"/>
        <v>-0.36470390838982247</v>
      </c>
      <c r="T3" s="18">
        <f t="shared" si="1"/>
        <v>-0.29850033829606804</v>
      </c>
      <c r="U3" s="18">
        <f t="shared" si="1"/>
        <v>-0.23766791623260053</v>
      </c>
      <c r="V3" s="18">
        <f t="shared" si="1"/>
        <v>-0.18177087670939596</v>
      </c>
      <c r="W3" s="18">
        <f t="shared" si="1"/>
        <v>-0.13040880823546819</v>
      </c>
      <c r="X3" s="18">
        <f t="shared" si="1"/>
        <v>-8.321378502095067E-2</v>
      </c>
      <c r="Y3" s="18">
        <f>xups+Masse/Beta*vxups*(1-EXP(-Beta/Masse*Y2))</f>
        <v>-3.9847731386457586E-2</v>
      </c>
      <c r="Z3" s="18">
        <f t="shared" si="1"/>
        <v>0</v>
      </c>
      <c r="AB3" s="45" t="s">
        <v>62</v>
      </c>
      <c r="AC3" s="16">
        <f>(-yups*Beta/Masse+9.81*SIN(ThetaS/180*PI())*AC1-Masse*9.81/Beta*SIN(ThetaS/180*PI())*(1-EXP(-Beta/Masse*AC1)))/(1-EXP(-Beta/Masse*AC1))</f>
        <v>2.4575854739653678</v>
      </c>
      <c r="AE3" s="16">
        <v>0.5</v>
      </c>
      <c r="AF3" s="16">
        <v>0.191</v>
      </c>
      <c r="AG3" s="16">
        <v>0.24199999999999999</v>
      </c>
      <c r="AH3" s="16">
        <v>0.27100000000000002</v>
      </c>
      <c r="AI3" s="16">
        <v>0.29099999999999998</v>
      </c>
      <c r="AJ3" s="16">
        <v>0.30599999999999999</v>
      </c>
      <c r="AK3" s="16">
        <v>0.318</v>
      </c>
    </row>
    <row r="4" spans="1:38">
      <c r="A4" s="16" t="s">
        <v>34</v>
      </c>
      <c r="B4" s="18">
        <f>P9</f>
        <v>1.6786120592014862</v>
      </c>
      <c r="C4" s="1" t="s">
        <v>22</v>
      </c>
      <c r="E4" s="15" t="s">
        <v>6</v>
      </c>
      <c r="F4" s="18">
        <f>yups + Masse/Beta*vyups*(1-EXP(-Beta/Masse*F2)) - ((Masse*9.81/Beta*SIN(ThetaS/180*PI()))*F2 - Masse*Masse*9.81/Beta/Beta*SIN(ThetaS/180*PI())*(1 - EXP(-Beta/Masse*F2)))</f>
        <v>-2</v>
      </c>
      <c r="G4" s="18">
        <f t="shared" ref="G4:Z4" si="2">yups+Masse/Beta*vyups*(1-EXP(-Beta/Masse*G2))-((Masse*9.81/Beta*SIN(ThetaS/180*PI()))*G2-Masse*Masse*9.81/Beta/Beta*SIN(ThetaS/180*PI())*(1-EXP(-Beta/Masse*G2)))</f>
        <v>-1.7400427447051492</v>
      </c>
      <c r="H4" s="18">
        <f t="shared" si="2"/>
        <v>-1.5061878737428349</v>
      </c>
      <c r="I4" s="18">
        <f t="shared" si="2"/>
        <v>-1.2963176800166738</v>
      </c>
      <c r="J4" s="18">
        <f t="shared" si="2"/>
        <v>-1.108486267682806</v>
      </c>
      <c r="K4" s="18">
        <f t="shared" si="2"/>
        <v>-0.94090561296702391</v>
      </c>
      <c r="L4" s="18">
        <f t="shared" si="2"/>
        <v>-0.79193275587882783</v>
      </c>
      <c r="M4" s="18">
        <f t="shared" si="2"/>
        <v>-0.66005803107186534</v>
      </c>
      <c r="N4" s="18">
        <f t="shared" si="2"/>
        <v>-0.54389425354397014</v>
      </c>
      <c r="O4" s="18">
        <f t="shared" si="2"/>
        <v>-0.4421667817099163</v>
      </c>
      <c r="P4" s="18">
        <f t="shared" si="2"/>
        <v>-0.35370438666494414</v>
      </c>
      <c r="Q4" s="18">
        <f t="shared" si="2"/>
        <v>-0.27743086223216007</v>
      </c>
      <c r="R4" s="18">
        <f t="shared" si="2"/>
        <v>-0.21235731569343169</v>
      </c>
      <c r="S4" s="18">
        <f t="shared" si="2"/>
        <v>-0.15757508397938569</v>
      </c>
      <c r="T4" s="18">
        <f t="shared" si="2"/>
        <v>-0.11224922457451358</v>
      </c>
      <c r="U4" s="18">
        <f t="shared" si="2"/>
        <v>-7.5612534510303142E-2</v>
      </c>
      <c r="V4" s="18">
        <f t="shared" si="2"/>
        <v>-4.6960054602183998E-2</v>
      </c>
      <c r="W4" s="18">
        <f t="shared" si="2"/>
        <v>-2.5644019562082732E-2</v>
      </c>
      <c r="X4" s="18">
        <f t="shared" si="2"/>
        <v>-1.1069217812339827E-2</v>
      </c>
      <c r="Y4" s="18">
        <f>yups+Masse/Beta*vyups*(1-EXP(-Beta/Masse*Y2))-((Masse*9.81/Beta*SIN(ThetaS/180*PI()))*Y2-Masse*Masse*9.81/Beta/Beta*SIN(ThetaS/180*PI())*(1-EXP(-Beta/Masse*Y2)))</f>
        <v>-2.6887277615983418E-3</v>
      </c>
      <c r="Z4" s="18">
        <f t="shared" si="2"/>
        <v>0</v>
      </c>
      <c r="AB4" s="46" t="s">
        <v>63</v>
      </c>
      <c r="AC4" s="16">
        <f>-Beta/Masse*xups/(1-EXP(-Beta/Masse*AC1))</f>
        <v>2.1666202724514689</v>
      </c>
      <c r="AE4" s="16">
        <v>1</v>
      </c>
      <c r="AF4" s="16">
        <v>0.28699999999999998</v>
      </c>
      <c r="AG4" s="16">
        <v>0.38200000000000001</v>
      </c>
      <c r="AH4" s="16">
        <v>0.441</v>
      </c>
      <c r="AI4" s="16">
        <v>0.48299999999999998</v>
      </c>
      <c r="AJ4" s="16">
        <v>0.51600000000000001</v>
      </c>
      <c r="AK4" s="16">
        <v>0.54200000000000004</v>
      </c>
    </row>
    <row r="5" spans="1:38">
      <c r="A5" s="16" t="s">
        <v>35</v>
      </c>
      <c r="B5" s="18">
        <f>M9</f>
        <v>2.2156127572519653</v>
      </c>
      <c r="C5" s="1" t="s">
        <v>22</v>
      </c>
      <c r="E5" s="15" t="s">
        <v>10</v>
      </c>
      <c r="F5" s="18">
        <f t="shared" ref="F5:Z5" si="3">vxups*EXP(-Beta/Masse*F2)</f>
        <v>1.6786120592014862</v>
      </c>
      <c r="G5" s="18">
        <f t="shared" si="3"/>
        <v>1.5424249345097507</v>
      </c>
      <c r="H5" s="18">
        <f t="shared" si="3"/>
        <v>1.4172867790126158</v>
      </c>
      <c r="I5" s="18">
        <f t="shared" si="3"/>
        <v>1.3023011810959915</v>
      </c>
      <c r="J5" s="18">
        <f t="shared" si="3"/>
        <v>1.1966444557293916</v>
      </c>
      <c r="K5" s="18">
        <f t="shared" si="3"/>
        <v>1.099559744100657</v>
      </c>
      <c r="L5" s="18">
        <f t="shared" si="3"/>
        <v>1.0103515919519808</v>
      </c>
      <c r="M5" s="18">
        <f t="shared" si="3"/>
        <v>0.92838096777982249</v>
      </c>
      <c r="N5" s="18">
        <f t="shared" si="3"/>
        <v>0.8530606852122059</v>
      </c>
      <c r="O5" s="18">
        <f t="shared" si="3"/>
        <v>0.78385119677216897</v>
      </c>
      <c r="P5" s="18">
        <f t="shared" si="3"/>
        <v>0.72025672889651304</v>
      </c>
      <c r="Q5" s="18">
        <f t="shared" si="3"/>
        <v>0.66182173052354054</v>
      </c>
      <c r="R5" s="18">
        <f t="shared" si="3"/>
        <v>0.60812760980967806</v>
      </c>
      <c r="S5" s="18">
        <f t="shared" si="3"/>
        <v>0.55878973559886447</v>
      </c>
      <c r="T5" s="18">
        <f t="shared" si="3"/>
        <v>0.51345468216509782</v>
      </c>
      <c r="U5" s="18">
        <f t="shared" si="3"/>
        <v>0.47179769749120165</v>
      </c>
      <c r="V5" s="18">
        <f t="shared" si="3"/>
        <v>0.43352037694813772</v>
      </c>
      <c r="W5" s="18">
        <f t="shared" si="3"/>
        <v>0.39834852571055668</v>
      </c>
      <c r="X5" s="18">
        <f t="shared" si="3"/>
        <v>0.3660301945962674</v>
      </c>
      <c r="Y5" s="18">
        <f>vxups*EXP(-Beta/Masse*Y2)</f>
        <v>0.33633387525960362</v>
      </c>
      <c r="Z5" s="18">
        <f t="shared" si="3"/>
        <v>0.30904684181018149</v>
      </c>
      <c r="AB5" s="46" t="s">
        <v>64</v>
      </c>
      <c r="AC5" s="16">
        <f>-Masse/Beta*LN(Masse*9.81/Beta*SIN(ThetaS/180*PI())/(AC3+Masse*9.81/Beta*SIN(ThetaS/180*PI())))</f>
        <v>2.5958406224651989</v>
      </c>
      <c r="AE5" s="16">
        <v>1.5</v>
      </c>
      <c r="AF5" s="16">
        <v>0.35499999999999998</v>
      </c>
      <c r="AG5" s="16">
        <v>0.48799999999999999</v>
      </c>
      <c r="AH5" s="16">
        <v>0.57399999999999995</v>
      </c>
      <c r="AI5" s="16">
        <v>0.63600000000000001</v>
      </c>
      <c r="AJ5" s="16">
        <v>0.68500000000000005</v>
      </c>
      <c r="AK5" s="16">
        <v>0.72499999999999998</v>
      </c>
    </row>
    <row r="6" spans="1:38">
      <c r="A6" s="16" t="s">
        <v>25</v>
      </c>
      <c r="B6" s="18">
        <v>2</v>
      </c>
      <c r="C6" s="1" t="s">
        <v>23</v>
      </c>
      <c r="E6" s="15" t="s">
        <v>11</v>
      </c>
      <c r="F6" s="18">
        <f t="shared" ref="F6:Z6" si="4">vyups*EXP(-Beta/Masse*F2) - Masse*9.81/Beta*SIN(ThetaS/180*PI())*(1-EXP(-Beta/Masse*F2))</f>
        <v>2.2156127572519653</v>
      </c>
      <c r="G6" s="18">
        <f t="shared" si="4"/>
        <v>1.9952961728287626</v>
      </c>
      <c r="H6" s="18">
        <f t="shared" si="4"/>
        <v>1.7928540472419709</v>
      </c>
      <c r="I6" s="18">
        <f t="shared" si="4"/>
        <v>1.6068362115016754</v>
      </c>
      <c r="J6" s="18">
        <f t="shared" si="4"/>
        <v>1.4359101499756677</v>
      </c>
      <c r="K6" s="18">
        <f t="shared" si="4"/>
        <v>1.2788514550794359</v>
      </c>
      <c r="L6" s="18">
        <f t="shared" si="4"/>
        <v>1.1345350563847034</v>
      </c>
      <c r="M6" s="18">
        <f t="shared" si="4"/>
        <v>1.0019271613173373</v>
      </c>
      <c r="N6" s="18">
        <f t="shared" si="4"/>
        <v>0.88007784971281078</v>
      </c>
      <c r="O6" s="18">
        <f t="shared" si="4"/>
        <v>0.76811426918124082</v>
      </c>
      <c r="P6" s="18">
        <f t="shared" si="4"/>
        <v>0.66523438253784628</v>
      </c>
      <c r="Q6" s="18">
        <f t="shared" si="4"/>
        <v>0.57070122250931976</v>
      </c>
      <c r="R6" s="18">
        <f t="shared" si="4"/>
        <v>0.48383761256041846</v>
      </c>
      <c r="S6" s="18">
        <f t="shared" si="4"/>
        <v>0.40402131602407121</v>
      </c>
      <c r="T6" s="18">
        <f t="shared" si="4"/>
        <v>0.33068057878639762</v>
      </c>
      <c r="U6" s="18">
        <f t="shared" si="4"/>
        <v>0.26329003359722042</v>
      </c>
      <c r="V6" s="18">
        <f t="shared" si="4"/>
        <v>0.20136693666710576</v>
      </c>
      <c r="W6" s="18">
        <f t="shared" si="4"/>
        <v>0.14446770959226402</v>
      </c>
      <c r="X6" s="18">
        <f t="shared" si="4"/>
        <v>9.2184761835820028E-2</v>
      </c>
      <c r="Y6" s="18">
        <f>vyups*EXP(-Beta/Masse*Y2) - Masse*9.81/Beta*SIN(ThetaS/180*PI())*(1-EXP(-Beta/Masse*Y2))</f>
        <v>4.4143571003692039E-2</v>
      </c>
      <c r="Z6" s="18">
        <f t="shared" si="4"/>
        <v>-5.5511151231257827E-16</v>
      </c>
      <c r="AB6" s="47"/>
      <c r="AC6" s="48"/>
      <c r="AE6" s="16">
        <v>2</v>
      </c>
      <c r="AF6" s="16">
        <v>0.40899999999999997</v>
      </c>
      <c r="AG6" s="16">
        <v>0.57399999999999995</v>
      </c>
      <c r="AH6" s="16">
        <v>0.68400000000000005</v>
      </c>
      <c r="AI6" s="16">
        <v>0.76500000000000001</v>
      </c>
      <c r="AJ6" s="16">
        <v>0.83</v>
      </c>
      <c r="AK6" s="16">
        <v>0.88300000000000001</v>
      </c>
    </row>
    <row r="7" spans="1:38">
      <c r="A7" s="16" t="s">
        <v>30</v>
      </c>
      <c r="B7" s="15">
        <v>3.15E-2</v>
      </c>
      <c r="C7" s="1"/>
      <c r="E7" s="15" t="s">
        <v>15</v>
      </c>
      <c r="F7" s="19">
        <f>SQRT(F5*F5+F6*F6)</f>
        <v>2.7796903308452023</v>
      </c>
      <c r="G7" s="19">
        <f t="shared" ref="G7:Z7" si="5">SQRT(G5*G5+G6*G6)</f>
        <v>2.5219598521591329</v>
      </c>
      <c r="H7" s="19">
        <f t="shared" si="5"/>
        <v>2.2853943748674692</v>
      </c>
      <c r="I7" s="19">
        <f t="shared" si="5"/>
        <v>2.0683111412157191</v>
      </c>
      <c r="J7" s="19">
        <f t="shared" si="5"/>
        <v>1.8691698457419637</v>
      </c>
      <c r="K7" s="19">
        <f t="shared" si="5"/>
        <v>1.6865623839649375</v>
      </c>
      <c r="L7" s="19">
        <f t="shared" si="5"/>
        <v>1.5192037827512621</v>
      </c>
      <c r="M7" s="19">
        <f t="shared" si="5"/>
        <v>1.3659243236435967</v>
      </c>
      <c r="N7" s="19">
        <f t="shared" si="5"/>
        <v>1.2256629039869986</v>
      </c>
      <c r="O7" s="19">
        <f t="shared" si="5"/>
        <v>1.0974617210641076</v>
      </c>
      <c r="P7" s="19">
        <f t="shared" si="5"/>
        <v>0.98046241092211917</v>
      </c>
      <c r="Q7" s="19">
        <f t="shared" si="5"/>
        <v>0.87390382100480946</v>
      </c>
      <c r="R7" s="19">
        <f t="shared" si="5"/>
        <v>0.77712162828028253</v>
      </c>
      <c r="S7" s="19">
        <f t="shared" si="5"/>
        <v>0.68954999268542616</v>
      </c>
      <c r="T7" s="19">
        <f t="shared" si="5"/>
        <v>0.61072527033337054</v>
      </c>
      <c r="U7" s="19">
        <f t="shared" si="5"/>
        <v>0.54029131878054903</v>
      </c>
      <c r="V7" s="19">
        <f t="shared" si="5"/>
        <v>0.47800477028158372</v>
      </c>
      <c r="W7" s="19">
        <f t="shared" si="5"/>
        <v>0.4237363178329287</v>
      </c>
      <c r="X7" s="19">
        <f t="shared" si="5"/>
        <v>0.37746010871469354</v>
      </c>
      <c r="Y7" s="19">
        <f>SQRT(Y5*Y5+Y6*Y6)</f>
        <v>0.33921841121628499</v>
      </c>
      <c r="Z7" s="19">
        <f t="shared" si="5"/>
        <v>0.30904684181018149</v>
      </c>
      <c r="AB7" s="46" t="s">
        <v>65</v>
      </c>
      <c r="AC7" s="16">
        <f>(-yups*Beta/Masse+9.81*SIN(ThetaS/180*PI())*AC5-Masse*9.81/Beta*SIN(ThetaS/180*PI())*(1-EXP(-Beta/Masse*AC5)))/(1-EXP(-Beta/Masse*AC5))</f>
        <v>2.2177435213799295</v>
      </c>
      <c r="AE7" s="16">
        <v>2.5</v>
      </c>
      <c r="AF7" s="16">
        <v>0.45300000000000001</v>
      </c>
      <c r="AG7" s="16">
        <v>0.64700000000000002</v>
      </c>
      <c r="AH7" s="16">
        <v>0.77800000000000002</v>
      </c>
      <c r="AI7" s="16">
        <v>0.877</v>
      </c>
      <c r="AJ7" s="16">
        <v>0.95699999999999996</v>
      </c>
      <c r="AK7" s="16">
        <v>1.0229999999999999</v>
      </c>
    </row>
    <row r="8" spans="1:38">
      <c r="A8" s="20" t="s">
        <v>31</v>
      </c>
      <c r="B8" s="15">
        <v>4.5999999999999999E-2</v>
      </c>
      <c r="D8" s="162" t="s">
        <v>40</v>
      </c>
      <c r="E8" s="141"/>
      <c r="F8" s="29">
        <f>-F6/F5*F3+F4</f>
        <v>0.63981513192027206</v>
      </c>
      <c r="H8">
        <f>ATAN(H6/H5)</f>
        <v>0.9018627319944571</v>
      </c>
      <c r="AB8" s="46" t="s">
        <v>66</v>
      </c>
      <c r="AC8" s="16">
        <f>-Beta/Masse*xups/(1-EXP(-Beta/Masse*AC5))</f>
        <v>1.6481834516528562</v>
      </c>
      <c r="AE8" s="16">
        <v>3</v>
      </c>
      <c r="AF8" s="16">
        <v>0.49099999999999999</v>
      </c>
      <c r="AG8" s="16">
        <v>0.71099999999999997</v>
      </c>
      <c r="AH8" s="16">
        <v>0.86199999999999999</v>
      </c>
      <c r="AI8" s="16">
        <v>0.97699999999999998</v>
      </c>
      <c r="AJ8" s="16">
        <v>1.07</v>
      </c>
      <c r="AK8" s="16">
        <v>1.1479999999999999</v>
      </c>
    </row>
    <row r="9" spans="1:38">
      <c r="E9" s="33"/>
      <c r="H9" s="154" t="s">
        <v>56</v>
      </c>
      <c r="I9" s="155"/>
      <c r="J9" s="43">
        <f>AC45</f>
        <v>2.471192605053838</v>
      </c>
      <c r="K9" s="154" t="s">
        <v>55</v>
      </c>
      <c r="L9" s="155"/>
      <c r="M9" s="43">
        <f>AC43</f>
        <v>2.2156127572519653</v>
      </c>
      <c r="N9" s="154" t="s">
        <v>57</v>
      </c>
      <c r="O9" s="155"/>
      <c r="P9" s="43">
        <f>AC44</f>
        <v>1.6786120592014862</v>
      </c>
      <c r="Q9" s="154" t="s">
        <v>58</v>
      </c>
      <c r="R9" s="155"/>
      <c r="S9" s="35">
        <f>-M9/P9*xups+yups</f>
        <v>0.63981513192027206</v>
      </c>
      <c r="AB9" s="46" t="s">
        <v>67</v>
      </c>
      <c r="AC9" s="16">
        <f>-Masse/Beta*LN(Masse*9.81/Beta*SIN(ThetaS/180*PI())/(AC7+Masse*9.81/Beta*SIN(ThetaS/180*PI())))</f>
        <v>2.4723379883583467</v>
      </c>
      <c r="AE9" s="16">
        <v>3.5</v>
      </c>
      <c r="AF9" s="16">
        <v>0.52400000000000002</v>
      </c>
      <c r="AG9" s="16">
        <v>0.76700000000000002</v>
      </c>
      <c r="AH9" s="16">
        <v>0.93600000000000005</v>
      </c>
      <c r="AI9" s="16">
        <v>1.0669999999999999</v>
      </c>
      <c r="AJ9" s="16">
        <v>1.173</v>
      </c>
      <c r="AK9" s="16">
        <v>1.2629999999999999</v>
      </c>
    </row>
    <row r="10" spans="1:38">
      <c r="AB10" s="47"/>
      <c r="AC10" s="48"/>
      <c r="AE10" s="16">
        <v>4</v>
      </c>
      <c r="AF10" s="16">
        <v>0.55400000000000005</v>
      </c>
      <c r="AG10" s="16">
        <v>0.81799999999999995</v>
      </c>
      <c r="AH10" s="16">
        <v>1.004</v>
      </c>
      <c r="AI10" s="16">
        <v>1.149</v>
      </c>
      <c r="AJ10" s="16">
        <v>1.268</v>
      </c>
      <c r="AK10" s="16">
        <v>1.3680000000000001</v>
      </c>
    </row>
    <row r="11" spans="1:38">
      <c r="A11" s="158" t="s">
        <v>13</v>
      </c>
      <c r="B11" s="151"/>
      <c r="C11" s="151"/>
      <c r="AB11" s="46" t="s">
        <v>68</v>
      </c>
      <c r="AC11" s="16">
        <f>(-yups*Beta/Masse+9.81*SIN(ThetaS/180*PI())*AC9-Masse*9.81/Beta*SIN(ThetaS/180*PI())*(1-EXP(-Beta/Masse*AC9)))/(1-EXP(-Beta/Masse*AC9))</f>
        <v>2.2156129456558489</v>
      </c>
      <c r="AE11" s="16">
        <v>4.5</v>
      </c>
      <c r="AF11" s="16">
        <v>0.57999999999999996</v>
      </c>
      <c r="AG11" s="16">
        <v>0.86399999999999999</v>
      </c>
      <c r="AH11" s="16">
        <v>1.0660000000000001</v>
      </c>
      <c r="AI11" s="16">
        <v>1.2250000000000001</v>
      </c>
      <c r="AJ11" s="16">
        <v>1.355</v>
      </c>
      <c r="AK11" s="16">
        <v>1.466</v>
      </c>
    </row>
    <row r="12" spans="1:38">
      <c r="A12" s="15" t="s">
        <v>36</v>
      </c>
      <c r="B12" s="18">
        <f>-xups</f>
        <v>2</v>
      </c>
      <c r="C12" s="1" t="s">
        <v>21</v>
      </c>
      <c r="E12" s="15" t="s">
        <v>7</v>
      </c>
      <c r="F12" s="21">
        <f t="shared" ref="F12:Z12" si="6">xds + Masse/Beta*vxds*(1-EXP(-Beta/Masse*F2))</f>
        <v>2</v>
      </c>
      <c r="G12" s="21">
        <f t="shared" si="6"/>
        <v>1.8011235639422276</v>
      </c>
      <c r="H12" s="21">
        <f t="shared" si="6"/>
        <v>1.6183821305178403</v>
      </c>
      <c r="I12" s="21">
        <f t="shared" si="6"/>
        <v>1.4504666541951508</v>
      </c>
      <c r="J12" s="21">
        <f t="shared" si="6"/>
        <v>1.2961742933423381</v>
      </c>
      <c r="K12" s="21">
        <f t="shared" si="6"/>
        <v>1.1543997938210118</v>
      </c>
      <c r="L12" s="21">
        <f t="shared" si="6"/>
        <v>1.0241275716356433</v>
      </c>
      <c r="M12" s="21">
        <f t="shared" si="6"/>
        <v>0.90442443792391991</v>
      </c>
      <c r="N12" s="21">
        <f t="shared" si="6"/>
        <v>0.79443291417438444</v>
      </c>
      <c r="O12" s="21">
        <f t="shared" si="6"/>
        <v>0.69336508978575884</v>
      </c>
      <c r="P12" s="21">
        <f t="shared" si="6"/>
        <v>0.60049697796734103</v>
      </c>
      <c r="Q12" s="21">
        <f t="shared" si="6"/>
        <v>0.5151633295496667</v>
      </c>
      <c r="R12" s="21">
        <f t="shared" si="6"/>
        <v>0.43675286755482001</v>
      </c>
      <c r="S12" s="21">
        <f t="shared" si="6"/>
        <v>0.36470390838982247</v>
      </c>
      <c r="T12" s="21">
        <f t="shared" si="6"/>
        <v>0.29850033829606804</v>
      </c>
      <c r="U12" s="21">
        <f t="shared" si="6"/>
        <v>0.23766791623260053</v>
      </c>
      <c r="V12" s="21">
        <f t="shared" si="6"/>
        <v>0.18177087670939596</v>
      </c>
      <c r="W12" s="21">
        <f t="shared" si="6"/>
        <v>0.13040880823546819</v>
      </c>
      <c r="X12" s="21">
        <f t="shared" si="6"/>
        <v>8.321378502095067E-2</v>
      </c>
      <c r="Y12" s="21">
        <f>xds + Masse/Beta*vxds*(1-EXP(-Beta/Masse*Y2))</f>
        <v>3.9847731386457586E-2</v>
      </c>
      <c r="Z12" s="21">
        <f t="shared" si="6"/>
        <v>0</v>
      </c>
      <c r="AB12" s="46" t="s">
        <v>69</v>
      </c>
      <c r="AC12" s="16">
        <f>-Beta/Masse*xups/(1-EXP(-Beta/Masse*AC9))</f>
        <v>1.6783151331060917</v>
      </c>
      <c r="AE12" s="16">
        <v>5</v>
      </c>
      <c r="AF12" s="16">
        <v>0.60399999999999998</v>
      </c>
      <c r="AG12" s="16">
        <v>0.90700000000000003</v>
      </c>
      <c r="AH12" s="16">
        <v>1.1240000000000001</v>
      </c>
      <c r="AI12" s="16">
        <v>1.2949999999999999</v>
      </c>
      <c r="AJ12" s="16">
        <v>1.4370000000000001</v>
      </c>
      <c r="AK12" s="16">
        <v>1.5580000000000001</v>
      </c>
    </row>
    <row r="13" spans="1:38">
      <c r="A13" s="15" t="s">
        <v>37</v>
      </c>
      <c r="B13" s="18">
        <f>-yups</f>
        <v>2</v>
      </c>
      <c r="C13" s="1" t="s">
        <v>21</v>
      </c>
      <c r="E13" s="15" t="s">
        <v>6</v>
      </c>
      <c r="F13" s="21">
        <f t="shared" ref="F13:Z13" si="7">yds + Masse/Beta*vyds*(1-EXP(-Beta/Masse*F2)) - ((Masse*9.81/Beta*SIN(ThetaS/180*PI()))*F2 - Masse*Masse*9.81/Beta/Beta*SIN(ThetaS/180*PI())*(1 - EXP(-Beta/Masse*F2)))</f>
        <v>2</v>
      </c>
      <c r="G13" s="21">
        <f t="shared" si="7"/>
        <v>1.8622043831793058</v>
      </c>
      <c r="H13" s="21">
        <f t="shared" si="7"/>
        <v>1.7305763872928455</v>
      </c>
      <c r="I13" s="21">
        <f t="shared" si="7"/>
        <v>1.6046156283736275</v>
      </c>
      <c r="J13" s="21">
        <f t="shared" si="7"/>
        <v>1.4838623190018703</v>
      </c>
      <c r="K13" s="21">
        <f t="shared" si="7"/>
        <v>1.3678939746749994</v>
      </c>
      <c r="L13" s="21">
        <f t="shared" si="7"/>
        <v>1.2563223873924585</v>
      </c>
      <c r="M13" s="21">
        <f t="shared" si="7"/>
        <v>1.148790844775974</v>
      </c>
      <c r="N13" s="21">
        <f t="shared" si="7"/>
        <v>1.0449715748047985</v>
      </c>
      <c r="O13" s="21">
        <f t="shared" si="7"/>
        <v>0.94456339786160159</v>
      </c>
      <c r="P13" s="21">
        <f t="shared" si="7"/>
        <v>0.84728956926973797</v>
      </c>
      <c r="Q13" s="21">
        <f t="shared" si="7"/>
        <v>0.75289579686717334</v>
      </c>
      <c r="R13" s="21">
        <f t="shared" si="7"/>
        <v>0.66114841941620806</v>
      </c>
      <c r="S13" s="21">
        <f t="shared" si="7"/>
        <v>0.57183273280025904</v>
      </c>
      <c r="T13" s="21">
        <f t="shared" si="7"/>
        <v>0.48475145201762204</v>
      </c>
      <c r="U13" s="21">
        <f t="shared" si="7"/>
        <v>0.39972329795489769</v>
      </c>
      <c r="V13" s="21">
        <f t="shared" si="7"/>
        <v>0.31658169881660747</v>
      </c>
      <c r="W13" s="21">
        <f t="shared" si="7"/>
        <v>0.23517359690885342</v>
      </c>
      <c r="X13" s="21">
        <f t="shared" si="7"/>
        <v>0.15535835222956107</v>
      </c>
      <c r="Y13" s="21">
        <f>yds + Masse/Beta*vyds*(1-EXP(-Beta/Masse*Y2)) - ((Masse*9.81/Beta*SIN(ThetaS/180*PI()))*Y2 - Masse*Masse*9.81/Beta/Beta*SIN(ThetaS/180*PI())*(1 - EXP(-Beta/Masse*Y2)))</f>
        <v>7.7006735011316607E-2</v>
      </c>
      <c r="Z13" s="21">
        <f t="shared" si="7"/>
        <v>0</v>
      </c>
      <c r="AB13" s="46" t="s">
        <v>70</v>
      </c>
      <c r="AC13" s="16">
        <f>-Masse/Beta*LN(Masse*9.81/Beta*SIN(ThetaS/180*PI())/(AC11+Masse*9.81/Beta*SIN(ThetaS/180*PI())))</f>
        <v>2.471192706369278</v>
      </c>
    </row>
    <row r="14" spans="1:38">
      <c r="A14" s="15" t="s">
        <v>38</v>
      </c>
      <c r="B14" s="18">
        <f>P18</f>
        <v>-1.6786120592014862</v>
      </c>
      <c r="C14" s="1" t="s">
        <v>22</v>
      </c>
      <c r="E14" s="15" t="s">
        <v>10</v>
      </c>
      <c r="F14" s="21">
        <f>vxds*EXP(-Beta/Masse*F2)</f>
        <v>-1.6786120592014862</v>
      </c>
      <c r="G14" s="21">
        <f t="shared" ref="G14:Z14" si="8">vxds*EXP(-Beta/Masse*G2)</f>
        <v>-1.5424249345097507</v>
      </c>
      <c r="H14" s="21">
        <f t="shared" si="8"/>
        <v>-1.4172867790126158</v>
      </c>
      <c r="I14" s="21">
        <f t="shared" si="8"/>
        <v>-1.3023011810959915</v>
      </c>
      <c r="J14" s="21">
        <f t="shared" si="8"/>
        <v>-1.1966444557293916</v>
      </c>
      <c r="K14" s="21">
        <f t="shared" si="8"/>
        <v>-1.099559744100657</v>
      </c>
      <c r="L14" s="21">
        <f t="shared" si="8"/>
        <v>-1.0103515919519808</v>
      </c>
      <c r="M14" s="21">
        <f t="shared" si="8"/>
        <v>-0.92838096777982249</v>
      </c>
      <c r="N14" s="21">
        <f t="shared" si="8"/>
        <v>-0.8530606852122059</v>
      </c>
      <c r="O14" s="21">
        <f t="shared" si="8"/>
        <v>-0.78385119677216897</v>
      </c>
      <c r="P14" s="21">
        <f t="shared" si="8"/>
        <v>-0.72025672889651304</v>
      </c>
      <c r="Q14" s="21">
        <f t="shared" si="8"/>
        <v>-0.66182173052354054</v>
      </c>
      <c r="R14" s="21">
        <f t="shared" si="8"/>
        <v>-0.60812760980967806</v>
      </c>
      <c r="S14" s="21">
        <f t="shared" si="8"/>
        <v>-0.55878973559886447</v>
      </c>
      <c r="T14" s="21">
        <f t="shared" si="8"/>
        <v>-0.51345468216509782</v>
      </c>
      <c r="U14" s="21">
        <f t="shared" si="8"/>
        <v>-0.47179769749120165</v>
      </c>
      <c r="V14" s="21">
        <f t="shared" si="8"/>
        <v>-0.43352037694813772</v>
      </c>
      <c r="W14" s="21">
        <f t="shared" si="8"/>
        <v>-0.39834852571055668</v>
      </c>
      <c r="X14" s="21">
        <f t="shared" si="8"/>
        <v>-0.3660301945962674</v>
      </c>
      <c r="Y14" s="21">
        <f>vxds*EXP(-Beta/Masse*Y2)</f>
        <v>-0.33633387525960362</v>
      </c>
      <c r="Z14" s="21">
        <f t="shared" si="8"/>
        <v>-0.30904684181018149</v>
      </c>
      <c r="AB14" s="49"/>
      <c r="AC14" s="48"/>
      <c r="AE14" s="53" t="s">
        <v>86</v>
      </c>
      <c r="AF14" s="150" t="s">
        <v>90</v>
      </c>
      <c r="AG14" s="150"/>
      <c r="AH14" s="150"/>
      <c r="AI14" s="150"/>
      <c r="AJ14" s="150"/>
      <c r="AK14" s="150"/>
    </row>
    <row r="15" spans="1:38">
      <c r="A15" s="15" t="s">
        <v>39</v>
      </c>
      <c r="B15" s="18">
        <f>M18</f>
        <v>-1.1416113611510073</v>
      </c>
      <c r="C15" s="1" t="s">
        <v>22</v>
      </c>
      <c r="E15" s="15" t="s">
        <v>11</v>
      </c>
      <c r="F15" s="21">
        <f t="shared" ref="F15:Z15" si="9">vyds*EXP(-Beta/Masse*F2) - Masse*9.81/Beta*SIN(ThetaS/180*PI())*(1-EXP(-Beta/Masse*F2))</f>
        <v>-1.1416113611510073</v>
      </c>
      <c r="G15" s="21">
        <f t="shared" si="9"/>
        <v>-1.0895536961907388</v>
      </c>
      <c r="H15" s="21">
        <f t="shared" si="9"/>
        <v>-1.0417195107832611</v>
      </c>
      <c r="I15" s="21">
        <f t="shared" si="9"/>
        <v>-0.99776615069030794</v>
      </c>
      <c r="J15" s="21">
        <f t="shared" si="9"/>
        <v>-0.95737876148311574</v>
      </c>
      <c r="K15" s="21">
        <f t="shared" si="9"/>
        <v>-0.92026803312187855</v>
      </c>
      <c r="L15" s="21">
        <f t="shared" si="9"/>
        <v>-0.88616812751925855</v>
      </c>
      <c r="M15" s="21">
        <f t="shared" si="9"/>
        <v>-0.85483477424230792</v>
      </c>
      <c r="N15" s="21">
        <f t="shared" si="9"/>
        <v>-0.82604352071160114</v>
      </c>
      <c r="O15" s="21">
        <f t="shared" si="9"/>
        <v>-0.79958812436309712</v>
      </c>
      <c r="P15" s="21">
        <f t="shared" si="9"/>
        <v>-0.77527907525517992</v>
      </c>
      <c r="Q15" s="21">
        <f t="shared" si="9"/>
        <v>-0.75294223853776132</v>
      </c>
      <c r="R15" s="21">
        <f t="shared" si="9"/>
        <v>-0.73241760705893777</v>
      </c>
      <c r="S15" s="21">
        <f t="shared" si="9"/>
        <v>-0.71355815517365795</v>
      </c>
      <c r="T15" s="21">
        <f t="shared" si="9"/>
        <v>-0.69622878554379819</v>
      </c>
      <c r="U15" s="21">
        <f t="shared" si="9"/>
        <v>-0.68030536138518305</v>
      </c>
      <c r="V15" s="21">
        <f t="shared" si="9"/>
        <v>-0.66567381722916963</v>
      </c>
      <c r="W15" s="21">
        <f t="shared" si="9"/>
        <v>-0.6522293418288494</v>
      </c>
      <c r="X15" s="21">
        <f t="shared" si="9"/>
        <v>-0.63987562735671477</v>
      </c>
      <c r="Y15" s="21">
        <f>vyds*EXP(-Beta/Masse*Y2) - Masse*9.81/Beta*SIN(ThetaS/180*PI())*(1-EXP(-Beta/Masse*Y2))</f>
        <v>-0.6285241795155152</v>
      </c>
      <c r="Z15" s="21">
        <f t="shared" si="9"/>
        <v>-0.61809368362036365</v>
      </c>
      <c r="AB15" s="49"/>
      <c r="AC15" s="16">
        <f>(-yups*Beta/Masse+9.81*SIN(ThetaS/180*PI())*AC13-Masse*9.81/Beta*SIN(ThetaS/180*PI())*(1-EXP(-Beta/Masse*AC13)))/(1-EXP(-Beta/Masse*AC13))</f>
        <v>2.215612757251967</v>
      </c>
      <c r="AE15" s="53" t="s">
        <v>88</v>
      </c>
      <c r="AF15" s="31">
        <v>0.5</v>
      </c>
      <c r="AG15" s="15">
        <v>1</v>
      </c>
      <c r="AH15" s="115">
        <v>1.5</v>
      </c>
      <c r="AI15" s="15">
        <v>2</v>
      </c>
      <c r="AJ15" s="31">
        <v>2.5</v>
      </c>
      <c r="AK15" s="15">
        <v>3</v>
      </c>
      <c r="AL15" t="s">
        <v>89</v>
      </c>
    </row>
    <row r="16" spans="1:38">
      <c r="E16" s="15" t="s">
        <v>15</v>
      </c>
      <c r="F16" s="19">
        <f>SQRT(F14*F14+F15*F15)</f>
        <v>2.0300283114295992</v>
      </c>
      <c r="G16" s="19">
        <f t="shared" ref="G16:Z16" si="10">SQRT(G14*G14+G15*G15)</f>
        <v>1.8884390208530191</v>
      </c>
      <c r="H16" s="19">
        <f t="shared" si="10"/>
        <v>1.75894324897379</v>
      </c>
      <c r="I16" s="19">
        <f t="shared" si="10"/>
        <v>1.6405869857302198</v>
      </c>
      <c r="J16" s="19">
        <f t="shared" si="10"/>
        <v>1.5324921031988505</v>
      </c>
      <c r="K16" s="19">
        <f t="shared" si="10"/>
        <v>1.4338496726061325</v>
      </c>
      <c r="L16" s="19">
        <f t="shared" si="10"/>
        <v>1.3439137954463043</v>
      </c>
      <c r="M16" s="19">
        <f t="shared" si="10"/>
        <v>1.2619959241573235</v>
      </c>
      <c r="N16" s="19">
        <f t="shared" si="10"/>
        <v>1.1874596543732909</v>
      </c>
      <c r="O16" s="19">
        <f t="shared" si="10"/>
        <v>1.1197159761759483</v>
      </c>
      <c r="P16" s="19">
        <f t="shared" si="10"/>
        <v>1.0582189754721052</v>
      </c>
      <c r="Q16" s="19">
        <f t="shared" si="10"/>
        <v>1.0024619781155937</v>
      </c>
      <c r="R16" s="19">
        <f t="shared" si="10"/>
        <v>0.95197412829486738</v>
      </c>
      <c r="S16" s="19">
        <f t="shared" si="10"/>
        <v>0.90631738890163804</v>
      </c>
      <c r="T16" s="19">
        <f t="shared" si="10"/>
        <v>0.86508394532383603</v>
      </c>
      <c r="U16" s="19">
        <f t="shared" si="10"/>
        <v>0.8278939860196014</v>
      </c>
      <c r="V16" s="19">
        <f t="shared" si="10"/>
        <v>0.79439382435521833</v>
      </c>
      <c r="W16" s="19">
        <f t="shared" si="10"/>
        <v>0.76425431780152087</v>
      </c>
      <c r="X16" s="19">
        <f t="shared" si="10"/>
        <v>0.73716953398884488</v>
      </c>
      <c r="Y16" s="19">
        <f>SQRT(Y14*Y14+Y15*Y15)</f>
        <v>0.7128556094208659</v>
      </c>
      <c r="Z16" s="19">
        <f t="shared" si="10"/>
        <v>0.6910497465191906</v>
      </c>
      <c r="AB16" s="49"/>
      <c r="AC16" s="16">
        <f>-Beta/Masse*xups/(1-EXP(-Beta/Masse*AC13))</f>
        <v>1.6786120329217946</v>
      </c>
      <c r="AE16" s="16">
        <v>0.5</v>
      </c>
      <c r="AF16" s="16">
        <v>0.16</v>
      </c>
      <c r="AG16" s="16">
        <v>0.20899999999999999</v>
      </c>
      <c r="AH16" s="116">
        <v>0.23899999999999999</v>
      </c>
      <c r="AI16" s="16">
        <v>0.26</v>
      </c>
      <c r="AJ16" s="16">
        <v>0.27600000000000002</v>
      </c>
      <c r="AK16" s="16">
        <v>0.28799999999999998</v>
      </c>
    </row>
    <row r="17" spans="4:38">
      <c r="D17" s="162" t="s">
        <v>41</v>
      </c>
      <c r="E17" s="141"/>
      <c r="F17" s="29">
        <f>-F15/F14*F12+F13</f>
        <v>0.63981513192027162</v>
      </c>
      <c r="AB17" s="49"/>
      <c r="AC17" s="16">
        <f>-Masse/Beta*LN(Masse*9.81/Beta*SIN(ThetaS/180*PI())/(AC15+Masse*9.81/Beta*SIN(ThetaS/180*PI())))</f>
        <v>2.4711926050538389</v>
      </c>
      <c r="AE17" s="16">
        <v>1</v>
      </c>
      <c r="AF17" s="16">
        <v>0.23200000000000001</v>
      </c>
      <c r="AG17" s="16">
        <v>0.32</v>
      </c>
      <c r="AH17" s="116">
        <v>0.377</v>
      </c>
      <c r="AI17" s="16">
        <v>0.41799999999999998</v>
      </c>
      <c r="AJ17" s="16">
        <v>0.45100000000000001</v>
      </c>
      <c r="AK17" s="16">
        <v>0.47799999999999998</v>
      </c>
    </row>
    <row r="18" spans="4:38">
      <c r="E18" s="33"/>
      <c r="H18" s="156" t="s">
        <v>85</v>
      </c>
      <c r="I18" s="163"/>
      <c r="J18" s="44">
        <f>J9</f>
        <v>2.471192605053838</v>
      </c>
      <c r="K18" s="156" t="s">
        <v>59</v>
      </c>
      <c r="L18" s="163"/>
      <c r="M18" s="44">
        <f>(-yds*Beta/Masse+9.81*SIN(ThetaS/180*PI())*J18-Masse*9.81/Beta*SIN(ThetaS/180*PI())*(1-EXP(-Beta/Masse*J18)))/(1-EXP(-Beta/Masse*J18))</f>
        <v>-1.1416113611510073</v>
      </c>
      <c r="N18" s="156" t="s">
        <v>60</v>
      </c>
      <c r="O18" s="163"/>
      <c r="P18" s="44">
        <f>-Beta/Masse*xds/(1-EXP(-Beta/Masse*J18))</f>
        <v>-1.6786120592014862</v>
      </c>
      <c r="Q18" s="156" t="s">
        <v>61</v>
      </c>
      <c r="R18" s="163"/>
      <c r="S18" s="44">
        <f>-M18/P18*xds+yds</f>
        <v>0.63981513192027162</v>
      </c>
      <c r="AB18" s="49"/>
      <c r="AC18" s="48"/>
      <c r="AE18" s="16">
        <v>1.5</v>
      </c>
      <c r="AF18" s="16">
        <v>0.28199999999999997</v>
      </c>
      <c r="AG18" s="16">
        <v>0.4</v>
      </c>
      <c r="AH18" s="116">
        <v>0.48</v>
      </c>
      <c r="AI18" s="16">
        <v>0.54</v>
      </c>
      <c r="AJ18" s="16">
        <v>0.58799999999999997</v>
      </c>
      <c r="AK18" s="16">
        <v>0.628</v>
      </c>
    </row>
    <row r="19" spans="4:38">
      <c r="AB19" s="49"/>
      <c r="AC19" s="16">
        <f>(-yups*Beta/Masse+9.81*SIN(ThetaS/180*PI())*AC17-Masse*9.81/Beta*SIN(ThetaS/180*PI())*(1-EXP(-Beta/Masse*AC17)))/(1-EXP(-Beta/Masse*AC17))</f>
        <v>2.2156127572519653</v>
      </c>
      <c r="AE19" s="16">
        <v>2</v>
      </c>
      <c r="AF19" s="16">
        <v>0.32</v>
      </c>
      <c r="AG19" s="16">
        <v>0.46400000000000002</v>
      </c>
      <c r="AH19" s="116">
        <v>0.56399999999999995</v>
      </c>
      <c r="AI19" s="16">
        <v>0.64</v>
      </c>
      <c r="AJ19" s="16">
        <v>0.70199999999999996</v>
      </c>
      <c r="AK19" s="16">
        <v>0.754</v>
      </c>
    </row>
    <row r="20" spans="4:38">
      <c r="AB20" s="49"/>
      <c r="AC20" s="16">
        <f>-Beta/Masse*xups/(1-EXP(-Beta/Masse*AC17))</f>
        <v>1.6786120592014859</v>
      </c>
      <c r="AE20" s="16">
        <v>2.5</v>
      </c>
      <c r="AF20" s="20">
        <v>0.35099999999999998</v>
      </c>
      <c r="AG20" s="20">
        <v>0.51800000000000002</v>
      </c>
      <c r="AH20" s="116">
        <v>0.63500000000000001</v>
      </c>
      <c r="AI20" s="20">
        <v>0.72599999999999998</v>
      </c>
      <c r="AJ20" s="20">
        <v>0.8</v>
      </c>
      <c r="AK20" s="20">
        <v>0.86299999999999999</v>
      </c>
    </row>
    <row r="21" spans="4:38">
      <c r="AB21" s="49"/>
      <c r="AC21" s="16">
        <f>-Masse/Beta*LN(Masse*9.81/Beta*SIN(ThetaS/180*PI())/(AC19+Masse*9.81/Beta*SIN(ThetaS/180*PI())))</f>
        <v>2.471192605053838</v>
      </c>
      <c r="AE21" s="16">
        <v>3</v>
      </c>
      <c r="AF21" s="16">
        <v>0.377</v>
      </c>
      <c r="AG21" s="16">
        <v>0.56299999999999994</v>
      </c>
      <c r="AH21" s="116">
        <v>0.69699999999999995</v>
      </c>
      <c r="AI21" s="16">
        <v>0.80100000000000005</v>
      </c>
      <c r="AJ21" s="16">
        <v>0.88700000000000001</v>
      </c>
      <c r="AK21" s="16">
        <v>0.96099999999999997</v>
      </c>
    </row>
    <row r="22" spans="4:38">
      <c r="AB22" s="50" t="s">
        <v>71</v>
      </c>
      <c r="AC22" s="48"/>
      <c r="AE22" s="16">
        <v>3.5</v>
      </c>
      <c r="AF22" s="16">
        <v>0.4</v>
      </c>
      <c r="AG22" s="16">
        <v>0.60399999999999998</v>
      </c>
      <c r="AH22" s="116">
        <v>0.751</v>
      </c>
      <c r="AI22" s="16">
        <v>0.86799999999999999</v>
      </c>
      <c r="AJ22" s="16">
        <v>0.96499999999999997</v>
      </c>
      <c r="AK22" s="16">
        <v>1.0489999999999999</v>
      </c>
    </row>
    <row r="23" spans="4:38">
      <c r="AB23" s="50" t="s">
        <v>72</v>
      </c>
      <c r="AC23" s="16">
        <f>(-yups*Beta/Masse+9.81*SIN(ThetaS/180*PI())*AC21-Masse*9.81/Beta*SIN(ThetaS/180*PI())*(1-EXP(-Beta/Masse*AC21)))/(1-EXP(-Beta/Masse*AC21))</f>
        <v>2.2156127572519653</v>
      </c>
      <c r="AE23" s="16">
        <v>4</v>
      </c>
      <c r="AF23" s="16">
        <v>0.42</v>
      </c>
      <c r="AG23" s="16">
        <v>0.64</v>
      </c>
      <c r="AH23" s="116">
        <v>0.80100000000000005</v>
      </c>
      <c r="AI23" s="16">
        <v>0.92900000000000005</v>
      </c>
      <c r="AJ23" s="16">
        <v>1.036</v>
      </c>
      <c r="AK23" s="16">
        <v>1.129</v>
      </c>
    </row>
    <row r="24" spans="4:38">
      <c r="AB24" s="50" t="s">
        <v>73</v>
      </c>
      <c r="AC24" s="16">
        <f>-Beta/Masse*xups/(1-EXP(-Beta/Masse*AC21))</f>
        <v>1.6786120592014862</v>
      </c>
      <c r="AE24" s="16">
        <v>4.5</v>
      </c>
      <c r="AF24" s="16">
        <v>0.439</v>
      </c>
      <c r="AG24" s="16">
        <v>0.67200000000000004</v>
      </c>
      <c r="AH24" s="116">
        <v>0.84499999999999997</v>
      </c>
      <c r="AI24" s="16">
        <v>0.98399999999999999</v>
      </c>
      <c r="AJ24" s="16">
        <v>1.101</v>
      </c>
      <c r="AK24" s="16">
        <v>1.202</v>
      </c>
    </row>
    <row r="25" spans="4:38">
      <c r="AB25" s="50" t="s">
        <v>74</v>
      </c>
      <c r="AC25" s="16">
        <f>-Masse/Beta*LN(Masse*9.81/Beta*SIN(ThetaS/180*PI())/(AC23+Masse*9.81/Beta*SIN(ThetaS/180*PI())))</f>
        <v>2.471192605053838</v>
      </c>
      <c r="AE25" s="16">
        <v>5</v>
      </c>
      <c r="AF25" s="16">
        <v>0.45500000000000002</v>
      </c>
      <c r="AG25" s="16">
        <v>0.70199999999999996</v>
      </c>
      <c r="AH25" s="116">
        <v>0.88600000000000001</v>
      </c>
      <c r="AI25" s="16">
        <v>1.036</v>
      </c>
      <c r="AJ25" s="16">
        <v>1.1619999999999999</v>
      </c>
      <c r="AK25" s="16">
        <v>1.2709999999999999</v>
      </c>
    </row>
    <row r="26" spans="4:38">
      <c r="AB26" s="50" t="s">
        <v>75</v>
      </c>
      <c r="AC26" s="48"/>
    </row>
    <row r="27" spans="4:38">
      <c r="AB27" s="50" t="s">
        <v>72</v>
      </c>
      <c r="AC27" s="16">
        <f>(-yups*Beta/Masse+9.81*SIN(ThetaS/180*PI())*AC25-Masse*9.81/Beta*SIN(ThetaS/180*PI())*(1-EXP(-Beta/Masse*AC25)))/(1-EXP(-Beta/Masse*AC25))</f>
        <v>2.2156127572519653</v>
      </c>
      <c r="AE27" s="53" t="s">
        <v>86</v>
      </c>
      <c r="AF27" s="150" t="s">
        <v>91</v>
      </c>
      <c r="AG27" s="150"/>
      <c r="AH27" s="150"/>
      <c r="AI27" s="150"/>
      <c r="AJ27" s="150"/>
      <c r="AK27" s="150"/>
    </row>
    <row r="28" spans="4:38">
      <c r="AB28" s="50" t="s">
        <v>71</v>
      </c>
      <c r="AC28" s="16">
        <f>-Beta/Masse*xups/(1-EXP(-Beta/Masse*AC25))</f>
        <v>1.6786120592014862</v>
      </c>
      <c r="AE28" s="53" t="s">
        <v>88</v>
      </c>
      <c r="AF28" s="31">
        <v>0.5</v>
      </c>
      <c r="AG28" s="15">
        <v>1</v>
      </c>
      <c r="AH28" s="31">
        <v>1.5</v>
      </c>
      <c r="AI28" s="15">
        <v>2</v>
      </c>
      <c r="AJ28" s="31">
        <v>2.5</v>
      </c>
      <c r="AK28" s="15">
        <v>3</v>
      </c>
      <c r="AL28" t="s">
        <v>89</v>
      </c>
    </row>
    <row r="29" spans="4:38">
      <c r="AB29" s="50" t="s">
        <v>76</v>
      </c>
      <c r="AC29" s="16">
        <f>-Masse/Beta*LN(Masse*9.81/Beta*SIN(ThetaS/180*PI())/(AC27+Masse*9.81/Beta*SIN(ThetaS/180*PI())))</f>
        <v>2.471192605053838</v>
      </c>
      <c r="AE29" s="16">
        <v>0.5</v>
      </c>
      <c r="AF29" s="16">
        <v>0.123</v>
      </c>
      <c r="AG29" s="16">
        <v>0.16800000000000001</v>
      </c>
      <c r="AH29" s="16">
        <v>0.19700000000000001</v>
      </c>
      <c r="AI29" s="16">
        <v>0.218</v>
      </c>
      <c r="AJ29" s="16">
        <v>0.23400000000000001</v>
      </c>
      <c r="AK29" s="16">
        <v>0.247</v>
      </c>
    </row>
    <row r="30" spans="4:38">
      <c r="AB30" s="50" t="s">
        <v>77</v>
      </c>
      <c r="AC30" s="48"/>
      <c r="AE30" s="16">
        <v>1</v>
      </c>
      <c r="AF30" s="16">
        <v>0.17100000000000001</v>
      </c>
      <c r="AG30" s="16">
        <v>0.246</v>
      </c>
      <c r="AH30" s="16">
        <v>0.29699999999999999</v>
      </c>
      <c r="AI30" s="16">
        <v>0.33600000000000002</v>
      </c>
      <c r="AJ30" s="16">
        <v>0.36799999999999999</v>
      </c>
      <c r="AK30" s="16">
        <v>0.39400000000000002</v>
      </c>
    </row>
    <row r="31" spans="4:38">
      <c r="AB31" s="49"/>
      <c r="AC31" s="16">
        <f>(-yups*Beta/Masse+9.81*SIN(ThetaS/180*PI())*AC29-Masse*9.81/Beta*SIN(ThetaS/180*PI())*(1-EXP(-Beta/Masse*AC29)))/(1-EXP(-Beta/Masse*AC29))</f>
        <v>2.2156127572519653</v>
      </c>
      <c r="AE31" s="16">
        <v>1.5</v>
      </c>
      <c r="AF31" s="16">
        <v>0.20300000000000001</v>
      </c>
      <c r="AG31" s="16">
        <v>0.3</v>
      </c>
      <c r="AH31" s="16">
        <v>0.36899999999999999</v>
      </c>
      <c r="AI31" s="16">
        <v>0.42299999999999999</v>
      </c>
      <c r="AJ31" s="16">
        <v>0.46700000000000003</v>
      </c>
      <c r="AK31" s="16">
        <v>0.505</v>
      </c>
    </row>
    <row r="32" spans="4:38">
      <c r="AB32" s="49"/>
      <c r="AC32" s="16">
        <f>-Beta/Masse*xups/(1-EXP(-Beta/Masse*AC29))</f>
        <v>1.6786120592014862</v>
      </c>
      <c r="AE32" s="16">
        <v>2</v>
      </c>
      <c r="AF32" s="16">
        <v>0.22600000000000001</v>
      </c>
      <c r="AG32" s="16">
        <v>0.34200000000000003</v>
      </c>
      <c r="AH32" s="16">
        <v>0.42599999999999999</v>
      </c>
      <c r="AI32" s="16">
        <v>0.49199999999999999</v>
      </c>
      <c r="AJ32" s="16">
        <v>0.54800000000000004</v>
      </c>
      <c r="AK32" s="16">
        <v>0.59499999999999997</v>
      </c>
    </row>
    <row r="33" spans="28:38">
      <c r="AB33" s="49"/>
      <c r="AC33" s="16">
        <f>-Masse/Beta*LN(Masse*9.81/Beta*SIN(ThetaS/180*PI())/(AC31+Masse*9.81/Beta*SIN(ThetaS/180*PI())))</f>
        <v>2.471192605053838</v>
      </c>
      <c r="AE33" s="16">
        <v>2.5</v>
      </c>
      <c r="AF33" s="16">
        <v>0.246</v>
      </c>
      <c r="AG33" s="16">
        <v>0.376</v>
      </c>
      <c r="AH33" s="16">
        <v>0.47299999999999998</v>
      </c>
      <c r="AI33" s="16">
        <v>0.55000000000000004</v>
      </c>
      <c r="AJ33" s="16">
        <v>0.61599999999999999</v>
      </c>
      <c r="AK33" s="16">
        <v>0.67200000000000004</v>
      </c>
    </row>
    <row r="34" spans="28:38">
      <c r="AB34" s="49"/>
      <c r="AC34" s="48"/>
      <c r="AE34" s="16">
        <v>3</v>
      </c>
      <c r="AF34" s="16">
        <v>0.26200000000000001</v>
      </c>
      <c r="AG34" s="16">
        <v>0.40500000000000003</v>
      </c>
      <c r="AH34" s="16">
        <v>0.51300000000000001</v>
      </c>
      <c r="AI34" s="16">
        <v>0.60099999999999998</v>
      </c>
      <c r="AJ34" s="16">
        <v>0.67500000000000004</v>
      </c>
      <c r="AK34" s="16">
        <v>0.73899999999999999</v>
      </c>
    </row>
    <row r="35" spans="28:38">
      <c r="AB35" s="49"/>
      <c r="AC35" s="16">
        <f>(-yups*Beta/Masse+9.81*SIN(ThetaS/180*PI())*AC33-Masse*9.81/Beta*SIN(ThetaS/180*PI())*(1-EXP(-Beta/Masse*AC33)))/(1-EXP(-Beta/Masse*AC33))</f>
        <v>2.2156127572519653</v>
      </c>
      <c r="AE35" s="16">
        <v>3.5</v>
      </c>
      <c r="AF35" s="16">
        <v>0.27500000000000002</v>
      </c>
      <c r="AG35" s="16">
        <v>0.43099999999999999</v>
      </c>
      <c r="AH35" s="16">
        <v>0.54800000000000004</v>
      </c>
      <c r="AI35" s="16">
        <v>0.64500000000000002</v>
      </c>
      <c r="AJ35" s="16">
        <v>0.72699999999999998</v>
      </c>
      <c r="AK35" s="16">
        <v>0.79900000000000004</v>
      </c>
    </row>
    <row r="36" spans="28:38">
      <c r="AB36" s="49"/>
      <c r="AC36" s="16">
        <f>-Beta/Masse*xups/(1-EXP(-Beta/Masse*AC33))</f>
        <v>1.6786120592014862</v>
      </c>
      <c r="AE36" s="16">
        <v>4</v>
      </c>
      <c r="AF36" s="16">
        <v>0.28799999999999998</v>
      </c>
      <c r="AG36" s="16">
        <v>0.45300000000000001</v>
      </c>
      <c r="AH36" s="16">
        <v>0.57999999999999996</v>
      </c>
      <c r="AI36" s="16">
        <v>0.68400000000000005</v>
      </c>
      <c r="AJ36" s="16">
        <v>0.77400000000000002</v>
      </c>
      <c r="AK36" s="16">
        <v>0.85199999999999998</v>
      </c>
    </row>
    <row r="37" spans="28:38">
      <c r="AB37" s="49"/>
      <c r="AC37" s="16">
        <f>-Masse/Beta*LN(Masse*9.81/Beta*SIN(ThetaS/180*PI())/(AC35+Masse*9.81/Beta*SIN(ThetaS/180*PI())))</f>
        <v>2.471192605053838</v>
      </c>
      <c r="AE37" s="16">
        <v>4.5</v>
      </c>
      <c r="AF37" s="16">
        <v>0.29799999999999999</v>
      </c>
      <c r="AG37" s="16">
        <v>0.47299999999999998</v>
      </c>
      <c r="AH37" s="16">
        <v>0.60799999999999998</v>
      </c>
      <c r="AI37" s="16">
        <v>0.72</v>
      </c>
      <c r="AJ37" s="16">
        <v>0.81599999999999995</v>
      </c>
      <c r="AK37" s="16">
        <v>0.90100000000000002</v>
      </c>
    </row>
    <row r="38" spans="28:38">
      <c r="AB38" s="49"/>
      <c r="AC38" s="48"/>
      <c r="AE38" s="16">
        <v>5</v>
      </c>
      <c r="AF38" s="16">
        <v>0.308</v>
      </c>
      <c r="AG38" s="16">
        <v>0.49099999999999999</v>
      </c>
      <c r="AH38" s="16">
        <v>0.63400000000000001</v>
      </c>
      <c r="AI38" s="16">
        <v>0.753</v>
      </c>
      <c r="AJ38" s="16">
        <v>0.85599999999999998</v>
      </c>
      <c r="AK38" s="16">
        <v>0.94699999999999995</v>
      </c>
    </row>
    <row r="39" spans="28:38">
      <c r="AB39" s="51" t="s">
        <v>78</v>
      </c>
      <c r="AC39" s="16">
        <f>(-yups*Beta/Masse+9.81*SIN(ThetaS/180*PI())*AC37-Masse*9.81/Beta*SIN(ThetaS/180*PI())*(1-EXP(-Beta/Masse*AC37)))/(1-EXP(-Beta/Masse*AC37))</f>
        <v>2.2156127572519653</v>
      </c>
    </row>
    <row r="40" spans="28:38">
      <c r="AB40" s="51" t="s">
        <v>79</v>
      </c>
      <c r="AC40" s="16">
        <f>-Beta/Masse*xups/(1-EXP(-Beta/Masse*AC37))</f>
        <v>1.6786120592014862</v>
      </c>
      <c r="AE40" s="53" t="s">
        <v>86</v>
      </c>
      <c r="AF40" s="150" t="s">
        <v>92</v>
      </c>
      <c r="AG40" s="150"/>
      <c r="AH40" s="150"/>
      <c r="AI40" s="150"/>
      <c r="AJ40" s="150"/>
      <c r="AK40" s="150"/>
    </row>
    <row r="41" spans="28:38">
      <c r="AB41" s="51" t="s">
        <v>80</v>
      </c>
      <c r="AC41" s="16">
        <f>-Masse/Beta*LN(Masse*9.81/Beta*SIN(ThetaS/180*PI())/(AC39+Masse*9.81/Beta*SIN(ThetaS/180*PI())))</f>
        <v>2.471192605053838</v>
      </c>
      <c r="AE41" s="53" t="s">
        <v>88</v>
      </c>
      <c r="AF41" s="31">
        <v>0.5</v>
      </c>
      <c r="AG41" s="15">
        <v>1</v>
      </c>
      <c r="AH41" s="31">
        <v>1.5</v>
      </c>
      <c r="AI41" s="15">
        <v>2</v>
      </c>
      <c r="AJ41" s="31">
        <v>2.5</v>
      </c>
      <c r="AK41" s="15">
        <v>3</v>
      </c>
      <c r="AL41" t="s">
        <v>89</v>
      </c>
    </row>
    <row r="42" spans="28:38">
      <c r="AB42" s="52"/>
      <c r="AC42" s="48"/>
      <c r="AE42" s="16">
        <v>0.5</v>
      </c>
      <c r="AF42" s="16">
        <v>0.08</v>
      </c>
      <c r="AG42" s="16">
        <v>0.11600000000000001</v>
      </c>
      <c r="AH42" s="16">
        <v>0.14099999999999999</v>
      </c>
      <c r="AI42" s="16">
        <v>0.16</v>
      </c>
      <c r="AJ42" s="16">
        <v>0.17499999999999999</v>
      </c>
      <c r="AK42" s="16">
        <v>0.188</v>
      </c>
    </row>
    <row r="43" spans="28:38">
      <c r="AB43" s="58" t="s">
        <v>81</v>
      </c>
      <c r="AC43" s="16">
        <f>(-yups*Beta/Masse+9.81*SIN(ThetaS/180*PI())*AC41-Masse*9.81/Beta*SIN(ThetaS/180*PI())*(1-EXP(-Beta/Masse*AC41)))/(1-EXP(-Beta/Masse*AC41))</f>
        <v>2.2156127572519653</v>
      </c>
      <c r="AE43" s="16">
        <v>1</v>
      </c>
      <c r="AF43" s="16">
        <v>0.105</v>
      </c>
      <c r="AG43" s="16">
        <v>0.16</v>
      </c>
      <c r="AH43" s="16">
        <v>0.2</v>
      </c>
      <c r="AI43" s="16">
        <v>0.23200000000000001</v>
      </c>
      <c r="AJ43" s="16">
        <v>0.25900000000000001</v>
      </c>
      <c r="AK43" s="16">
        <v>0.28199999999999997</v>
      </c>
    </row>
    <row r="44" spans="28:38">
      <c r="AB44" s="58" t="s">
        <v>82</v>
      </c>
      <c r="AC44" s="16">
        <f>-Beta/Masse*xups/(1-EXP(-Beta/Masse*AC41))</f>
        <v>1.6786120592014862</v>
      </c>
      <c r="AE44" s="16">
        <v>1.5</v>
      </c>
      <c r="AF44" s="16">
        <v>0.121</v>
      </c>
      <c r="AG44" s="16">
        <v>0.189</v>
      </c>
      <c r="AH44" s="16">
        <v>0.24</v>
      </c>
      <c r="AI44" s="16">
        <v>0.28199999999999997</v>
      </c>
      <c r="AJ44" s="16">
        <v>0.317</v>
      </c>
      <c r="AK44" s="16">
        <v>0.34899999999999998</v>
      </c>
    </row>
    <row r="45" spans="28:38">
      <c r="AB45" s="51" t="s">
        <v>83</v>
      </c>
      <c r="AC45" s="16">
        <f>-Masse/Beta*LN(Masse*9.81/Beta*SIN(ThetaS/180*PI())/(AC43+Masse*9.81/Beta*SIN(ThetaS/180*PI())))</f>
        <v>2.471192605053838</v>
      </c>
      <c r="AE45" s="16">
        <v>2</v>
      </c>
      <c r="AF45" s="16">
        <v>0.13300000000000001</v>
      </c>
      <c r="AG45" s="16">
        <v>0.21</v>
      </c>
      <c r="AH45" s="16">
        <v>0.27</v>
      </c>
      <c r="AI45" s="16">
        <v>0.32</v>
      </c>
      <c r="AJ45" s="16">
        <v>0.36299999999999999</v>
      </c>
      <c r="AK45" s="16">
        <v>0.40100000000000002</v>
      </c>
    </row>
    <row r="46" spans="28:38">
      <c r="AE46" s="16">
        <v>2.5</v>
      </c>
      <c r="AF46" s="16">
        <v>0.14199999999999999</v>
      </c>
      <c r="AG46" s="16">
        <v>0.22800000000000001</v>
      </c>
      <c r="AH46" s="16">
        <v>0.29499999999999998</v>
      </c>
      <c r="AI46" s="16">
        <v>0.35099999999999998</v>
      </c>
      <c r="AJ46" s="16">
        <v>0.4</v>
      </c>
      <c r="AK46" s="16">
        <v>0.44400000000000001</v>
      </c>
    </row>
    <row r="47" spans="28:38">
      <c r="AE47" s="16">
        <v>3</v>
      </c>
      <c r="AF47" s="16">
        <v>0.15</v>
      </c>
      <c r="AG47" s="16">
        <v>0.24199999999999999</v>
      </c>
      <c r="AH47" s="16">
        <v>0.315</v>
      </c>
      <c r="AI47" s="16">
        <v>0.378</v>
      </c>
      <c r="AJ47" s="16">
        <v>0.432</v>
      </c>
      <c r="AK47" s="16">
        <v>0.48</v>
      </c>
    </row>
    <row r="48" spans="28:38">
      <c r="AE48" s="16">
        <v>3.5</v>
      </c>
      <c r="AF48" s="16">
        <v>0.156</v>
      </c>
      <c r="AG48" s="16">
        <v>0.254</v>
      </c>
      <c r="AH48" s="16">
        <v>0.33300000000000002</v>
      </c>
      <c r="AI48" s="16">
        <v>0.4</v>
      </c>
      <c r="AJ48" s="16">
        <v>0.46</v>
      </c>
      <c r="AK48" s="16">
        <v>0.51300000000000001</v>
      </c>
    </row>
    <row r="49" spans="31:39">
      <c r="AE49" s="16">
        <v>4</v>
      </c>
      <c r="AF49" s="16">
        <v>0.16200000000000001</v>
      </c>
      <c r="AG49" s="16">
        <v>0.26500000000000001</v>
      </c>
      <c r="AH49" s="16">
        <v>0.34899999999999998</v>
      </c>
      <c r="AI49" s="16">
        <v>0.42099999999999999</v>
      </c>
      <c r="AJ49" s="16">
        <v>0.48399999999999999</v>
      </c>
      <c r="AK49" s="16">
        <v>0.54100000000000004</v>
      </c>
    </row>
    <row r="50" spans="31:39">
      <c r="AE50" s="16">
        <v>4.5</v>
      </c>
      <c r="AF50" s="16">
        <v>0.16700000000000001</v>
      </c>
      <c r="AG50" s="16">
        <v>0.27500000000000002</v>
      </c>
      <c r="AH50" s="16">
        <v>0.36299999999999999</v>
      </c>
      <c r="AI50" s="16">
        <v>0.439</v>
      </c>
      <c r="AJ50" s="16">
        <v>0.50600000000000001</v>
      </c>
      <c r="AK50" s="16">
        <v>0.56699999999999995</v>
      </c>
    </row>
    <row r="51" spans="31:39">
      <c r="AE51" s="16">
        <v>5</v>
      </c>
      <c r="AF51" s="16">
        <v>0.17100000000000001</v>
      </c>
      <c r="AG51" s="16">
        <v>0.28399999999999997</v>
      </c>
      <c r="AH51" s="16">
        <v>0.376</v>
      </c>
      <c r="AI51" s="16">
        <v>0.45500000000000002</v>
      </c>
      <c r="AJ51" s="16">
        <v>0.52600000000000002</v>
      </c>
      <c r="AK51" s="16">
        <v>0.59</v>
      </c>
    </row>
    <row r="53" spans="31:39">
      <c r="AE53" s="54">
        <v>8</v>
      </c>
      <c r="AF53" s="161" t="s">
        <v>93</v>
      </c>
      <c r="AG53" s="160"/>
      <c r="AH53" s="160"/>
      <c r="AI53" s="160"/>
      <c r="AJ53" s="160"/>
      <c r="AK53" s="160"/>
    </row>
    <row r="54" spans="31:39">
      <c r="AE54" s="53" t="s">
        <v>88</v>
      </c>
      <c r="AF54" s="31">
        <v>0.5</v>
      </c>
      <c r="AG54" s="15">
        <v>1</v>
      </c>
      <c r="AH54" s="31">
        <v>1.5</v>
      </c>
      <c r="AI54" s="15">
        <v>2</v>
      </c>
      <c r="AJ54" s="31">
        <v>2.5</v>
      </c>
      <c r="AK54" s="15">
        <v>3</v>
      </c>
      <c r="AL54" t="s">
        <v>89</v>
      </c>
    </row>
    <row r="55" spans="31:39">
      <c r="AE55" s="16">
        <v>0.5</v>
      </c>
      <c r="AF55" s="29">
        <f>0.04*$AE$53*SQRT($AE55*AF$54)</f>
        <v>0.16</v>
      </c>
      <c r="AG55" s="29">
        <f>0.04*$AE$53*SQRT($AE55*AG$54)</f>
        <v>0.22627416997969524</v>
      </c>
      <c r="AH55" s="29">
        <f>0.04*$AE$53*SQRT($AE55*AH$54)</f>
        <v>0.27712812921102037</v>
      </c>
      <c r="AI55" s="29">
        <f t="shared" ref="AI55:AK64" si="11">0.04*$AE$53*SQRT($AE55*AI$54)</f>
        <v>0.32</v>
      </c>
      <c r="AJ55" s="29">
        <f t="shared" si="11"/>
        <v>0.35777087639996635</v>
      </c>
      <c r="AK55" s="29">
        <f t="shared" si="11"/>
        <v>0.39191835884530846</v>
      </c>
    </row>
    <row r="56" spans="31:39">
      <c r="AE56" s="16">
        <v>1</v>
      </c>
      <c r="AF56" s="29">
        <f t="shared" ref="AF56:AH64" si="12">0.04*$AE$53*SQRT($AE56*AF$54)</f>
        <v>0.22627416997969524</v>
      </c>
      <c r="AG56" s="29">
        <f t="shared" si="12"/>
        <v>0.32</v>
      </c>
      <c r="AH56" s="29">
        <f t="shared" si="12"/>
        <v>0.39191835884530846</v>
      </c>
      <c r="AI56" s="29">
        <f t="shared" si="11"/>
        <v>0.45254833995939048</v>
      </c>
      <c r="AJ56" s="29">
        <f t="shared" si="11"/>
        <v>0.50596442562694077</v>
      </c>
      <c r="AK56" s="29">
        <f t="shared" si="11"/>
        <v>0.55425625842204074</v>
      </c>
      <c r="AM56" t="s">
        <v>95</v>
      </c>
    </row>
    <row r="57" spans="31:39">
      <c r="AE57" s="16">
        <v>1.5</v>
      </c>
      <c r="AF57" s="29">
        <f t="shared" si="12"/>
        <v>0.27712812921102037</v>
      </c>
      <c r="AG57" s="29">
        <f t="shared" si="12"/>
        <v>0.39191835884530846</v>
      </c>
      <c r="AH57" s="29">
        <f t="shared" si="12"/>
        <v>0.48</v>
      </c>
      <c r="AI57" s="29">
        <f t="shared" si="11"/>
        <v>0.55425625842204074</v>
      </c>
      <c r="AJ57" s="29">
        <f t="shared" si="11"/>
        <v>0.6196773353931867</v>
      </c>
      <c r="AK57" s="29">
        <f t="shared" si="11"/>
        <v>0.67882250993908555</v>
      </c>
      <c r="AM57" t="s">
        <v>96</v>
      </c>
    </row>
    <row r="58" spans="31:39">
      <c r="AE58" s="16">
        <v>2</v>
      </c>
      <c r="AF58" s="29">
        <f t="shared" si="12"/>
        <v>0.32</v>
      </c>
      <c r="AG58" s="29">
        <f t="shared" si="12"/>
        <v>0.45254833995939048</v>
      </c>
      <c r="AH58" s="29">
        <f t="shared" si="12"/>
        <v>0.55425625842204074</v>
      </c>
      <c r="AI58" s="29">
        <f t="shared" si="11"/>
        <v>0.64</v>
      </c>
      <c r="AJ58" s="29">
        <f t="shared" si="11"/>
        <v>0.71554175279993271</v>
      </c>
      <c r="AK58" s="29">
        <f t="shared" si="11"/>
        <v>0.78383671769061691</v>
      </c>
    </row>
    <row r="59" spans="31:39">
      <c r="AE59" s="16">
        <v>2.5</v>
      </c>
      <c r="AF59" s="29">
        <f t="shared" si="12"/>
        <v>0.35777087639996635</v>
      </c>
      <c r="AG59" s="29">
        <f t="shared" si="12"/>
        <v>0.50596442562694077</v>
      </c>
      <c r="AH59" s="29">
        <f t="shared" si="12"/>
        <v>0.6196773353931867</v>
      </c>
      <c r="AI59" s="29">
        <f t="shared" si="11"/>
        <v>0.71554175279993271</v>
      </c>
      <c r="AJ59" s="29">
        <f t="shared" si="11"/>
        <v>0.8</v>
      </c>
      <c r="AK59" s="29">
        <f t="shared" si="11"/>
        <v>0.87635609200826581</v>
      </c>
      <c r="AM59" t="s">
        <v>97</v>
      </c>
    </row>
    <row r="60" spans="31:39">
      <c r="AE60" s="16">
        <v>3</v>
      </c>
      <c r="AF60" s="29">
        <f t="shared" si="12"/>
        <v>0.39191835884530846</v>
      </c>
      <c r="AG60" s="29">
        <f t="shared" si="12"/>
        <v>0.55425625842204074</v>
      </c>
      <c r="AH60" s="29">
        <f t="shared" si="12"/>
        <v>0.67882250993908555</v>
      </c>
      <c r="AI60" s="29">
        <f t="shared" si="11"/>
        <v>0.78383671769061691</v>
      </c>
      <c r="AJ60" s="29">
        <f t="shared" si="11"/>
        <v>0.87635609200826581</v>
      </c>
      <c r="AK60" s="29">
        <f t="shared" si="11"/>
        <v>0.96</v>
      </c>
      <c r="AM60" t="s">
        <v>98</v>
      </c>
    </row>
    <row r="61" spans="31:39">
      <c r="AE61" s="16">
        <v>3.5</v>
      </c>
      <c r="AF61" s="29">
        <f t="shared" si="12"/>
        <v>0.42332020977033452</v>
      </c>
      <c r="AG61" s="29">
        <f t="shared" si="12"/>
        <v>0.59866518188383067</v>
      </c>
      <c r="AH61" s="29">
        <f t="shared" si="12"/>
        <v>0.73321211119293439</v>
      </c>
      <c r="AI61" s="29">
        <f t="shared" si="11"/>
        <v>0.84664041954066904</v>
      </c>
      <c r="AJ61" s="29">
        <f t="shared" si="11"/>
        <v>0.94657276529593859</v>
      </c>
      <c r="AK61" s="29">
        <f t="shared" si="11"/>
        <v>1.0369185117452577</v>
      </c>
    </row>
    <row r="62" spans="31:39">
      <c r="AE62" s="16">
        <v>4</v>
      </c>
      <c r="AF62" s="29">
        <f t="shared" si="12"/>
        <v>0.45254833995939048</v>
      </c>
      <c r="AG62" s="29">
        <f t="shared" si="12"/>
        <v>0.64</v>
      </c>
      <c r="AH62" s="29">
        <f t="shared" si="12"/>
        <v>0.78383671769061691</v>
      </c>
      <c r="AI62" s="29">
        <f t="shared" si="11"/>
        <v>0.90509667991878096</v>
      </c>
      <c r="AJ62" s="29">
        <f t="shared" si="11"/>
        <v>1.0119288512538815</v>
      </c>
      <c r="AK62" s="29">
        <f t="shared" si="11"/>
        <v>1.1085125168440815</v>
      </c>
      <c r="AM62" s="56" t="s">
        <v>99</v>
      </c>
    </row>
    <row r="63" spans="31:39">
      <c r="AE63" s="16">
        <v>4.5</v>
      </c>
      <c r="AF63" s="29">
        <f t="shared" si="12"/>
        <v>0.48</v>
      </c>
      <c r="AG63" s="29">
        <f t="shared" si="12"/>
        <v>0.67882250993908555</v>
      </c>
      <c r="AH63" s="29">
        <f t="shared" si="12"/>
        <v>0.83138438763306111</v>
      </c>
      <c r="AI63" s="29">
        <f t="shared" si="11"/>
        <v>0.96</v>
      </c>
      <c r="AJ63" s="29">
        <f t="shared" si="11"/>
        <v>1.0733126291998991</v>
      </c>
      <c r="AK63" s="29">
        <f t="shared" si="11"/>
        <v>1.1757550765359255</v>
      </c>
      <c r="AM63" t="s">
        <v>100</v>
      </c>
    </row>
    <row r="64" spans="31:39">
      <c r="AE64" s="16">
        <v>5</v>
      </c>
      <c r="AF64" s="29">
        <f t="shared" si="12"/>
        <v>0.50596442562694077</v>
      </c>
      <c r="AG64" s="29">
        <f t="shared" si="12"/>
        <v>0.71554175279993271</v>
      </c>
      <c r="AH64" s="29">
        <f t="shared" si="12"/>
        <v>0.87635609200826581</v>
      </c>
      <c r="AI64" s="29">
        <f t="shared" si="11"/>
        <v>1.0119288512538815</v>
      </c>
      <c r="AJ64" s="29">
        <f t="shared" si="11"/>
        <v>1.131370849898476</v>
      </c>
      <c r="AK64" s="29">
        <f t="shared" si="11"/>
        <v>1.2393546707863734</v>
      </c>
    </row>
    <row r="66" spans="31:38">
      <c r="AE66" s="53"/>
      <c r="AF66" s="159" t="s">
        <v>94</v>
      </c>
      <c r="AG66" s="160"/>
      <c r="AH66" s="160"/>
      <c r="AI66" s="160"/>
      <c r="AJ66" s="160"/>
      <c r="AK66" s="160"/>
    </row>
    <row r="67" spans="31:38">
      <c r="AE67" s="53" t="s">
        <v>88</v>
      </c>
      <c r="AF67" s="31">
        <v>0.5</v>
      </c>
      <c r="AG67" s="15">
        <v>1</v>
      </c>
      <c r="AH67" s="31">
        <v>1.5</v>
      </c>
      <c r="AI67" s="15">
        <v>2</v>
      </c>
      <c r="AJ67" s="31">
        <v>2.5</v>
      </c>
      <c r="AK67" s="15">
        <v>3</v>
      </c>
      <c r="AL67" t="s">
        <v>89</v>
      </c>
    </row>
    <row r="68" spans="31:38">
      <c r="AE68" s="16">
        <v>0.5</v>
      </c>
      <c r="AF68" s="55">
        <f t="shared" ref="AF68:AK68" si="13">(AF55-AF16)/AF16</f>
        <v>0</v>
      </c>
      <c r="AG68" s="55">
        <f t="shared" si="13"/>
        <v>8.2651531003326548E-2</v>
      </c>
      <c r="AH68" s="55">
        <f t="shared" si="13"/>
        <v>0.15953192138502251</v>
      </c>
      <c r="AI68" s="55">
        <f t="shared" si="13"/>
        <v>0.23076923076923075</v>
      </c>
      <c r="AJ68" s="55">
        <f t="shared" si="13"/>
        <v>0.2962712913042258</v>
      </c>
      <c r="AK68" s="55">
        <f t="shared" si="13"/>
        <v>0.36082763487954334</v>
      </c>
    </row>
    <row r="69" spans="31:38">
      <c r="AE69" s="16">
        <v>1</v>
      </c>
      <c r="AF69" s="55">
        <f t="shared" ref="AF69:AK77" si="14">(AF56-AF17)/AF17</f>
        <v>-2.4680301811658503E-2</v>
      </c>
      <c r="AG69" s="55">
        <f t="shared" si="14"/>
        <v>0</v>
      </c>
      <c r="AH69" s="55">
        <f t="shared" si="14"/>
        <v>3.9571243621507837E-2</v>
      </c>
      <c r="AI69" s="55">
        <f t="shared" si="14"/>
        <v>8.2651531003326548E-2</v>
      </c>
      <c r="AJ69" s="55">
        <f t="shared" si="14"/>
        <v>0.12187234063623228</v>
      </c>
      <c r="AK69" s="55">
        <f t="shared" si="14"/>
        <v>0.15953192138502251</v>
      </c>
    </row>
    <row r="70" spans="31:38">
      <c r="AE70" s="16">
        <v>1.5</v>
      </c>
      <c r="AF70" s="55">
        <f t="shared" si="14"/>
        <v>-1.7276137549573068E-2</v>
      </c>
      <c r="AG70" s="55">
        <f t="shared" si="14"/>
        <v>-2.0204102886728914E-2</v>
      </c>
      <c r="AH70" s="55">
        <f t="shared" si="14"/>
        <v>0</v>
      </c>
      <c r="AI70" s="55">
        <f t="shared" si="14"/>
        <v>2.6400478559334632E-2</v>
      </c>
      <c r="AJ70" s="55">
        <f t="shared" si="14"/>
        <v>5.3873019376167917E-2</v>
      </c>
      <c r="AK70" s="55">
        <f t="shared" si="14"/>
        <v>8.0927563597269978E-2</v>
      </c>
    </row>
    <row r="71" spans="31:38">
      <c r="AE71" s="16">
        <v>2</v>
      </c>
      <c r="AF71" s="55">
        <f t="shared" si="14"/>
        <v>0</v>
      </c>
      <c r="AG71" s="55">
        <f t="shared" si="14"/>
        <v>-2.4680301811658503E-2</v>
      </c>
      <c r="AH71" s="55">
        <f>(AH58-AH19)/AH19</f>
        <v>-1.7276137549573068E-2</v>
      </c>
      <c r="AI71" s="55">
        <f t="shared" si="14"/>
        <v>0</v>
      </c>
      <c r="AJ71" s="55">
        <f t="shared" si="14"/>
        <v>1.9290246153750357E-2</v>
      </c>
      <c r="AK71" s="55">
        <f t="shared" si="14"/>
        <v>3.9571243621507837E-2</v>
      </c>
    </row>
    <row r="72" spans="31:38">
      <c r="AE72" s="16">
        <v>2.5</v>
      </c>
      <c r="AF72" s="55">
        <f t="shared" si="14"/>
        <v>1.9290246153750357E-2</v>
      </c>
      <c r="AG72" s="55">
        <f t="shared" si="14"/>
        <v>-2.3234699561890431E-2</v>
      </c>
      <c r="AH72" s="55">
        <f t="shared" si="14"/>
        <v>-2.4130180483170564E-2</v>
      </c>
      <c r="AI72" s="55">
        <f t="shared" si="14"/>
        <v>-1.440529917364638E-2</v>
      </c>
      <c r="AJ72" s="55">
        <f t="shared" si="14"/>
        <v>0</v>
      </c>
      <c r="AK72" s="55">
        <f t="shared" si="14"/>
        <v>1.5476352269137681E-2</v>
      </c>
    </row>
    <row r="73" spans="31:38">
      <c r="AE73" s="16">
        <v>3</v>
      </c>
      <c r="AF73" s="55">
        <f t="shared" si="14"/>
        <v>3.9571243621507837E-2</v>
      </c>
      <c r="AG73" s="55">
        <f t="shared" si="14"/>
        <v>-1.5530624472396462E-2</v>
      </c>
      <c r="AH73" s="55">
        <f t="shared" si="14"/>
        <v>-2.6079612712933149E-2</v>
      </c>
      <c r="AI73" s="55">
        <f t="shared" si="14"/>
        <v>-2.1427318738306032E-2</v>
      </c>
      <c r="AJ73" s="55">
        <f t="shared" si="14"/>
        <v>-1.1999896270275314E-2</v>
      </c>
      <c r="AK73" s="55">
        <f t="shared" si="14"/>
        <v>-1.0405827263267439E-3</v>
      </c>
    </row>
    <row r="74" spans="31:38">
      <c r="AE74" s="16">
        <v>3.5</v>
      </c>
      <c r="AF74" s="55">
        <f t="shared" si="14"/>
        <v>5.8300524425836248E-2</v>
      </c>
      <c r="AG74" s="55">
        <f t="shared" si="14"/>
        <v>-8.8324803247836342E-3</v>
      </c>
      <c r="AH74" s="55">
        <f t="shared" si="14"/>
        <v>-2.3685604270393623E-2</v>
      </c>
      <c r="AI74" s="55">
        <f t="shared" si="14"/>
        <v>-2.4607811589090957E-2</v>
      </c>
      <c r="AJ74" s="55">
        <f t="shared" si="14"/>
        <v>-1.9095580004208683E-2</v>
      </c>
      <c r="AK74" s="55">
        <f t="shared" si="14"/>
        <v>-1.151714800261411E-2</v>
      </c>
    </row>
    <row r="75" spans="31:38">
      <c r="AE75" s="16">
        <v>4</v>
      </c>
      <c r="AF75" s="55">
        <f t="shared" si="14"/>
        <v>7.7496047522358322E-2</v>
      </c>
      <c r="AG75" s="55">
        <f t="shared" si="14"/>
        <v>0</v>
      </c>
      <c r="AH75" s="55">
        <f t="shared" si="14"/>
        <v>-2.1427318738306032E-2</v>
      </c>
      <c r="AI75" s="55">
        <f t="shared" si="14"/>
        <v>-2.5730161551366083E-2</v>
      </c>
      <c r="AJ75" s="55">
        <f t="shared" si="14"/>
        <v>-2.3234699561890431E-2</v>
      </c>
      <c r="AK75" s="55">
        <f t="shared" si="14"/>
        <v>-1.8146574983098785E-2</v>
      </c>
    </row>
    <row r="76" spans="31:38">
      <c r="AE76" s="16">
        <v>4.5</v>
      </c>
      <c r="AF76" s="55">
        <f t="shared" si="14"/>
        <v>9.3394077448747115E-2</v>
      </c>
      <c r="AG76" s="55">
        <f t="shared" si="14"/>
        <v>1.0152544552210577E-2</v>
      </c>
      <c r="AH76" s="55">
        <f t="shared" si="14"/>
        <v>-1.611315073010517E-2</v>
      </c>
      <c r="AI76" s="55">
        <f t="shared" si="14"/>
        <v>-2.4390243902439046E-2</v>
      </c>
      <c r="AJ76" s="55">
        <f t="shared" si="14"/>
        <v>-2.5147475749410411E-2</v>
      </c>
      <c r="AK76" s="55">
        <f t="shared" si="14"/>
        <v>-2.1834378921858966E-2</v>
      </c>
    </row>
    <row r="77" spans="31:38">
      <c r="AE77" s="16">
        <v>5</v>
      </c>
      <c r="AF77" s="55">
        <f t="shared" si="14"/>
        <v>0.11200972665261705</v>
      </c>
      <c r="AG77" s="55">
        <f t="shared" si="14"/>
        <v>1.9290246153750357E-2</v>
      </c>
      <c r="AH77" s="55">
        <f t="shared" si="14"/>
        <v>-1.0884771999700001E-2</v>
      </c>
      <c r="AI77" s="55">
        <f t="shared" si="14"/>
        <v>-2.3234699561890431E-2</v>
      </c>
      <c r="AJ77" s="55">
        <f t="shared" si="14"/>
        <v>-2.6358993202688381E-2</v>
      </c>
      <c r="AK77" s="55">
        <f t="shared" si="14"/>
        <v>-2.4897977351397725E-2</v>
      </c>
    </row>
  </sheetData>
  <mergeCells count="18">
    <mergeCell ref="K9:L9"/>
    <mergeCell ref="N9:O9"/>
    <mergeCell ref="Q9:R9"/>
    <mergeCell ref="H18:I18"/>
    <mergeCell ref="K18:L18"/>
    <mergeCell ref="N18:O18"/>
    <mergeCell ref="Q18:R18"/>
    <mergeCell ref="D17:E17"/>
    <mergeCell ref="A1:C1"/>
    <mergeCell ref="A11:C11"/>
    <mergeCell ref="D8:E8"/>
    <mergeCell ref="H9:I9"/>
    <mergeCell ref="AF66:AK66"/>
    <mergeCell ref="AF1:AK1"/>
    <mergeCell ref="AF14:AK14"/>
    <mergeCell ref="AF27:AK27"/>
    <mergeCell ref="AF40:AK40"/>
    <mergeCell ref="AF53:AK53"/>
  </mergeCells>
  <conditionalFormatting sqref="AF68:AK77">
    <cfRule type="cellIs" dxfId="1" priority="2" operator="between">
      <formula>-0.05</formula>
      <formula>0.05</formula>
    </cfRule>
  </conditionalFormatting>
  <conditionalFormatting sqref="AF68:AK77">
    <cfRule type="cellIs" dxfId="0" priority="1" operator="between">
      <formula>-0.05</formula>
      <formula>0.05</formula>
    </cfRule>
  </conditionalFormatting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R54"/>
  <sheetViews>
    <sheetView workbookViewId="0">
      <selection activeCell="C4" sqref="C4:C5"/>
    </sheetView>
  </sheetViews>
  <sheetFormatPr baseColWidth="10" defaultRowHeight="15"/>
  <cols>
    <col min="1" max="48" width="5.7109375" customWidth="1"/>
    <col min="49" max="57" width="11.42578125" customWidth="1"/>
  </cols>
  <sheetData>
    <row r="1" spans="1:41">
      <c r="A1" s="16" t="s">
        <v>25</v>
      </c>
      <c r="B1" s="62">
        <v>2</v>
      </c>
      <c r="C1" s="15" t="s">
        <v>23</v>
      </c>
      <c r="D1" s="16" t="s">
        <v>16</v>
      </c>
      <c r="E1" s="65">
        <v>7.0000000000000007E-2</v>
      </c>
      <c r="G1" s="20" t="s">
        <v>113</v>
      </c>
      <c r="H1" s="16">
        <f>MüRR/TAN(ThetaR/180*PI())</f>
        <v>2.0045377298040923</v>
      </c>
    </row>
    <row r="2" spans="1:41">
      <c r="A2" s="165" t="s">
        <v>13</v>
      </c>
      <c r="B2" s="165"/>
      <c r="C2" s="165"/>
      <c r="D2" s="75" t="s">
        <v>127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AA2" s="76" t="s">
        <v>165</v>
      </c>
      <c r="AB2" s="152" t="s">
        <v>13</v>
      </c>
      <c r="AC2" s="168"/>
      <c r="AD2" s="168"/>
      <c r="AE2" s="168"/>
      <c r="AF2" s="168"/>
      <c r="AG2" s="169"/>
    </row>
    <row r="3" spans="1:41">
      <c r="A3" s="15" t="s">
        <v>108</v>
      </c>
      <c r="B3" s="16">
        <f>(-alphanull)/19</f>
        <v>-5.6350552368441942E-2</v>
      </c>
      <c r="D3" s="15" t="s">
        <v>109</v>
      </c>
      <c r="E3" s="15">
        <f>alphanull</f>
        <v>1.0706604950003968</v>
      </c>
      <c r="F3" s="15">
        <f>E3-0.001</f>
        <v>1.0696604950003969</v>
      </c>
      <c r="G3" s="15">
        <f t="shared" ref="G3:X3" si="0">F3+deltaalpha</f>
        <v>1.013309942631955</v>
      </c>
      <c r="H3" s="15">
        <f t="shared" si="0"/>
        <v>0.95695939026351295</v>
      </c>
      <c r="I3" s="15">
        <f t="shared" si="0"/>
        <v>0.90060883789507096</v>
      </c>
      <c r="J3" s="15">
        <f t="shared" si="0"/>
        <v>0.84425828552662896</v>
      </c>
      <c r="K3" s="15">
        <f t="shared" si="0"/>
        <v>0.78790773315818696</v>
      </c>
      <c r="L3" s="15">
        <f t="shared" si="0"/>
        <v>0.73155718078974497</v>
      </c>
      <c r="M3" s="15">
        <f t="shared" si="0"/>
        <v>0.67520662842130297</v>
      </c>
      <c r="N3" s="15">
        <f t="shared" si="0"/>
        <v>0.61885607605286097</v>
      </c>
      <c r="O3" s="15">
        <f t="shared" si="0"/>
        <v>0.56250552368441897</v>
      </c>
      <c r="P3" s="15">
        <f t="shared" si="0"/>
        <v>0.50615497131597698</v>
      </c>
      <c r="Q3" s="15">
        <f t="shared" si="0"/>
        <v>0.44980441894753503</v>
      </c>
      <c r="R3" s="15">
        <f t="shared" si="0"/>
        <v>0.39345386657909309</v>
      </c>
      <c r="S3" s="15">
        <f t="shared" si="0"/>
        <v>0.33710331421065115</v>
      </c>
      <c r="T3" s="15">
        <f t="shared" si="0"/>
        <v>0.28075276184220921</v>
      </c>
      <c r="U3" s="15">
        <f t="shared" si="0"/>
        <v>0.22440220947376727</v>
      </c>
      <c r="V3" s="15">
        <f t="shared" si="0"/>
        <v>0.16805165710532532</v>
      </c>
      <c r="W3" s="15">
        <f t="shared" si="0"/>
        <v>0.11170110473688338</v>
      </c>
      <c r="X3" s="15">
        <f t="shared" si="0"/>
        <v>5.5350552368441441E-2</v>
      </c>
      <c r="Y3" s="15">
        <f>X3+deltaalpha+0.002</f>
        <v>9.9999999999949955E-4</v>
      </c>
      <c r="AA3" s="53" t="s">
        <v>101</v>
      </c>
      <c r="AB3" s="150" t="s">
        <v>104</v>
      </c>
      <c r="AC3" s="150"/>
      <c r="AD3" s="150"/>
      <c r="AE3" s="150"/>
      <c r="AF3" s="150"/>
      <c r="AG3" s="150"/>
    </row>
    <row r="4" spans="1:41">
      <c r="A4" s="20" t="s">
        <v>17</v>
      </c>
      <c r="B4" s="27">
        <v>2</v>
      </c>
      <c r="C4" s="1" t="s">
        <v>21</v>
      </c>
      <c r="D4" s="15" t="s">
        <v>146</v>
      </c>
      <c r="E4" s="15">
        <f>E3/PI()*180</f>
        <v>61.344327654910309</v>
      </c>
      <c r="F4" s="15">
        <f t="shared" ref="F4:Y4" si="1">F3/PI()*180</f>
        <v>61.28703187539724</v>
      </c>
      <c r="G4" s="15">
        <f t="shared" si="1"/>
        <v>58.058383051454591</v>
      </c>
      <c r="H4" s="15">
        <f t="shared" si="1"/>
        <v>54.829734227511935</v>
      </c>
      <c r="I4" s="15">
        <f t="shared" si="1"/>
        <v>51.601085403569286</v>
      </c>
      <c r="J4" s="15">
        <f t="shared" si="1"/>
        <v>48.372436579626637</v>
      </c>
      <c r="K4" s="15">
        <f t="shared" si="1"/>
        <v>45.143787755683981</v>
      </c>
      <c r="L4" s="15">
        <f t="shared" si="1"/>
        <v>41.915138931741332</v>
      </c>
      <c r="M4" s="15">
        <f t="shared" si="1"/>
        <v>38.686490107798676</v>
      </c>
      <c r="N4" s="15">
        <f t="shared" si="1"/>
        <v>35.457841283856027</v>
      </c>
      <c r="O4" s="15">
        <f t="shared" si="1"/>
        <v>32.229192459913371</v>
      </c>
      <c r="P4" s="15">
        <f t="shared" si="1"/>
        <v>29.000543635970725</v>
      </c>
      <c r="Q4" s="15">
        <f t="shared" si="1"/>
        <v>25.771894812028076</v>
      </c>
      <c r="R4" s="15">
        <f t="shared" si="1"/>
        <v>22.543245988085427</v>
      </c>
      <c r="S4" s="15">
        <f t="shared" si="1"/>
        <v>19.314597164142778</v>
      </c>
      <c r="T4" s="15">
        <f t="shared" si="1"/>
        <v>16.085948340200133</v>
      </c>
      <c r="U4" s="15">
        <f t="shared" si="1"/>
        <v>12.857299516257482</v>
      </c>
      <c r="V4" s="15">
        <f t="shared" si="1"/>
        <v>9.6286506923148334</v>
      </c>
      <c r="W4" s="15">
        <f t="shared" si="1"/>
        <v>6.4000018683721853</v>
      </c>
      <c r="X4" s="15">
        <f t="shared" si="1"/>
        <v>3.1713530444295377</v>
      </c>
      <c r="Y4" s="15">
        <f t="shared" si="1"/>
        <v>5.7295779513053646E-2</v>
      </c>
      <c r="AA4" s="53" t="s">
        <v>88</v>
      </c>
      <c r="AB4" s="31">
        <v>0.5</v>
      </c>
      <c r="AC4" s="15">
        <v>1</v>
      </c>
      <c r="AD4" s="31">
        <v>1.5</v>
      </c>
      <c r="AE4" s="15">
        <v>2</v>
      </c>
      <c r="AF4" s="31">
        <v>2.5</v>
      </c>
      <c r="AG4" s="15">
        <v>3</v>
      </c>
      <c r="AH4" s="1" t="s">
        <v>25</v>
      </c>
      <c r="AJ4" s="31">
        <v>0.5</v>
      </c>
      <c r="AK4" s="15">
        <v>1</v>
      </c>
      <c r="AL4" s="31">
        <v>1.5</v>
      </c>
      <c r="AM4" s="15">
        <v>2</v>
      </c>
      <c r="AN4" s="31">
        <v>2.5</v>
      </c>
      <c r="AO4" s="15">
        <v>3</v>
      </c>
    </row>
    <row r="5" spans="1:41">
      <c r="A5" s="20" t="s">
        <v>18</v>
      </c>
      <c r="B5" s="27">
        <v>2</v>
      </c>
      <c r="C5" s="1" t="s">
        <v>21</v>
      </c>
      <c r="D5" s="15" t="s">
        <v>111</v>
      </c>
      <c r="E5" s="15">
        <f>COS(E3)</f>
        <v>0.4795447377952729</v>
      </c>
      <c r="F5" s="15">
        <f t="shared" ref="F5:Y5" si="2">COS(F3)</f>
        <v>0.48042201530923451</v>
      </c>
      <c r="G5" s="15">
        <f t="shared" si="2"/>
        <v>0.52905484821186588</v>
      </c>
      <c r="H5" s="15">
        <f t="shared" si="2"/>
        <v>0.57600817291069095</v>
      </c>
      <c r="I5" s="15">
        <f t="shared" si="2"/>
        <v>0.62113293398301739</v>
      </c>
      <c r="J5" s="15">
        <f t="shared" si="2"/>
        <v>0.66428588086291229</v>
      </c>
      <c r="K5" s="15">
        <f t="shared" si="2"/>
        <v>0.70533002259651134</v>
      </c>
      <c r="L5" s="15">
        <f t="shared" si="2"/>
        <v>0.7441350627259089</v>
      </c>
      <c r="M5" s="15">
        <f t="shared" si="2"/>
        <v>0.78057781292107331</v>
      </c>
      <c r="N5" s="15">
        <f t="shared" si="2"/>
        <v>0.814542584046693</v>
      </c>
      <c r="O5" s="15">
        <f t="shared" si="2"/>
        <v>0.84592155342249453</v>
      </c>
      <c r="P5" s="15">
        <f t="shared" si="2"/>
        <v>0.87461510711114832</v>
      </c>
      <c r="Q5" s="15">
        <f t="shared" si="2"/>
        <v>0.90053215614715421</v>
      </c>
      <c r="R5" s="15">
        <f t="shared" si="2"/>
        <v>0.92359042570282368</v>
      </c>
      <c r="S5" s="15">
        <f t="shared" si="2"/>
        <v>0.94371671627338849</v>
      </c>
      <c r="T5" s="15">
        <f t="shared" si="2"/>
        <v>0.96084713605209249</v>
      </c>
      <c r="U5" s="15">
        <f t="shared" si="2"/>
        <v>0.97492730375758019</v>
      </c>
      <c r="V5" s="15">
        <f t="shared" si="2"/>
        <v>0.98591252126969986</v>
      </c>
      <c r="W5" s="15">
        <f t="shared" si="2"/>
        <v>0.993767915525678</v>
      </c>
      <c r="X5" s="15">
        <f t="shared" si="2"/>
        <v>0.99846854922621275</v>
      </c>
      <c r="Y5" s="15">
        <f t="shared" si="2"/>
        <v>0.99999950000004167</v>
      </c>
      <c r="AA5" s="16">
        <v>0.5</v>
      </c>
      <c r="AB5" s="31"/>
      <c r="AC5" s="31"/>
      <c r="AD5" s="31"/>
      <c r="AE5" s="31"/>
      <c r="AF5" s="31"/>
      <c r="AG5" s="31"/>
      <c r="AI5" s="16">
        <v>0.5</v>
      </c>
      <c r="AJ5" s="73"/>
      <c r="AK5" s="73"/>
      <c r="AL5" s="73"/>
      <c r="AM5" s="73"/>
      <c r="AN5" s="73"/>
      <c r="AO5" s="73"/>
    </row>
    <row r="6" spans="1:41">
      <c r="A6" s="20" t="s">
        <v>19</v>
      </c>
      <c r="B6" s="96">
        <v>-1.42</v>
      </c>
      <c r="C6" s="1" t="s">
        <v>22</v>
      </c>
      <c r="D6" s="15" t="s">
        <v>122</v>
      </c>
      <c r="E6" s="15">
        <f t="shared" ref="E6:Y6" si="3">(MR+E5)</f>
        <v>2.4840824675993654</v>
      </c>
      <c r="F6" s="15">
        <f t="shared" si="3"/>
        <v>2.484959745113327</v>
      </c>
      <c r="G6" s="15">
        <f t="shared" si="3"/>
        <v>2.5335925780159583</v>
      </c>
      <c r="H6" s="15">
        <f t="shared" si="3"/>
        <v>2.5805459027147832</v>
      </c>
      <c r="I6" s="15">
        <f t="shared" si="3"/>
        <v>2.6256706637871097</v>
      </c>
      <c r="J6" s="15">
        <f t="shared" si="3"/>
        <v>2.6688236106670047</v>
      </c>
      <c r="K6" s="15">
        <f t="shared" si="3"/>
        <v>2.7098677524006036</v>
      </c>
      <c r="L6" s="15">
        <f t="shared" si="3"/>
        <v>2.7486727925300012</v>
      </c>
      <c r="M6" s="15">
        <f t="shared" si="3"/>
        <v>2.7851155427251655</v>
      </c>
      <c r="N6" s="15">
        <f t="shared" si="3"/>
        <v>2.8190803138507854</v>
      </c>
      <c r="O6" s="15">
        <f t="shared" si="3"/>
        <v>2.8504592832265869</v>
      </c>
      <c r="P6" s="15">
        <f t="shared" si="3"/>
        <v>2.8791528369152406</v>
      </c>
      <c r="Q6" s="15">
        <f t="shared" si="3"/>
        <v>2.9050698859512467</v>
      </c>
      <c r="R6" s="15">
        <f t="shared" si="3"/>
        <v>2.9281281555069159</v>
      </c>
      <c r="S6" s="15">
        <f t="shared" si="3"/>
        <v>2.9482544460774807</v>
      </c>
      <c r="T6" s="15">
        <f t="shared" si="3"/>
        <v>2.9653848658561848</v>
      </c>
      <c r="U6" s="15">
        <f t="shared" si="3"/>
        <v>2.9794650335616724</v>
      </c>
      <c r="V6" s="15">
        <f t="shared" si="3"/>
        <v>2.990450251073792</v>
      </c>
      <c r="W6" s="15">
        <f t="shared" si="3"/>
        <v>2.9983056453297703</v>
      </c>
      <c r="X6" s="15">
        <f t="shared" si="3"/>
        <v>3.0030062790303051</v>
      </c>
      <c r="Y6" s="15">
        <f t="shared" si="3"/>
        <v>3.004537229804134</v>
      </c>
      <c r="AA6" s="16">
        <v>1</v>
      </c>
      <c r="AB6" s="31">
        <v>0.14399999999999999</v>
      </c>
      <c r="AC6" s="31">
        <v>0.30199999999999999</v>
      </c>
      <c r="AD6" s="31">
        <v>0.47599999999999998</v>
      </c>
      <c r="AE6" s="31">
        <v>0.68600000000000005</v>
      </c>
      <c r="AF6" s="31">
        <v>0.94199999999999995</v>
      </c>
      <c r="AG6" s="31"/>
      <c r="AI6" s="16">
        <v>1</v>
      </c>
      <c r="AJ6" s="98" t="s">
        <v>276</v>
      </c>
      <c r="AK6" s="98" t="s">
        <v>267</v>
      </c>
      <c r="AL6" s="98" t="s">
        <v>266</v>
      </c>
      <c r="AM6" s="98" t="s">
        <v>249</v>
      </c>
      <c r="AN6" s="98" t="s">
        <v>257</v>
      </c>
      <c r="AO6" s="73"/>
    </row>
    <row r="7" spans="1:41">
      <c r="A7" s="20" t="s">
        <v>20</v>
      </c>
      <c r="B7" s="96">
        <v>-0.77600000000000002</v>
      </c>
      <c r="C7" s="1" t="s">
        <v>22</v>
      </c>
      <c r="D7" s="15" t="s">
        <v>116</v>
      </c>
      <c r="E7" s="15">
        <f t="shared" ref="E7:Y7" si="4">POWER(TAN(E3/2),MR)</f>
        <v>0.35093429918941549</v>
      </c>
      <c r="F7" s="15">
        <f t="shared" si="4"/>
        <v>0.35013334627102261</v>
      </c>
      <c r="G7" s="15">
        <f t="shared" si="4"/>
        <v>0.30717569465415168</v>
      </c>
      <c r="H7" s="15">
        <f t="shared" si="4"/>
        <v>0.26822874081905762</v>
      </c>
      <c r="I7" s="15">
        <f t="shared" si="4"/>
        <v>0.23293557416802549</v>
      </c>
      <c r="J7" s="15">
        <f t="shared" si="4"/>
        <v>0.20098527053048218</v>
      </c>
      <c r="K7" s="15">
        <f t="shared" si="4"/>
        <v>0.17210659188911193</v>
      </c>
      <c r="L7" s="15">
        <f t="shared" si="4"/>
        <v>0.14606272772782491</v>
      </c>
      <c r="M7" s="15">
        <f t="shared" si="4"/>
        <v>0.12264689211727862</v>
      </c>
      <c r="N7" s="15">
        <f t="shared" si="4"/>
        <v>0.1016786278415226</v>
      </c>
      <c r="O7" s="15">
        <f t="shared" si="4"/>
        <v>8.3000698011185231E-2</v>
      </c>
      <c r="P7" s="15">
        <f t="shared" si="4"/>
        <v>6.6476468545517184E-2</v>
      </c>
      <c r="Q7" s="15">
        <f t="shared" si="4"/>
        <v>5.1987702989983862E-2</v>
      </c>
      <c r="R7" s="15">
        <f t="shared" si="4"/>
        <v>3.943270532700744E-2</v>
      </c>
      <c r="S7" s="15">
        <f t="shared" si="4"/>
        <v>2.8724757324263592E-2</v>
      </c>
      <c r="T7" s="15">
        <f t="shared" si="4"/>
        <v>1.9790804663146692E-2</v>
      </c>
      <c r="U7" s="15">
        <f t="shared" si="4"/>
        <v>1.2570349796281967E-2</v>
      </c>
      <c r="V7" s="15">
        <f t="shared" si="4"/>
        <v>7.0145058349058119E-3</v>
      </c>
      <c r="W7" s="15">
        <f t="shared" si="4"/>
        <v>3.085141788488714E-3</v>
      </c>
      <c r="X7" s="15">
        <f t="shared" si="4"/>
        <v>7.5394013175088769E-4</v>
      </c>
      <c r="Y7" s="15">
        <f t="shared" si="4"/>
        <v>2.4152433722583584E-7</v>
      </c>
      <c r="AA7" s="16">
        <v>1.5</v>
      </c>
      <c r="AB7" s="31"/>
      <c r="AC7" s="31"/>
      <c r="AD7" s="31"/>
      <c r="AE7" s="31"/>
      <c r="AF7" s="31"/>
      <c r="AG7" s="31"/>
      <c r="AI7" s="16">
        <v>1.5</v>
      </c>
      <c r="AJ7" s="73"/>
      <c r="AK7" s="73"/>
      <c r="AL7" s="73"/>
      <c r="AM7" s="73"/>
      <c r="AN7" s="73"/>
      <c r="AO7" s="73"/>
    </row>
    <row r="8" spans="1:41">
      <c r="A8" s="20" t="s">
        <v>118</v>
      </c>
      <c r="B8" s="18">
        <f>SQRT(vxupR*vxupR+vyupR*vyupR)</f>
        <v>1.6182014707693229</v>
      </c>
      <c r="C8" s="1" t="s">
        <v>22</v>
      </c>
      <c r="D8" s="15" t="s">
        <v>117</v>
      </c>
      <c r="E8" s="15">
        <f>SIN(E3)</f>
        <v>0.87751743256351489</v>
      </c>
      <c r="F8" s="15">
        <f t="shared" ref="F8:Y8" si="5">SIN(F3)</f>
        <v>0.87703744914696413</v>
      </c>
      <c r="G8" s="15">
        <f t="shared" si="5"/>
        <v>0.84858763105734669</v>
      </c>
      <c r="H8" s="15">
        <f t="shared" si="5"/>
        <v>0.8174439336982614</v>
      </c>
      <c r="I8" s="15">
        <f t="shared" si="5"/>
        <v>0.7837052241255309</v>
      </c>
      <c r="J8" s="15">
        <f t="shared" si="5"/>
        <v>0.74747860737695004</v>
      </c>
      <c r="K8" s="15">
        <f t="shared" si="5"/>
        <v>0.70887908646256781</v>
      </c>
      <c r="L8" s="15">
        <f t="shared" si="5"/>
        <v>0.66802919728250476</v>
      </c>
      <c r="M8" s="15">
        <f t="shared" si="5"/>
        <v>0.62505861963127407</v>
      </c>
      <c r="N8" s="15">
        <f t="shared" si="5"/>
        <v>0.58010376552349319</v>
      </c>
      <c r="O8" s="15">
        <f t="shared" si="5"/>
        <v>0.53330734614786035</v>
      </c>
      <c r="P8" s="15">
        <f t="shared" si="5"/>
        <v>0.48481791882412373</v>
      </c>
      <c r="Q8" s="15">
        <f t="shared" si="5"/>
        <v>0.43478941540124633</v>
      </c>
      <c r="R8" s="15">
        <f t="shared" si="5"/>
        <v>0.38338065359388829</v>
      </c>
      <c r="S8" s="15">
        <f t="shared" si="5"/>
        <v>0.33075483280849077</v>
      </c>
      <c r="T8" s="15">
        <f t="shared" si="5"/>
        <v>0.27707901605948376</v>
      </c>
      <c r="U8" s="15">
        <f t="shared" si="5"/>
        <v>0.2225235996202985</v>
      </c>
      <c r="V8" s="15">
        <f t="shared" si="5"/>
        <v>0.16726177209279983</v>
      </c>
      <c r="W8" s="15">
        <f t="shared" si="5"/>
        <v>0.11146896461234825</v>
      </c>
      <c r="X8" s="15">
        <f t="shared" si="5"/>
        <v>5.5322293933838855E-2</v>
      </c>
      <c r="Y8" s="15">
        <f t="shared" si="5"/>
        <v>9.9999983333284121E-4</v>
      </c>
      <c r="AA8" s="16">
        <v>2</v>
      </c>
      <c r="AB8" s="31">
        <v>0.185</v>
      </c>
      <c r="AC8" s="31">
        <v>0.39300000000000002</v>
      </c>
      <c r="AD8" s="31">
        <v>0.63100000000000001</v>
      </c>
      <c r="AE8" s="65">
        <v>0.90600000000000003</v>
      </c>
      <c r="AF8" s="31">
        <v>1.2450000000000001</v>
      </c>
      <c r="AG8" s="31">
        <v>1.6890000000000001</v>
      </c>
      <c r="AI8" s="16">
        <v>2</v>
      </c>
      <c r="AJ8" s="98" t="s">
        <v>275</v>
      </c>
      <c r="AK8" s="98" t="s">
        <v>268</v>
      </c>
      <c r="AL8" s="98" t="s">
        <v>265</v>
      </c>
      <c r="AM8" s="87" t="s">
        <v>248</v>
      </c>
      <c r="AN8" s="98" t="s">
        <v>256</v>
      </c>
      <c r="AO8" s="98" t="s">
        <v>258</v>
      </c>
    </row>
    <row r="9" spans="1:41">
      <c r="A9" s="20" t="s">
        <v>110</v>
      </c>
      <c r="B9" s="60">
        <f>ATAN(vyupR/vxupR)</f>
        <v>1.0706604950003968</v>
      </c>
      <c r="C9" s="1" t="s">
        <v>120</v>
      </c>
      <c r="D9" s="15" t="s">
        <v>119</v>
      </c>
      <c r="E9" s="15">
        <f>(E6*ZZ2null*E7/E8/N2null/N3null)</f>
        <v>1</v>
      </c>
      <c r="F9" s="15">
        <f t="shared" ref="F9:Y9" si="6">(F6*ZZ2null*F7/F8/N2null/N3null)</f>
        <v>0.9986162310755613</v>
      </c>
      <c r="G9" s="15">
        <f t="shared" si="6"/>
        <v>0.92318949994482269</v>
      </c>
      <c r="H9" s="15">
        <f t="shared" si="6"/>
        <v>0.85235958768908071</v>
      </c>
      <c r="I9" s="15">
        <f t="shared" si="6"/>
        <v>0.78557427991457607</v>
      </c>
      <c r="J9" s="15">
        <f t="shared" si="6"/>
        <v>0.72235263345338974</v>
      </c>
      <c r="K9" s="15">
        <f t="shared" si="6"/>
        <v>0.66227347911507572</v>
      </c>
      <c r="L9" s="15">
        <f t="shared" si="6"/>
        <v>0.60496595136515696</v>
      </c>
      <c r="M9" s="15">
        <f t="shared" si="6"/>
        <v>0.55010164339939971</v>
      </c>
      <c r="N9" s="15">
        <f t="shared" si="6"/>
        <v>0.49738807346731051</v>
      </c>
      <c r="O9" s="15">
        <f t="shared" si="6"/>
        <v>0.44656321603025761</v>
      </c>
      <c r="P9" s="15">
        <f t="shared" si="6"/>
        <v>0.39739090491229195</v>
      </c>
      <c r="Q9" s="15">
        <f t="shared" si="6"/>
        <v>0.3496569596446642</v>
      </c>
      <c r="R9" s="15">
        <f t="shared" si="6"/>
        <v>0.30316592545681181</v>
      </c>
      <c r="S9" s="15">
        <f t="shared" si="6"/>
        <v>0.25773835850509108</v>
      </c>
      <c r="T9" s="15">
        <f t="shared" si="6"/>
        <v>0.2132086442976372</v>
      </c>
      <c r="U9" s="15">
        <f t="shared" si="6"/>
        <v>0.16942344399775272</v>
      </c>
      <c r="V9" s="15">
        <f t="shared" si="6"/>
        <v>0.12624113641696594</v>
      </c>
      <c r="W9" s="15">
        <f t="shared" si="6"/>
        <v>8.3533559924810957E-2</v>
      </c>
      <c r="X9" s="15">
        <f t="shared" si="6"/>
        <v>4.1196170601696371E-2</v>
      </c>
      <c r="Y9" s="15">
        <f t="shared" si="6"/>
        <v>7.3047017352186158E-4</v>
      </c>
      <c r="AA9" s="16">
        <v>2.5</v>
      </c>
      <c r="AB9" s="31"/>
      <c r="AC9" s="31"/>
      <c r="AD9" s="31"/>
      <c r="AE9" s="31"/>
      <c r="AF9" s="31"/>
      <c r="AG9" s="31"/>
      <c r="AI9" s="16">
        <v>2.5</v>
      </c>
      <c r="AJ9" s="73"/>
      <c r="AK9" s="73"/>
      <c r="AL9" s="73"/>
      <c r="AM9" s="73"/>
      <c r="AN9" s="73"/>
      <c r="AO9" s="73"/>
    </row>
    <row r="10" spans="1:41">
      <c r="A10" s="20" t="s">
        <v>110</v>
      </c>
      <c r="B10" s="18">
        <f>ATAN(vyupR/vxupR)/PI()*180</f>
        <v>61.344327654910309</v>
      </c>
      <c r="C10" s="1" t="s">
        <v>23</v>
      </c>
      <c r="D10" s="17" t="s">
        <v>9</v>
      </c>
      <c r="E10" s="17">
        <f>voR*(MR+unull)/9.81/SIN(ThetaR/180*PI())/(1-MR*MR)*(E9-1)</f>
        <v>0</v>
      </c>
      <c r="F10" s="17">
        <f>voR*(MR+unull)/9.81/SIN(ThetaR/180*PI())/(1-MR*MR)*(F9-1)</f>
        <v>5.3830707518867926E-3</v>
      </c>
      <c r="G10" s="17">
        <f t="shared" ref="G10:Y10" si="7">voR*(MR+unull)/9.81/SIN(ThetaR/180*PI())/(1-MR*MR)*(G9-1)</f>
        <v>0.29880448171832075</v>
      </c>
      <c r="H10" s="17">
        <f t="shared" si="7"/>
        <v>0.57434357086013876</v>
      </c>
      <c r="I10" s="17">
        <f t="shared" si="7"/>
        <v>0.83414853582748127</v>
      </c>
      <c r="J10" s="17">
        <f t="shared" si="7"/>
        <v>1.0800903184046455</v>
      </c>
      <c r="K10" s="17">
        <f t="shared" si="7"/>
        <v>1.3138073305480249</v>
      </c>
      <c r="L10" s="17">
        <f t="shared" si="7"/>
        <v>1.5367422953714776</v>
      </c>
      <c r="M10" s="17">
        <f t="shared" si="7"/>
        <v>1.750172765095876</v>
      </c>
      <c r="N10" s="17">
        <f t="shared" si="7"/>
        <v>1.9552365380405321</v>
      </c>
      <c r="O10" s="17">
        <f t="shared" si="7"/>
        <v>2.1529529332466129</v>
      </c>
      <c r="P10" s="17">
        <f t="shared" si="7"/>
        <v>2.3442406729168539</v>
      </c>
      <c r="Q10" s="17">
        <f t="shared" si="7"/>
        <v>2.5299329515222295</v>
      </c>
      <c r="R10" s="17">
        <f t="shared" si="7"/>
        <v>2.7107901177308955</v>
      </c>
      <c r="S10" s="17">
        <f t="shared" si="7"/>
        <v>2.8875102352796977</v>
      </c>
      <c r="T10" s="17">
        <f t="shared" si="7"/>
        <v>3.060737569631967</v>
      </c>
      <c r="U10" s="17">
        <f t="shared" si="7"/>
        <v>3.2310686320927173</v>
      </c>
      <c r="V10" s="17">
        <f t="shared" si="7"/>
        <v>3.3990543505401831</v>
      </c>
      <c r="W10" s="17">
        <f t="shared" si="7"/>
        <v>3.5651932931328862</v>
      </c>
      <c r="X10" s="17">
        <f t="shared" si="7"/>
        <v>3.7298921515560495</v>
      </c>
      <c r="Y10" s="17">
        <f t="shared" si="7"/>
        <v>3.8873098566240234</v>
      </c>
      <c r="AA10" s="16">
        <v>3</v>
      </c>
      <c r="AB10" s="31">
        <v>0.24099999999999999</v>
      </c>
      <c r="AC10" s="31">
        <v>0.50700000000000001</v>
      </c>
      <c r="AD10" s="31">
        <v>0.81499999999999995</v>
      </c>
      <c r="AE10" s="31">
        <v>1.1779999999999999</v>
      </c>
      <c r="AF10" s="31">
        <v>1.613</v>
      </c>
      <c r="AG10" s="31">
        <v>2.1640000000000001</v>
      </c>
      <c r="AI10" s="16">
        <v>3</v>
      </c>
      <c r="AJ10" s="98" t="s">
        <v>274</v>
      </c>
      <c r="AK10" s="98" t="s">
        <v>269</v>
      </c>
      <c r="AL10" s="98" t="s">
        <v>264</v>
      </c>
      <c r="AM10" s="98" t="s">
        <v>250</v>
      </c>
      <c r="AN10" s="98" t="s">
        <v>255</v>
      </c>
      <c r="AO10" s="98" t="s">
        <v>259</v>
      </c>
    </row>
    <row r="11" spans="1:41">
      <c r="A11" s="20" t="s">
        <v>112</v>
      </c>
      <c r="B11" s="16">
        <f>COS(alphanull)</f>
        <v>0.4795447377952729</v>
      </c>
      <c r="D11" s="68" t="s">
        <v>7</v>
      </c>
      <c r="E11" s="69">
        <f t="shared" ref="E11:Y11" si="8">-(-yupR+Konst*((POWER(TAN(E3/2),2*MR-1)/(2*MR-1))+(POWER(TAN(E3/2),2*MR+1)/(2*MR+1))-(POWER(TAN(alphanull/2),2*MR-1)/(2*MR-1))-(POWER(TAN(alphanull/2),2*MR+1)/(2*MR+1))))</f>
        <v>2</v>
      </c>
      <c r="F11" s="69">
        <f t="shared" si="8"/>
        <v>1.9923647634027901</v>
      </c>
      <c r="G11" s="69">
        <f t="shared" si="8"/>
        <v>1.602298803534346</v>
      </c>
      <c r="H11" s="69">
        <f t="shared" si="8"/>
        <v>1.2816675303343805</v>
      </c>
      <c r="I11" s="69">
        <f t="shared" si="8"/>
        <v>1.0183708458664735</v>
      </c>
      <c r="J11" s="69">
        <f t="shared" si="8"/>
        <v>0.80258484995714952</v>
      </c>
      <c r="K11" s="69">
        <f t="shared" si="8"/>
        <v>0.62628914933993185</v>
      </c>
      <c r="L11" s="69">
        <f t="shared" si="8"/>
        <v>0.48289959389931525</v>
      </c>
      <c r="M11" s="69">
        <f t="shared" si="8"/>
        <v>0.36698103317817976</v>
      </c>
      <c r="N11" s="69">
        <f t="shared" si="8"/>
        <v>0.27402119127810587</v>
      </c>
      <c r="O11" s="69">
        <f t="shared" si="8"/>
        <v>0.20025149280680377</v>
      </c>
      <c r="P11" s="69">
        <f t="shared" si="8"/>
        <v>0.14250414376254739</v>
      </c>
      <c r="Q11" s="69">
        <f t="shared" si="8"/>
        <v>9.8097333716401058E-2</v>
      </c>
      <c r="R11" s="69">
        <f t="shared" si="8"/>
        <v>6.4742329306463953E-2</v>
      </c>
      <c r="S11" s="69">
        <f t="shared" si="8"/>
        <v>4.046765163723931E-2</v>
      </c>
      <c r="T11" s="69">
        <f t="shared" si="8"/>
        <v>2.3556599356901131E-2</v>
      </c>
      <c r="U11" s="69">
        <f t="shared" si="8"/>
        <v>1.2495188200406293E-2</v>
      </c>
      <c r="V11" s="69">
        <f t="shared" si="8"/>
        <v>5.9281976957625826E-3</v>
      </c>
      <c r="W11" s="69">
        <f t="shared" si="8"/>
        <v>2.6215094698500696E-3</v>
      </c>
      <c r="X11" s="69">
        <f t="shared" si="8"/>
        <v>1.4293813584174142E-3</v>
      </c>
      <c r="Y11" s="69">
        <f t="shared" si="8"/>
        <v>1.2661355339385061E-3</v>
      </c>
      <c r="Z11" s="166">
        <f>SQRT(Y11*Y11+Y12*Y12)</f>
        <v>3.0497602748410157E-3</v>
      </c>
      <c r="AA11" s="16">
        <v>3.5</v>
      </c>
      <c r="AB11" s="31"/>
      <c r="AC11" s="31"/>
      <c r="AD11" s="31"/>
      <c r="AE11" s="31"/>
      <c r="AF11" s="31"/>
      <c r="AG11" s="31"/>
      <c r="AI11" s="16">
        <v>3.5</v>
      </c>
      <c r="AJ11" s="73"/>
      <c r="AK11" s="73"/>
      <c r="AL11" s="73"/>
      <c r="AM11" s="73"/>
      <c r="AN11" s="73"/>
      <c r="AO11" s="73"/>
    </row>
    <row r="12" spans="1:41">
      <c r="A12" s="20" t="s">
        <v>121</v>
      </c>
      <c r="B12" s="16">
        <f>SIN(alphanull)</f>
        <v>0.87751743256351489</v>
      </c>
      <c r="D12" s="85" t="s">
        <v>6</v>
      </c>
      <c r="E12" s="71">
        <f t="shared" ref="E12:Y12" si="9">-(-xupR+0.5*Konst*((POWER(TAN(E3/2),2*MR-2)/(2*MR-2))-(POWER(TAN(E3/2),2*MR+2)/(2*MR+2))-(POWER(TAN(alphanull/2),2*MR-2)/(2*MR-2))+(POWER(TAN(alphanull/2),2*MR+2)/(2*MR+2))))</f>
        <v>1.9999999999999998</v>
      </c>
      <c r="F12" s="71">
        <f t="shared" si="9"/>
        <v>1.9958225478645135</v>
      </c>
      <c r="G12" s="71">
        <f t="shared" si="9"/>
        <v>1.768037176971021</v>
      </c>
      <c r="H12" s="71">
        <f t="shared" si="9"/>
        <v>1.5557098925989221</v>
      </c>
      <c r="I12" s="71">
        <f t="shared" si="9"/>
        <v>1.359149110996833</v>
      </c>
      <c r="J12" s="71">
        <f t="shared" si="9"/>
        <v>1.1782623621496484</v>
      </c>
      <c r="K12" s="71">
        <f t="shared" si="9"/>
        <v>1.0127025629166546</v>
      </c>
      <c r="L12" s="71">
        <f t="shared" si="9"/>
        <v>0.86196984925969589</v>
      </c>
      <c r="M12" s="71">
        <f t="shared" si="9"/>
        <v>0.72548222615308489</v>
      </c>
      <c r="N12" s="71">
        <f t="shared" si="9"/>
        <v>0.60262429330298684</v>
      </c>
      <c r="O12" s="71">
        <f t="shared" si="9"/>
        <v>0.49278054300773766</v>
      </c>
      <c r="P12" s="71">
        <f t="shared" si="9"/>
        <v>0.39535780683620514</v>
      </c>
      <c r="Q12" s="71">
        <f t="shared" si="9"/>
        <v>0.30980008431785278</v>
      </c>
      <c r="R12" s="71">
        <f t="shared" si="9"/>
        <v>0.23559803911826238</v>
      </c>
      <c r="S12" s="71">
        <f t="shared" si="9"/>
        <v>0.17229477167708329</v>
      </c>
      <c r="T12" s="71">
        <f t="shared" si="9"/>
        <v>0.11948898243986505</v>
      </c>
      <c r="U12" s="71">
        <f t="shared" si="9"/>
        <v>7.6836253754969164E-2</v>
      </c>
      <c r="V12" s="71">
        <f t="shared" si="9"/>
        <v>4.40488170934763E-2</v>
      </c>
      <c r="W12" s="71">
        <f t="shared" si="9"/>
        <v>2.0893651392843271E-2</v>
      </c>
      <c r="X12" s="71">
        <f t="shared" si="9"/>
        <v>7.1872922986853105E-3</v>
      </c>
      <c r="Y12" s="71">
        <f t="shared" si="9"/>
        <v>2.7745159115954987E-3</v>
      </c>
      <c r="Z12" s="167"/>
      <c r="AA12" s="16">
        <v>4</v>
      </c>
      <c r="AB12" s="31">
        <v>0.29399999999999998</v>
      </c>
      <c r="AC12" s="31">
        <v>0.63300000000000001</v>
      </c>
      <c r="AD12" s="31">
        <v>1.014</v>
      </c>
      <c r="AE12" s="31">
        <v>1.472</v>
      </c>
      <c r="AF12" s="31">
        <v>2.0099999999999998</v>
      </c>
      <c r="AG12" s="31">
        <v>2.6819999999999999</v>
      </c>
      <c r="AI12" s="16">
        <v>4</v>
      </c>
      <c r="AJ12" s="98" t="s">
        <v>273</v>
      </c>
      <c r="AK12" s="98" t="s">
        <v>270</v>
      </c>
      <c r="AL12" s="98" t="s">
        <v>263</v>
      </c>
      <c r="AM12" s="98" t="s">
        <v>251</v>
      </c>
      <c r="AN12" s="98" t="s">
        <v>254</v>
      </c>
      <c r="AO12" s="98" t="s">
        <v>260</v>
      </c>
    </row>
    <row r="13" spans="1:41">
      <c r="A13" s="20" t="s">
        <v>114</v>
      </c>
      <c r="B13" s="16">
        <f>MR+unull</f>
        <v>2.4840824675993654</v>
      </c>
      <c r="D13" s="90" t="s">
        <v>10</v>
      </c>
      <c r="E13" s="67">
        <f t="shared" ref="E13:Y13" si="10">-voR*SIN(E3)*(MR+unull)/(MR+E5)*E9</f>
        <v>-1.42</v>
      </c>
      <c r="F13" s="67">
        <f t="shared" si="10"/>
        <v>-1.4167590710091749</v>
      </c>
      <c r="G13" s="67">
        <f t="shared" si="10"/>
        <v>-1.2429377448040886</v>
      </c>
      <c r="H13" s="67">
        <f t="shared" si="10"/>
        <v>-1.0853450712649799</v>
      </c>
      <c r="I13" s="67">
        <f t="shared" si="10"/>
        <v>-0.94253686824742378</v>
      </c>
      <c r="J13" s="67">
        <f t="shared" si="10"/>
        <v>-0.81325503039314373</v>
      </c>
      <c r="K13" s="67">
        <f t="shared" si="10"/>
        <v>-0.69640203607065931</v>
      </c>
      <c r="L13" s="67">
        <f t="shared" si="10"/>
        <v>-0.5910196690736208</v>
      </c>
      <c r="M13" s="67">
        <f t="shared" si="10"/>
        <v>-0.49627120292546328</v>
      </c>
      <c r="N13" s="67">
        <f t="shared" si="10"/>
        <v>-0.41142644611386792</v>
      </c>
      <c r="O13" s="67">
        <f t="shared" si="10"/>
        <v>-0.33584916449636626</v>
      </c>
      <c r="P13" s="67">
        <f t="shared" si="10"/>
        <v>-0.26898648992894308</v>
      </c>
      <c r="Q13" s="67">
        <f t="shared" si="10"/>
        <v>-0.21035999734506325</v>
      </c>
      <c r="R13" s="67">
        <f t="shared" si="10"/>
        <v>-0.15955818993380233</v>
      </c>
      <c r="S13" s="67">
        <f t="shared" si="10"/>
        <v>-0.1162301761174917</v>
      </c>
      <c r="T13" s="67">
        <f t="shared" si="10"/>
        <v>-8.0080353178871924E-2</v>
      </c>
      <c r="U13" s="67">
        <f t="shared" si="10"/>
        <v>-5.0863927384555745E-2</v>
      </c>
      <c r="V13" s="67">
        <f t="shared" si="10"/>
        <v>-2.838308569032193E-2</v>
      </c>
      <c r="W13" s="67">
        <f t="shared" si="10"/>
        <v>-1.2483537088773981E-2</v>
      </c>
      <c r="X13" s="67">
        <f t="shared" si="10"/>
        <v>-3.050699203694566E-3</v>
      </c>
      <c r="Y13" s="67">
        <f t="shared" si="10"/>
        <v>-9.7728993618709525E-7</v>
      </c>
      <c r="AA13" s="16">
        <v>4.5</v>
      </c>
      <c r="AB13" s="31"/>
      <c r="AC13" s="31"/>
      <c r="AD13" s="31"/>
      <c r="AE13" s="31"/>
      <c r="AF13" s="31"/>
      <c r="AG13" s="31"/>
      <c r="AI13" s="16">
        <v>4.5</v>
      </c>
      <c r="AJ13" s="73"/>
      <c r="AK13" s="73"/>
      <c r="AL13" s="73"/>
      <c r="AM13" s="73"/>
      <c r="AN13" s="73"/>
      <c r="AO13" s="73"/>
    </row>
    <row r="14" spans="1:41">
      <c r="A14" s="20" t="s">
        <v>115</v>
      </c>
      <c r="B14" s="16">
        <f>POWER(TAN(alphanull/2),MR)</f>
        <v>0.35093429918941549</v>
      </c>
      <c r="D14" s="91" t="s">
        <v>11</v>
      </c>
      <c r="E14" s="15">
        <f t="shared" ref="E14:Y14" si="11">-voR*COS(E3)*(MR+unull)/(MR+E5)*E9</f>
        <v>-0.77599999999999991</v>
      </c>
      <c r="F14" s="15">
        <f t="shared" si="11"/>
        <v>-0.77606976619285972</v>
      </c>
      <c r="G14" s="15">
        <f t="shared" si="11"/>
        <v>-0.77491376947690538</v>
      </c>
      <c r="H14" s="15">
        <f t="shared" si="11"/>
        <v>-0.7647834985435582</v>
      </c>
      <c r="I14" s="15">
        <f t="shared" si="11"/>
        <v>-0.74701644488197705</v>
      </c>
      <c r="J14" s="15">
        <f t="shared" si="11"/>
        <v>-0.7227415325325377</v>
      </c>
      <c r="K14" s="15">
        <f t="shared" si="11"/>
        <v>-0.69291543962612301</v>
      </c>
      <c r="L14" s="15">
        <f t="shared" si="11"/>
        <v>-0.65835215033626304</v>
      </c>
      <c r="M14" s="15">
        <f t="shared" si="11"/>
        <v>-0.61974713735454923</v>
      </c>
      <c r="N14" s="15">
        <f t="shared" si="11"/>
        <v>-0.57769726810912336</v>
      </c>
      <c r="O14" s="15">
        <f t="shared" si="11"/>
        <v>-0.53271729519293975</v>
      </c>
      <c r="P14" s="15">
        <f t="shared" si="11"/>
        <v>-0.48525361494734476</v>
      </c>
      <c r="Q14" s="15">
        <f t="shared" si="11"/>
        <v>-0.43569584554269358</v>
      </c>
      <c r="R14" s="15">
        <f t="shared" si="11"/>
        <v>-0.38438667988040004</v>
      </c>
      <c r="S14" s="15">
        <f t="shared" si="11"/>
        <v>-0.33163040795533044</v>
      </c>
      <c r="T14" s="15">
        <f t="shared" si="11"/>
        <v>-0.27770048811433817</v>
      </c>
      <c r="U14" s="15">
        <f t="shared" si="11"/>
        <v>-0.22284661792349877</v>
      </c>
      <c r="V14" s="15">
        <f t="shared" si="11"/>
        <v>-0.16730206325228714</v>
      </c>
      <c r="W14" s="15">
        <f t="shared" si="11"/>
        <v>-0.11129320770352016</v>
      </c>
      <c r="X14" s="15">
        <f t="shared" si="11"/>
        <v>-5.5059669284163934E-2</v>
      </c>
      <c r="Y14" s="15">
        <f t="shared" si="11"/>
        <v>-9.7728961042425032E-4</v>
      </c>
      <c r="AA14" s="16">
        <v>5</v>
      </c>
      <c r="AB14" s="31">
        <v>0.35599999999999998</v>
      </c>
      <c r="AC14" s="31">
        <v>0.76500000000000001</v>
      </c>
      <c r="AD14" s="31">
        <v>1.228</v>
      </c>
      <c r="AE14" s="31">
        <v>1.776</v>
      </c>
      <c r="AF14" s="31">
        <v>2.427</v>
      </c>
      <c r="AG14" s="31">
        <v>3.2160000000000002</v>
      </c>
      <c r="AI14" s="16">
        <v>5</v>
      </c>
      <c r="AJ14" s="98" t="s">
        <v>272</v>
      </c>
      <c r="AK14" s="98" t="s">
        <v>271</v>
      </c>
      <c r="AL14" s="98" t="s">
        <v>262</v>
      </c>
      <c r="AM14" s="98" t="s">
        <v>252</v>
      </c>
      <c r="AN14" s="98" t="s">
        <v>253</v>
      </c>
      <c r="AO14" s="98" t="s">
        <v>261</v>
      </c>
    </row>
    <row r="15" spans="1:41">
      <c r="A15" s="20" t="s">
        <v>123</v>
      </c>
      <c r="B15" s="16">
        <f>-voR*voR*SIN(alphanull)*SIN(alphanull)/(2*9.81*SIN(ThetaR/180*PI())*POWER(TAN(alphanull/2),2*MR))</f>
        <v>-23.911503706425783</v>
      </c>
      <c r="D15" s="42" t="s">
        <v>15</v>
      </c>
      <c r="E15" s="19">
        <f>SQRT(E13*E13+E14*E14)</f>
        <v>1.6182014707693229</v>
      </c>
      <c r="F15" s="19">
        <f t="shared" ref="F15:Y15" si="12">SQRT(F13*F13+F14*F14)</f>
        <v>1.6153917627886494</v>
      </c>
      <c r="G15" s="19">
        <f t="shared" si="12"/>
        <v>1.4647134831029516</v>
      </c>
      <c r="H15" s="19">
        <f t="shared" si="12"/>
        <v>1.327730290143186</v>
      </c>
      <c r="I15" s="19">
        <f t="shared" si="12"/>
        <v>1.2026675837195284</v>
      </c>
      <c r="J15" s="19">
        <f t="shared" si="12"/>
        <v>1.0879977331351542</v>
      </c>
      <c r="K15" s="19">
        <f t="shared" si="12"/>
        <v>0.98239890182940615</v>
      </c>
      <c r="L15" s="19">
        <f t="shared" si="12"/>
        <v>0.88472131379563468</v>
      </c>
      <c r="M15" s="19">
        <f t="shared" si="12"/>
        <v>0.79395945810365209</v>
      </c>
      <c r="N15" s="19">
        <f t="shared" si="12"/>
        <v>0.70922905618892396</v>
      </c>
      <c r="O15" s="19">
        <f t="shared" si="12"/>
        <v>0.62974786850817444</v>
      </c>
      <c r="P15" s="19">
        <f t="shared" si="12"/>
        <v>0.5548196126524001</v>
      </c>
      <c r="Q15" s="19">
        <f t="shared" si="12"/>
        <v>0.48382041948038707</v>
      </c>
      <c r="R15" s="19">
        <f t="shared" si="12"/>
        <v>0.41618738044831255</v>
      </c>
      <c r="S15" s="19">
        <f t="shared" si="12"/>
        <v>0.35140885208105105</v>
      </c>
      <c r="T15" s="19">
        <f t="shared" si="12"/>
        <v>0.28901630414942781</v>
      </c>
      <c r="U15" s="19">
        <f t="shared" si="12"/>
        <v>0.22857767657608913</v>
      </c>
      <c r="V15" s="19">
        <f t="shared" si="12"/>
        <v>0.16969260420471025</v>
      </c>
      <c r="W15" s="19">
        <f t="shared" si="12"/>
        <v>0.11199114598567904</v>
      </c>
      <c r="X15" s="19">
        <f t="shared" si="12"/>
        <v>5.5144119789084747E-2</v>
      </c>
      <c r="Y15" s="19">
        <f t="shared" si="12"/>
        <v>9.7729009906925911E-4</v>
      </c>
      <c r="AB15" s="158" t="s">
        <v>127</v>
      </c>
      <c r="AC15" s="158"/>
      <c r="AD15" s="158"/>
      <c r="AE15" s="158"/>
      <c r="AF15" s="158"/>
      <c r="AG15" s="158"/>
      <c r="AL15" s="164" t="s">
        <v>124</v>
      </c>
      <c r="AM15" s="164"/>
    </row>
    <row r="16" spans="1:41">
      <c r="D16" s="92" t="s">
        <v>164</v>
      </c>
      <c r="E16" s="29">
        <f>-E14/E13*E11+E12</f>
        <v>0.90704225352112666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</row>
    <row r="17" spans="5:41">
      <c r="E17" s="29">
        <f>-((E12-F12)/(E11-F11)*E11-E12)</f>
        <v>0.9057438935126616</v>
      </c>
    </row>
    <row r="19" spans="5:41">
      <c r="H19" t="s">
        <v>42</v>
      </c>
    </row>
    <row r="23" spans="5:41">
      <c r="AI23" s="56" t="s">
        <v>99</v>
      </c>
    </row>
    <row r="24" spans="5:41">
      <c r="AI24" t="s">
        <v>277</v>
      </c>
    </row>
    <row r="26" spans="5:41">
      <c r="AI26" s="80" t="s">
        <v>88</v>
      </c>
      <c r="AJ26" s="78">
        <v>0.5</v>
      </c>
      <c r="AK26" s="77">
        <v>1</v>
      </c>
      <c r="AL26" s="78">
        <v>1.5</v>
      </c>
      <c r="AM26" s="77">
        <v>2</v>
      </c>
      <c r="AN26" s="78">
        <v>2.5</v>
      </c>
      <c r="AO26" s="77">
        <v>3</v>
      </c>
    </row>
    <row r="27" spans="5:41">
      <c r="AI27" s="79">
        <v>0.5</v>
      </c>
      <c r="AJ27" s="77"/>
      <c r="AK27" s="77"/>
      <c r="AL27" s="77"/>
      <c r="AM27" s="77"/>
      <c r="AN27" s="77"/>
      <c r="AO27" s="77"/>
    </row>
    <row r="28" spans="5:41">
      <c r="AI28" s="79">
        <v>1</v>
      </c>
      <c r="AJ28" s="77">
        <f>$AQ$36*$AQ$35*AJ$26*$AI28</f>
        <v>9.1999999999999998E-2</v>
      </c>
      <c r="AK28" s="77">
        <f t="shared" ref="AK28:AO36" si="13">$AQ$36*$AQ$35*AK$26*$AI28</f>
        <v>0.184</v>
      </c>
      <c r="AL28" s="77">
        <f t="shared" si="13"/>
        <v>0.27600000000000002</v>
      </c>
      <c r="AM28" s="77">
        <f t="shared" si="13"/>
        <v>0.36799999999999999</v>
      </c>
      <c r="AN28" s="77">
        <f t="shared" si="13"/>
        <v>0.45999999999999996</v>
      </c>
      <c r="AO28" s="77">
        <f t="shared" si="13"/>
        <v>0.55200000000000005</v>
      </c>
    </row>
    <row r="29" spans="5:41">
      <c r="AI29" s="79">
        <v>1.5</v>
      </c>
      <c r="AJ29" s="77">
        <f t="shared" ref="AJ29:AJ36" si="14">$AQ$36*$AQ$35*AJ$26*$AI29</f>
        <v>0.13800000000000001</v>
      </c>
      <c r="AK29" s="77">
        <f t="shared" si="13"/>
        <v>0.27600000000000002</v>
      </c>
      <c r="AL29" s="77">
        <f t="shared" si="13"/>
        <v>0.41400000000000003</v>
      </c>
      <c r="AM29" s="77">
        <f t="shared" si="13"/>
        <v>0.55200000000000005</v>
      </c>
      <c r="AN29" s="77">
        <f t="shared" si="13"/>
        <v>0.69</v>
      </c>
      <c r="AO29" s="77">
        <f t="shared" si="13"/>
        <v>0.82800000000000007</v>
      </c>
    </row>
    <row r="30" spans="5:41">
      <c r="AI30" s="79">
        <v>2</v>
      </c>
      <c r="AJ30" s="77">
        <f t="shared" si="14"/>
        <v>0.184</v>
      </c>
      <c r="AK30" s="77">
        <f t="shared" si="13"/>
        <v>0.36799999999999999</v>
      </c>
      <c r="AL30" s="77">
        <f t="shared" si="13"/>
        <v>0.55200000000000005</v>
      </c>
      <c r="AM30" s="77">
        <f t="shared" si="13"/>
        <v>0.73599999999999999</v>
      </c>
      <c r="AN30" s="77">
        <f t="shared" si="13"/>
        <v>0.91999999999999993</v>
      </c>
      <c r="AO30" s="77">
        <f t="shared" si="13"/>
        <v>1.1040000000000001</v>
      </c>
    </row>
    <row r="31" spans="5:41">
      <c r="AI31" s="79">
        <v>2.5</v>
      </c>
      <c r="AJ31" s="77">
        <f t="shared" si="14"/>
        <v>0.22999999999999998</v>
      </c>
      <c r="AK31" s="77">
        <f t="shared" si="13"/>
        <v>0.45999999999999996</v>
      </c>
      <c r="AL31" s="77">
        <f t="shared" si="13"/>
        <v>0.69000000000000006</v>
      </c>
      <c r="AM31" s="77">
        <f t="shared" si="13"/>
        <v>0.91999999999999993</v>
      </c>
      <c r="AN31" s="77">
        <f t="shared" si="13"/>
        <v>1.1499999999999999</v>
      </c>
      <c r="AO31" s="77">
        <f t="shared" si="13"/>
        <v>1.3800000000000001</v>
      </c>
    </row>
    <row r="32" spans="5:41">
      <c r="AI32" s="79">
        <v>3</v>
      </c>
      <c r="AJ32" s="77">
        <f t="shared" si="14"/>
        <v>0.27600000000000002</v>
      </c>
      <c r="AK32" s="77">
        <f t="shared" si="13"/>
        <v>0.55200000000000005</v>
      </c>
      <c r="AL32" s="77">
        <f t="shared" si="13"/>
        <v>0.82800000000000007</v>
      </c>
      <c r="AM32" s="77">
        <f t="shared" si="13"/>
        <v>1.1040000000000001</v>
      </c>
      <c r="AN32" s="77">
        <f t="shared" si="13"/>
        <v>1.38</v>
      </c>
      <c r="AO32" s="77">
        <f t="shared" si="13"/>
        <v>1.6560000000000001</v>
      </c>
    </row>
    <row r="33" spans="35:44">
      <c r="AI33" s="79">
        <v>3.5</v>
      </c>
      <c r="AJ33" s="77">
        <f t="shared" si="14"/>
        <v>0.32200000000000001</v>
      </c>
      <c r="AK33" s="77">
        <f t="shared" si="13"/>
        <v>0.64400000000000002</v>
      </c>
      <c r="AL33" s="77">
        <f t="shared" si="13"/>
        <v>0.96600000000000008</v>
      </c>
      <c r="AM33" s="77">
        <f t="shared" si="13"/>
        <v>1.288</v>
      </c>
      <c r="AN33" s="77">
        <f t="shared" si="13"/>
        <v>1.6099999999999999</v>
      </c>
      <c r="AO33" s="77">
        <f t="shared" si="13"/>
        <v>1.9320000000000002</v>
      </c>
    </row>
    <row r="34" spans="35:44">
      <c r="AI34" s="79">
        <v>4</v>
      </c>
      <c r="AJ34" s="77">
        <f t="shared" si="14"/>
        <v>0.36799999999999999</v>
      </c>
      <c r="AK34" s="77">
        <f t="shared" si="13"/>
        <v>0.73599999999999999</v>
      </c>
      <c r="AL34" s="77">
        <f t="shared" si="13"/>
        <v>1.1040000000000001</v>
      </c>
      <c r="AM34" s="77">
        <f t="shared" si="13"/>
        <v>1.472</v>
      </c>
      <c r="AN34" s="77">
        <f t="shared" si="13"/>
        <v>1.8399999999999999</v>
      </c>
      <c r="AO34" s="77">
        <f t="shared" si="13"/>
        <v>2.2080000000000002</v>
      </c>
    </row>
    <row r="35" spans="35:44">
      <c r="AI35" s="79">
        <v>4.5</v>
      </c>
      <c r="AJ35" s="77">
        <f t="shared" si="14"/>
        <v>0.41399999999999998</v>
      </c>
      <c r="AK35" s="77">
        <f t="shared" si="13"/>
        <v>0.82799999999999996</v>
      </c>
      <c r="AL35" s="77">
        <f t="shared" si="13"/>
        <v>1.242</v>
      </c>
      <c r="AM35" s="77">
        <f t="shared" si="13"/>
        <v>1.6559999999999999</v>
      </c>
      <c r="AN35" s="77">
        <f t="shared" si="13"/>
        <v>2.0699999999999998</v>
      </c>
      <c r="AO35" s="77">
        <f t="shared" si="13"/>
        <v>2.484</v>
      </c>
      <c r="AQ35" s="1">
        <v>8</v>
      </c>
      <c r="AR35" t="s">
        <v>200</v>
      </c>
    </row>
    <row r="36" spans="35:44">
      <c r="AI36" s="79">
        <v>5</v>
      </c>
      <c r="AJ36" s="77">
        <f t="shared" si="14"/>
        <v>0.45999999999999996</v>
      </c>
      <c r="AK36" s="77">
        <f t="shared" si="13"/>
        <v>0.91999999999999993</v>
      </c>
      <c r="AL36" s="77">
        <f t="shared" si="13"/>
        <v>1.3800000000000001</v>
      </c>
      <c r="AM36" s="77">
        <f t="shared" si="13"/>
        <v>1.8399999999999999</v>
      </c>
      <c r="AN36" s="77">
        <f t="shared" si="13"/>
        <v>2.2999999999999998</v>
      </c>
      <c r="AO36" s="77">
        <f t="shared" si="13"/>
        <v>2.7600000000000002</v>
      </c>
      <c r="AQ36">
        <v>2.3E-2</v>
      </c>
      <c r="AR36" t="s">
        <v>201</v>
      </c>
    </row>
    <row r="38" spans="35:44">
      <c r="AI38" t="s">
        <v>199</v>
      </c>
    </row>
    <row r="39" spans="35:44">
      <c r="AI39" s="53" t="s">
        <v>247</v>
      </c>
      <c r="AJ39" s="78">
        <v>0.5</v>
      </c>
      <c r="AK39" s="77">
        <v>1</v>
      </c>
      <c r="AL39" s="78">
        <v>1.5</v>
      </c>
      <c r="AM39" s="77">
        <v>2</v>
      </c>
      <c r="AN39" s="78">
        <v>2.5</v>
      </c>
      <c r="AO39" s="77">
        <v>3</v>
      </c>
    </row>
    <row r="40" spans="35:44">
      <c r="AI40" s="79">
        <v>0.5</v>
      </c>
      <c r="AJ40" s="93"/>
      <c r="AK40" s="93"/>
      <c r="AL40" s="93"/>
      <c r="AM40" s="93"/>
      <c r="AN40" s="93"/>
      <c r="AO40" s="93"/>
    </row>
    <row r="41" spans="35:44">
      <c r="AI41" s="79">
        <v>1</v>
      </c>
      <c r="AJ41" s="93">
        <f t="shared" ref="AJ41:AO41" si="15">(AJ28-AB6)/AB6</f>
        <v>-0.36111111111111105</v>
      </c>
      <c r="AK41" s="93">
        <f t="shared" si="15"/>
        <v>-0.39072847682119205</v>
      </c>
      <c r="AL41" s="93">
        <f t="shared" si="15"/>
        <v>-0.42016806722689071</v>
      </c>
      <c r="AM41" s="93">
        <f t="shared" si="15"/>
        <v>-0.4635568513119534</v>
      </c>
      <c r="AN41" s="93">
        <f t="shared" si="15"/>
        <v>-0.51167728237791932</v>
      </c>
      <c r="AO41" s="93" t="e">
        <f t="shared" si="15"/>
        <v>#DIV/0!</v>
      </c>
    </row>
    <row r="42" spans="35:44">
      <c r="AI42" s="79">
        <v>1.5</v>
      </c>
      <c r="AJ42" s="93"/>
      <c r="AK42" s="93"/>
      <c r="AL42" s="93"/>
      <c r="AM42" s="93"/>
      <c r="AN42" s="93"/>
      <c r="AO42" s="93"/>
    </row>
    <row r="43" spans="35:44">
      <c r="AI43" s="79">
        <v>2</v>
      </c>
      <c r="AJ43" s="93">
        <f t="shared" ref="AJ43:AK49" si="16">(AJ30-AB8)/AB8</f>
        <v>-5.40540540540541E-3</v>
      </c>
      <c r="AK43" s="99">
        <f t="shared" si="16"/>
        <v>-6.3613231552162905E-2</v>
      </c>
      <c r="AL43" s="99">
        <f>(AL30-AD8)/AD8</f>
        <v>-0.12519809825673528</v>
      </c>
      <c r="AM43" s="99">
        <f t="shared" ref="AM43:AO49" si="17">(AM30-AE8)/AE8</f>
        <v>-0.18763796909492278</v>
      </c>
      <c r="AN43" s="93">
        <f t="shared" si="17"/>
        <v>-0.26104417670682745</v>
      </c>
      <c r="AO43" s="93">
        <f t="shared" si="17"/>
        <v>-0.34635879218472465</v>
      </c>
    </row>
    <row r="44" spans="35:44">
      <c r="AI44" s="79">
        <v>2.5</v>
      </c>
      <c r="AJ44" s="93"/>
      <c r="AK44" s="99"/>
      <c r="AL44" s="99"/>
      <c r="AM44" s="99"/>
      <c r="AN44" s="93"/>
      <c r="AO44" s="93"/>
    </row>
    <row r="45" spans="35:44">
      <c r="AI45" s="79">
        <v>3</v>
      </c>
      <c r="AJ45" s="93">
        <f t="shared" si="16"/>
        <v>0.14522821576763498</v>
      </c>
      <c r="AK45" s="99">
        <f t="shared" si="16"/>
        <v>8.8757396449704221E-2</v>
      </c>
      <c r="AL45" s="99">
        <f>(AL32-AD10)/AD10</f>
        <v>1.5950920245398924E-2</v>
      </c>
      <c r="AM45" s="99">
        <f t="shared" si="17"/>
        <v>-6.2818336162987987E-2</v>
      </c>
      <c r="AN45" s="93">
        <f t="shared" si="17"/>
        <v>-0.14445133292002485</v>
      </c>
      <c r="AO45" s="93">
        <f t="shared" si="17"/>
        <v>-0.23475046210720887</v>
      </c>
      <c r="AQ45" s="94">
        <f>SUM(AK43:AM47)/9</f>
        <v>-9.2316335925271258E-3</v>
      </c>
      <c r="AR45" t="s">
        <v>246</v>
      </c>
    </row>
    <row r="46" spans="35:44">
      <c r="AI46" s="79">
        <v>3.5</v>
      </c>
      <c r="AJ46" s="93"/>
      <c r="AK46" s="99"/>
      <c r="AL46" s="99"/>
      <c r="AM46" s="99"/>
      <c r="AN46" s="93"/>
      <c r="AO46" s="93"/>
    </row>
    <row r="47" spans="35:44">
      <c r="AI47" s="79">
        <v>4</v>
      </c>
      <c r="AJ47" s="93">
        <f t="shared" si="16"/>
        <v>0.2517006802721089</v>
      </c>
      <c r="AK47" s="99">
        <f t="shared" si="16"/>
        <v>0.16271721958925747</v>
      </c>
      <c r="AL47" s="99">
        <f>(AL34-AD12)/AD12</f>
        <v>8.8757396449704221E-2</v>
      </c>
      <c r="AM47" s="99">
        <f t="shared" si="17"/>
        <v>0</v>
      </c>
      <c r="AN47" s="93">
        <f t="shared" si="17"/>
        <v>-8.4577114427860672E-2</v>
      </c>
      <c r="AO47" s="93">
        <f t="shared" si="17"/>
        <v>-0.17673378076062632</v>
      </c>
    </row>
    <row r="48" spans="35:44">
      <c r="AI48" s="79">
        <v>4.5</v>
      </c>
      <c r="AJ48" s="93"/>
      <c r="AK48" s="93"/>
      <c r="AL48" s="93"/>
      <c r="AM48" s="93"/>
      <c r="AN48" s="93"/>
      <c r="AO48" s="93"/>
    </row>
    <row r="49" spans="10:41">
      <c r="AI49" s="79">
        <v>5</v>
      </c>
      <c r="AJ49" s="93">
        <f t="shared" si="16"/>
        <v>0.29213483146067409</v>
      </c>
      <c r="AK49" s="93">
        <f t="shared" si="16"/>
        <v>0.20261437908496721</v>
      </c>
      <c r="AL49" s="93">
        <f>(AL36-AD14)/AD14</f>
        <v>0.12377850162866461</v>
      </c>
      <c r="AM49" s="93">
        <f t="shared" si="17"/>
        <v>3.6036036036035946E-2</v>
      </c>
      <c r="AN49" s="93">
        <f t="shared" si="17"/>
        <v>-5.2327976926246487E-2</v>
      </c>
      <c r="AO49" s="93">
        <f t="shared" si="17"/>
        <v>-0.1417910447761194</v>
      </c>
    </row>
    <row r="54" spans="10:41">
      <c r="J54" t="s">
        <v>42</v>
      </c>
    </row>
  </sheetData>
  <mergeCells count="6">
    <mergeCell ref="AL15:AM15"/>
    <mergeCell ref="A2:C2"/>
    <mergeCell ref="Z11:Z12"/>
    <mergeCell ref="AB2:AG2"/>
    <mergeCell ref="AB3:AG3"/>
    <mergeCell ref="AB15:AG1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54"/>
  <sheetViews>
    <sheetView topLeftCell="F4" workbookViewId="0">
      <selection activeCell="AL28" activeCellId="1" sqref="AL26 AL28:AL36"/>
    </sheetView>
  </sheetViews>
  <sheetFormatPr baseColWidth="10" defaultRowHeight="15"/>
  <cols>
    <col min="1" max="48" width="5.7109375" customWidth="1"/>
    <col min="49" max="51" width="11.42578125" customWidth="1"/>
  </cols>
  <sheetData>
    <row r="1" spans="1:41">
      <c r="A1" s="16" t="s">
        <v>25</v>
      </c>
      <c r="B1" s="62">
        <v>1</v>
      </c>
      <c r="C1" s="15" t="s">
        <v>23</v>
      </c>
      <c r="D1" s="16" t="s">
        <v>16</v>
      </c>
      <c r="E1" s="65">
        <v>7.0000000000000007E-2</v>
      </c>
      <c r="G1" s="20" t="s">
        <v>113</v>
      </c>
      <c r="H1" s="16">
        <f>MüRR/TAN(ThetaR/180*PI())</f>
        <v>4.0102973141531599</v>
      </c>
    </row>
    <row r="2" spans="1:41">
      <c r="A2" s="165" t="s">
        <v>13</v>
      </c>
      <c r="B2" s="165"/>
      <c r="C2" s="165"/>
      <c r="D2" s="75" t="s">
        <v>148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AA2" s="76" t="s">
        <v>165</v>
      </c>
      <c r="AB2" s="171" t="s">
        <v>13</v>
      </c>
      <c r="AC2" s="172"/>
      <c r="AD2" s="172"/>
      <c r="AE2" s="172"/>
      <c r="AF2" s="172"/>
      <c r="AG2" s="173"/>
    </row>
    <row r="3" spans="1:41">
      <c r="A3" s="15" t="s">
        <v>108</v>
      </c>
      <c r="B3" s="16">
        <f>(-alphanull)/19</f>
        <v>-7.3054357662106439E-2</v>
      </c>
      <c r="D3" s="15" t="s">
        <v>109</v>
      </c>
      <c r="E3" s="15">
        <f>alphanull</f>
        <v>1.3880327955800225</v>
      </c>
      <c r="F3" s="15">
        <f>E3-0.001</f>
        <v>1.3870327955800226</v>
      </c>
      <c r="G3" s="15">
        <f t="shared" ref="G3:X3" si="0">F3+deltaalpha</f>
        <v>1.3139784379179162</v>
      </c>
      <c r="H3" s="15">
        <f t="shared" si="0"/>
        <v>1.2409240802558097</v>
      </c>
      <c r="I3" s="15">
        <f t="shared" si="0"/>
        <v>1.1678697225937031</v>
      </c>
      <c r="J3" s="15">
        <f t="shared" si="0"/>
        <v>1.0948153649315966</v>
      </c>
      <c r="K3" s="15">
        <f t="shared" si="0"/>
        <v>1.02176100726949</v>
      </c>
      <c r="L3" s="15">
        <f t="shared" si="0"/>
        <v>0.9487066496073836</v>
      </c>
      <c r="M3" s="15">
        <f t="shared" si="0"/>
        <v>0.87565229194527716</v>
      </c>
      <c r="N3" s="15">
        <f t="shared" si="0"/>
        <v>0.80259793428317072</v>
      </c>
      <c r="O3" s="15">
        <f t="shared" si="0"/>
        <v>0.72954357662106428</v>
      </c>
      <c r="P3" s="15">
        <f t="shared" si="0"/>
        <v>0.65648921895895784</v>
      </c>
      <c r="Q3" s="15">
        <f t="shared" si="0"/>
        <v>0.5834348612968514</v>
      </c>
      <c r="R3" s="15">
        <f t="shared" si="0"/>
        <v>0.51038050363474496</v>
      </c>
      <c r="S3" s="15">
        <f t="shared" si="0"/>
        <v>0.43732614597263852</v>
      </c>
      <c r="T3" s="15">
        <f t="shared" si="0"/>
        <v>0.36427178831053209</v>
      </c>
      <c r="U3" s="15">
        <f t="shared" si="0"/>
        <v>0.29121743064842565</v>
      </c>
      <c r="V3" s="15">
        <f t="shared" si="0"/>
        <v>0.21816307298631921</v>
      </c>
      <c r="W3" s="15">
        <f t="shared" si="0"/>
        <v>0.14510871532421277</v>
      </c>
      <c r="X3" s="15">
        <f t="shared" si="0"/>
        <v>7.2054357662106328E-2</v>
      </c>
      <c r="Y3" s="15">
        <f>X3+deltaalpha+0.002</f>
        <v>9.9999999999988813E-4</v>
      </c>
      <c r="AA3" s="53" t="s">
        <v>101</v>
      </c>
      <c r="AB3" s="150" t="s">
        <v>104</v>
      </c>
      <c r="AC3" s="150"/>
      <c r="AD3" s="150"/>
      <c r="AE3" s="150"/>
      <c r="AF3" s="150"/>
      <c r="AG3" s="150"/>
    </row>
    <row r="4" spans="1:41">
      <c r="A4" s="20" t="s">
        <v>17</v>
      </c>
      <c r="B4" s="27">
        <v>1.9319999999999999</v>
      </c>
      <c r="C4" s="1" t="s">
        <v>21</v>
      </c>
      <c r="D4" s="15" t="s">
        <v>146</v>
      </c>
      <c r="E4" s="15">
        <f>E3/PI()*180</f>
        <v>79.528421012480237</v>
      </c>
      <c r="F4" s="15">
        <f t="shared" ref="F4:Y4" si="1">F3/PI()*180</f>
        <v>79.471125232967168</v>
      </c>
      <c r="G4" s="15">
        <f t="shared" si="1"/>
        <v>75.285418863889248</v>
      </c>
      <c r="H4" s="15">
        <f t="shared" si="1"/>
        <v>71.099712494811342</v>
      </c>
      <c r="I4" s="15">
        <f t="shared" si="1"/>
        <v>66.914006125733422</v>
      </c>
      <c r="J4" s="15">
        <f t="shared" si="1"/>
        <v>62.728299756655517</v>
      </c>
      <c r="K4" s="15">
        <f t="shared" si="1"/>
        <v>58.542593387577604</v>
      </c>
      <c r="L4" s="15">
        <f t="shared" si="1"/>
        <v>54.356887018499705</v>
      </c>
      <c r="M4" s="15">
        <f t="shared" si="1"/>
        <v>50.171180649421792</v>
      </c>
      <c r="N4" s="15">
        <f t="shared" si="1"/>
        <v>45.985474280343887</v>
      </c>
      <c r="O4" s="15">
        <f t="shared" si="1"/>
        <v>41.799767911265981</v>
      </c>
      <c r="P4" s="15">
        <f t="shared" si="1"/>
        <v>37.614061542188068</v>
      </c>
      <c r="Q4" s="15">
        <f t="shared" si="1"/>
        <v>33.42835517311017</v>
      </c>
      <c r="R4" s="15">
        <f t="shared" si="1"/>
        <v>29.242648804032257</v>
      </c>
      <c r="S4" s="15">
        <f t="shared" si="1"/>
        <v>25.056942434954351</v>
      </c>
      <c r="T4" s="15">
        <f t="shared" si="1"/>
        <v>20.871236065876445</v>
      </c>
      <c r="U4" s="15">
        <f t="shared" si="1"/>
        <v>16.68552969679854</v>
      </c>
      <c r="V4" s="15">
        <f t="shared" si="1"/>
        <v>12.499823327720632</v>
      </c>
      <c r="W4" s="15">
        <f t="shared" si="1"/>
        <v>8.3141169586427246</v>
      </c>
      <c r="X4" s="15">
        <f t="shared" si="1"/>
        <v>4.128410589564818</v>
      </c>
      <c r="Y4" s="15">
        <f t="shared" si="1"/>
        <v>5.7295779513075913E-2</v>
      </c>
      <c r="AA4" s="53" t="s">
        <v>88</v>
      </c>
      <c r="AB4" s="31">
        <v>0.5</v>
      </c>
      <c r="AC4" s="15">
        <v>1</v>
      </c>
      <c r="AD4" s="31">
        <v>1.5</v>
      </c>
      <c r="AE4" s="15">
        <v>2</v>
      </c>
      <c r="AF4" s="31">
        <v>2.5</v>
      </c>
      <c r="AG4" s="15">
        <v>3</v>
      </c>
      <c r="AH4" s="1" t="s">
        <v>25</v>
      </c>
      <c r="AJ4" s="31">
        <v>0.5</v>
      </c>
      <c r="AK4" s="15">
        <v>1</v>
      </c>
      <c r="AL4" s="31">
        <v>1.5</v>
      </c>
      <c r="AM4" s="15">
        <v>2</v>
      </c>
      <c r="AN4" s="31">
        <v>2.5</v>
      </c>
      <c r="AO4" s="15">
        <v>3</v>
      </c>
    </row>
    <row r="5" spans="1:41">
      <c r="A5" s="20" t="s">
        <v>18</v>
      </c>
      <c r="B5" s="27">
        <v>0.51800000000000002</v>
      </c>
      <c r="C5" s="1" t="s">
        <v>21</v>
      </c>
      <c r="D5" s="15" t="s">
        <v>111</v>
      </c>
      <c r="E5" s="15">
        <f>COS(E3)</f>
        <v>0.18174776908730045</v>
      </c>
      <c r="F5" s="15">
        <f t="shared" ref="F5:Y5" si="2">COS(F3)</f>
        <v>0.18273102323227955</v>
      </c>
      <c r="G5" s="15">
        <f t="shared" si="2"/>
        <v>0.25400409520727674</v>
      </c>
      <c r="H5" s="15">
        <f t="shared" si="2"/>
        <v>0.32392216556729653</v>
      </c>
      <c r="I5" s="15">
        <f t="shared" si="2"/>
        <v>0.39211225175008269</v>
      </c>
      <c r="J5" s="15">
        <f t="shared" si="2"/>
        <v>0.45821058923905239</v>
      </c>
      <c r="K5" s="15">
        <f t="shared" si="2"/>
        <v>0.52186457208912507</v>
      </c>
      <c r="L5" s="15">
        <f t="shared" si="2"/>
        <v>0.58273463392641511</v>
      </c>
      <c r="M5" s="15">
        <f t="shared" si="2"/>
        <v>0.64049605938747145</v>
      </c>
      <c r="N5" s="15">
        <f t="shared" si="2"/>
        <v>0.69484071633482103</v>
      </c>
      <c r="O5" s="15">
        <f t="shared" si="2"/>
        <v>0.74547869960819868</v>
      </c>
      <c r="P5" s="15">
        <f t="shared" si="2"/>
        <v>0.79213987754276405</v>
      </c>
      <c r="Q5" s="15">
        <f t="shared" si="2"/>
        <v>0.8345753330043012</v>
      </c>
      <c r="R5" s="15">
        <f t="shared" si="2"/>
        <v>0.87255869125410457</v>
      </c>
      <c r="S5" s="15">
        <f t="shared" si="2"/>
        <v>0.90588732755996748</v>
      </c>
      <c r="T5" s="15">
        <f t="shared" si="2"/>
        <v>0.93438344811119345</v>
      </c>
      <c r="U5" s="15">
        <f t="shared" si="2"/>
        <v>0.95789503847141677</v>
      </c>
      <c r="V5" s="15">
        <f t="shared" si="2"/>
        <v>0.9762966745096493</v>
      </c>
      <c r="W5" s="15">
        <f t="shared" si="2"/>
        <v>0.98949019148358752</v>
      </c>
      <c r="X5" s="15">
        <f t="shared" si="2"/>
        <v>0.99740520770591146</v>
      </c>
      <c r="Y5" s="15">
        <f t="shared" si="2"/>
        <v>0.99999950000004167</v>
      </c>
      <c r="AA5" s="16">
        <v>0.5</v>
      </c>
      <c r="AB5" s="15"/>
      <c r="AC5" s="15"/>
      <c r="AD5" s="15"/>
      <c r="AE5" s="15"/>
      <c r="AF5" s="15"/>
      <c r="AG5" s="15"/>
      <c r="AI5" s="16">
        <v>0.5</v>
      </c>
      <c r="AJ5" s="63"/>
      <c r="AK5" s="63"/>
      <c r="AL5" s="63"/>
      <c r="AM5" s="63"/>
      <c r="AN5" s="63"/>
      <c r="AO5" s="63"/>
    </row>
    <row r="6" spans="1:41">
      <c r="A6" s="20" t="s">
        <v>19</v>
      </c>
      <c r="B6" s="96">
        <v>-1.7529999999999999</v>
      </c>
      <c r="C6" s="1" t="s">
        <v>22</v>
      </c>
      <c r="D6" s="15" t="s">
        <v>122</v>
      </c>
      <c r="E6" s="15">
        <f t="shared" ref="E6:Y6" si="3">(MR+E5)</f>
        <v>4.1920450832404601</v>
      </c>
      <c r="F6" s="15">
        <f t="shared" si="3"/>
        <v>4.1930283373854396</v>
      </c>
      <c r="G6" s="15">
        <f t="shared" si="3"/>
        <v>4.2643014093604368</v>
      </c>
      <c r="H6" s="15">
        <f t="shared" si="3"/>
        <v>4.3342194797204563</v>
      </c>
      <c r="I6" s="15">
        <f t="shared" si="3"/>
        <v>4.4024095659032429</v>
      </c>
      <c r="J6" s="15">
        <f t="shared" si="3"/>
        <v>4.4685079033922124</v>
      </c>
      <c r="K6" s="15">
        <f t="shared" si="3"/>
        <v>4.5321618862422852</v>
      </c>
      <c r="L6" s="15">
        <f t="shared" si="3"/>
        <v>4.5930319480795747</v>
      </c>
      <c r="M6" s="15">
        <f t="shared" si="3"/>
        <v>4.6507933735406315</v>
      </c>
      <c r="N6" s="15">
        <f t="shared" si="3"/>
        <v>4.7051380304879808</v>
      </c>
      <c r="O6" s="15">
        <f t="shared" si="3"/>
        <v>4.7557760137613583</v>
      </c>
      <c r="P6" s="15">
        <f t="shared" si="3"/>
        <v>4.8024371916959243</v>
      </c>
      <c r="Q6" s="15">
        <f t="shared" si="3"/>
        <v>4.8448726471574615</v>
      </c>
      <c r="R6" s="15">
        <f t="shared" si="3"/>
        <v>4.8828560054072643</v>
      </c>
      <c r="S6" s="15">
        <f t="shared" si="3"/>
        <v>4.9161846417131274</v>
      </c>
      <c r="T6" s="15">
        <f t="shared" si="3"/>
        <v>4.9446807622643529</v>
      </c>
      <c r="U6" s="15">
        <f t="shared" si="3"/>
        <v>4.9681923526245768</v>
      </c>
      <c r="V6" s="15">
        <f t="shared" si="3"/>
        <v>4.9865939886628095</v>
      </c>
      <c r="W6" s="15">
        <f t="shared" si="3"/>
        <v>4.9997875056367471</v>
      </c>
      <c r="X6" s="15">
        <f t="shared" si="3"/>
        <v>5.0077025218590716</v>
      </c>
      <c r="Y6" s="15">
        <f t="shared" si="3"/>
        <v>5.010296814153202</v>
      </c>
      <c r="AA6" s="16">
        <v>1</v>
      </c>
      <c r="AB6" s="31">
        <v>9.4E-2</v>
      </c>
      <c r="AC6" s="31">
        <v>0.19400000000000001</v>
      </c>
      <c r="AD6" s="31">
        <v>0.318</v>
      </c>
      <c r="AE6" s="31">
        <v>0.46899999999999997</v>
      </c>
      <c r="AF6" s="31">
        <v>0.67900000000000005</v>
      </c>
      <c r="AG6" s="31">
        <v>0.999</v>
      </c>
      <c r="AH6" s="28"/>
      <c r="AI6" s="20">
        <v>1</v>
      </c>
      <c r="AJ6" s="73" t="s">
        <v>185</v>
      </c>
      <c r="AK6" s="73" t="s">
        <v>181</v>
      </c>
      <c r="AL6" s="73" t="s">
        <v>184</v>
      </c>
      <c r="AM6" s="73" t="s">
        <v>183</v>
      </c>
      <c r="AN6" s="73" t="s">
        <v>192</v>
      </c>
      <c r="AO6" s="73" t="s">
        <v>194</v>
      </c>
    </row>
    <row r="7" spans="1:41">
      <c r="A7" s="20" t="s">
        <v>20</v>
      </c>
      <c r="B7" s="96">
        <v>-0.32400000000000001</v>
      </c>
      <c r="C7" s="1" t="s">
        <v>22</v>
      </c>
      <c r="D7" s="15" t="s">
        <v>116</v>
      </c>
      <c r="E7" s="15">
        <f t="shared" ref="E7:Y7" si="4">POWER(TAN(E3/2),MR)</f>
        <v>0.47852308581165387</v>
      </c>
      <c r="F7" s="15">
        <f t="shared" si="4"/>
        <v>0.47657535772743065</v>
      </c>
      <c r="G7" s="15">
        <f t="shared" si="4"/>
        <v>0.35295036324733375</v>
      </c>
      <c r="H7" s="15">
        <f t="shared" si="4"/>
        <v>0.25987575964379639</v>
      </c>
      <c r="I7" s="15">
        <f t="shared" si="4"/>
        <v>0.18986526548128385</v>
      </c>
      <c r="J7" s="15">
        <f t="shared" si="4"/>
        <v>0.13734304126942878</v>
      </c>
      <c r="K7" s="15">
        <f t="shared" si="4"/>
        <v>9.8120772927246483E-2</v>
      </c>
      <c r="L7" s="15">
        <f t="shared" si="4"/>
        <v>6.9028337737105733E-2</v>
      </c>
      <c r="M7" s="15">
        <f t="shared" si="4"/>
        <v>4.7649962613981633E-2</v>
      </c>
      <c r="N7" s="15">
        <f t="shared" si="4"/>
        <v>3.2133770970292061E-2</v>
      </c>
      <c r="O7" s="15">
        <f t="shared" si="4"/>
        <v>2.1052995729404469E-2</v>
      </c>
      <c r="P7" s="15">
        <f t="shared" si="4"/>
        <v>1.3303976318644606E-2</v>
      </c>
      <c r="Q7" s="15">
        <f t="shared" si="4"/>
        <v>8.0306264523714206E-3</v>
      </c>
      <c r="R7" s="15">
        <f t="shared" si="4"/>
        <v>4.5681508924110539E-3</v>
      </c>
      <c r="S7" s="15">
        <f t="shared" si="4"/>
        <v>2.4009068379114867E-3</v>
      </c>
      <c r="T7" s="15">
        <f t="shared" si="4"/>
        <v>1.1307733718552778E-3</v>
      </c>
      <c r="U7" s="15">
        <f t="shared" si="4"/>
        <v>4.5342198959375538E-4</v>
      </c>
      <c r="V7" s="15">
        <f t="shared" si="4"/>
        <v>1.4061235754583997E-4</v>
      </c>
      <c r="W7" s="15">
        <f t="shared" si="4"/>
        <v>2.7163251407778145E-5</v>
      </c>
      <c r="X7" s="15">
        <f t="shared" si="4"/>
        <v>1.6308422234305552E-6</v>
      </c>
      <c r="Y7" s="15">
        <f t="shared" si="4"/>
        <v>5.7794754008457348E-14</v>
      </c>
      <c r="AA7" s="16">
        <v>1.5</v>
      </c>
      <c r="AB7" s="31"/>
      <c r="AC7" s="31"/>
      <c r="AD7" s="31"/>
      <c r="AE7" s="31"/>
      <c r="AF7" s="31"/>
      <c r="AG7" s="31"/>
      <c r="AH7" s="28"/>
      <c r="AI7" s="20">
        <v>1.5</v>
      </c>
      <c r="AJ7" s="73"/>
      <c r="AK7" s="73"/>
      <c r="AL7" s="73"/>
      <c r="AM7" s="73"/>
      <c r="AN7" s="73"/>
      <c r="AO7" s="73"/>
    </row>
    <row r="8" spans="1:41">
      <c r="A8" s="20" t="s">
        <v>118</v>
      </c>
      <c r="B8" s="18">
        <f>SQRT(vxupR*vxupR+vyupR*vyupR)</f>
        <v>1.7826903825398284</v>
      </c>
      <c r="C8" s="1" t="s">
        <v>22</v>
      </c>
      <c r="D8" s="15" t="s">
        <v>117</v>
      </c>
      <c r="E8" s="15">
        <f>SIN(E3)</f>
        <v>0.98334518274702976</v>
      </c>
      <c r="F8" s="15">
        <f t="shared" ref="F8:Y8" si="5">SIN(F3)</f>
        <v>0.98316294333568333</v>
      </c>
      <c r="G8" s="15">
        <f t="shared" si="5"/>
        <v>0.9672031428908473</v>
      </c>
      <c r="H8" s="15">
        <f t="shared" si="5"/>
        <v>0.94608373342648322</v>
      </c>
      <c r="I8" s="15">
        <f t="shared" si="5"/>
        <v>0.91991737782666105</v>
      </c>
      <c r="J8" s="15">
        <f t="shared" si="5"/>
        <v>0.88884366224280431</v>
      </c>
      <c r="K8" s="15">
        <f t="shared" si="5"/>
        <v>0.85302835146215061</v>
      </c>
      <c r="L8" s="15">
        <f t="shared" si="5"/>
        <v>0.81266250462455014</v>
      </c>
      <c r="M8" s="15">
        <f t="shared" si="5"/>
        <v>0.76796145600487054</v>
      </c>
      <c r="N8" s="15">
        <f t="shared" si="5"/>
        <v>0.71916366629809159</v>
      </c>
      <c r="O8" s="15">
        <f t="shared" si="5"/>
        <v>0.66652945053498502</v>
      </c>
      <c r="P8" s="15">
        <f t="shared" si="5"/>
        <v>0.61033958941439703</v>
      </c>
      <c r="Q8" s="15">
        <f t="shared" si="5"/>
        <v>0.55089383146007331</v>
      </c>
      <c r="R8" s="15">
        <f t="shared" si="5"/>
        <v>0.48850929399237042</v>
      </c>
      <c r="S8" s="15">
        <f t="shared" si="5"/>
        <v>0.42351877144497396</v>
      </c>
      <c r="T8" s="15">
        <f t="shared" si="5"/>
        <v>0.35626896005102182</v>
      </c>
      <c r="U8" s="15">
        <f t="shared" si="5"/>
        <v>0.28711860836915987</v>
      </c>
      <c r="V8" s="15">
        <f t="shared" si="5"/>
        <v>0.21643660351567146</v>
      </c>
      <c r="W8" s="15">
        <f t="shared" si="5"/>
        <v>0.14460000331180228</v>
      </c>
      <c r="X8" s="15">
        <f t="shared" si="5"/>
        <v>7.1992024843919825E-2</v>
      </c>
      <c r="Y8" s="15">
        <f t="shared" si="5"/>
        <v>9.9999983333322979E-4</v>
      </c>
      <c r="AA8" s="16">
        <v>2</v>
      </c>
      <c r="AB8" s="31">
        <v>0.126</v>
      </c>
      <c r="AC8" s="31">
        <v>0.27200000000000002</v>
      </c>
      <c r="AD8" s="31">
        <v>0.45300000000000001</v>
      </c>
      <c r="AE8" s="65">
        <v>0.68</v>
      </c>
      <c r="AF8" s="31">
        <v>0.99399999999999999</v>
      </c>
      <c r="AG8" s="31">
        <v>1.4339999999999999</v>
      </c>
      <c r="AH8" s="28"/>
      <c r="AI8" s="20">
        <v>2</v>
      </c>
      <c r="AJ8" s="73" t="s">
        <v>170</v>
      </c>
      <c r="AK8" s="73" t="s">
        <v>169</v>
      </c>
      <c r="AL8" s="73" t="s">
        <v>168</v>
      </c>
      <c r="AM8" s="72" t="s">
        <v>198</v>
      </c>
      <c r="AN8" s="73" t="s">
        <v>166</v>
      </c>
      <c r="AO8" s="73" t="s">
        <v>167</v>
      </c>
    </row>
    <row r="9" spans="1:41">
      <c r="A9" s="20" t="s">
        <v>110</v>
      </c>
      <c r="B9" s="60">
        <f>ATAN(vyupR/vxupR)</f>
        <v>1.3880327955800225</v>
      </c>
      <c r="C9" s="1" t="s">
        <v>120</v>
      </c>
      <c r="D9" s="15" t="s">
        <v>119</v>
      </c>
      <c r="E9" s="15">
        <f>(E6*ZZ2null*E7/E8/N2null/N3null)</f>
        <v>0.99999999999999989</v>
      </c>
      <c r="F9" s="15">
        <f t="shared" ref="F9:Y9" si="6">(F6*ZZ2null*F7/F8/N2null/N3null)</f>
        <v>0.99634795610693194</v>
      </c>
      <c r="G9" s="15">
        <f t="shared" si="6"/>
        <v>0.76281808942200247</v>
      </c>
      <c r="H9" s="15">
        <f t="shared" si="6"/>
        <v>0.5836120514121047</v>
      </c>
      <c r="I9" s="15">
        <f t="shared" si="6"/>
        <v>0.44541444429847538</v>
      </c>
      <c r="J9" s="15">
        <f t="shared" si="6"/>
        <v>0.33847061118109029</v>
      </c>
      <c r="K9" s="15">
        <f t="shared" si="6"/>
        <v>0.255552459115863</v>
      </c>
      <c r="L9" s="15">
        <f t="shared" si="6"/>
        <v>0.19124664034077446</v>
      </c>
      <c r="M9" s="15">
        <f t="shared" si="6"/>
        <v>0.14145794387244356</v>
      </c>
      <c r="N9" s="15">
        <f t="shared" si="6"/>
        <v>0.10305842000050448</v>
      </c>
      <c r="O9" s="15">
        <f t="shared" si="6"/>
        <v>7.3636494644849601E-2</v>
      </c>
      <c r="P9" s="15">
        <f t="shared" si="6"/>
        <v>5.1315524350124146E-2</v>
      </c>
      <c r="Q9" s="15">
        <f t="shared" si="6"/>
        <v>3.4621113877200148E-2</v>
      </c>
      <c r="R9" s="15">
        <f t="shared" si="6"/>
        <v>2.2383019994427537E-2</v>
      </c>
      <c r="S9" s="15">
        <f t="shared" si="6"/>
        <v>1.3661801954706917E-2</v>
      </c>
      <c r="T9" s="15">
        <f t="shared" si="6"/>
        <v>7.6933058821259826E-3</v>
      </c>
      <c r="U9" s="15">
        <f t="shared" si="6"/>
        <v>3.8460665542483846E-3</v>
      </c>
      <c r="V9" s="15">
        <f t="shared" si="6"/>
        <v>1.5880857331986538E-3</v>
      </c>
      <c r="W9" s="15">
        <f t="shared" si="6"/>
        <v>4.6040724866086504E-4</v>
      </c>
      <c r="X9" s="15">
        <f t="shared" si="6"/>
        <v>5.5608763170847264E-5</v>
      </c>
      <c r="Y9" s="15">
        <f t="shared" si="6"/>
        <v>1.4194794248453875E-10</v>
      </c>
      <c r="AA9" s="16">
        <v>2.5</v>
      </c>
      <c r="AB9" s="31"/>
      <c r="AC9" s="31"/>
      <c r="AD9" s="31"/>
      <c r="AE9" s="31"/>
      <c r="AF9" s="31"/>
      <c r="AG9" s="31"/>
      <c r="AH9" s="28"/>
      <c r="AI9" s="20">
        <v>2.5</v>
      </c>
      <c r="AJ9" s="73"/>
      <c r="AK9" s="73"/>
      <c r="AL9" s="73"/>
      <c r="AM9" s="73"/>
      <c r="AN9" s="73"/>
      <c r="AO9" s="73"/>
    </row>
    <row r="10" spans="1:41">
      <c r="A10" s="20" t="s">
        <v>110</v>
      </c>
      <c r="B10" s="18">
        <f>ATAN(vyupR/vxupR)/PI()*180</f>
        <v>79.528421012480237</v>
      </c>
      <c r="C10" s="1" t="s">
        <v>23</v>
      </c>
      <c r="D10" s="17" t="s">
        <v>9</v>
      </c>
      <c r="E10" s="17">
        <f>voR*(MR+unull)/9.81/SIN(ThetaR/180*PI())/(1-MR*MR)*(E9-1)</f>
        <v>3.2130307435551164E-16</v>
      </c>
      <c r="F10" s="17">
        <f>voR*(MR+unull)/9.81/SIN(ThetaR/180*PI())/(1-MR*MR)*(F9-1)</f>
        <v>1.0569164073319561E-2</v>
      </c>
      <c r="G10" s="17">
        <f t="shared" ref="G10:Y10" si="7">voR*(MR+unull)/9.81/SIN(ThetaR/180*PI())/(1-MR*MR)*(G9-1)</f>
        <v>0.68641412905262378</v>
      </c>
      <c r="H10" s="17">
        <f t="shared" si="7"/>
        <v>1.2050437167887573</v>
      </c>
      <c r="I10" s="17">
        <f t="shared" si="7"/>
        <v>1.6049932318798905</v>
      </c>
      <c r="J10" s="17">
        <f t="shared" si="7"/>
        <v>1.914493049500589</v>
      </c>
      <c r="K10" s="17">
        <f t="shared" si="7"/>
        <v>2.1544615656231074</v>
      </c>
      <c r="L10" s="17">
        <f t="shared" si="7"/>
        <v>2.3405652295996342</v>
      </c>
      <c r="M10" s="17">
        <f t="shared" si="7"/>
        <v>2.4846557491493368</v>
      </c>
      <c r="N10" s="17">
        <f t="shared" si="7"/>
        <v>2.5957855383915258</v>
      </c>
      <c r="O10" s="17">
        <f t="shared" si="7"/>
        <v>2.680933791134906</v>
      </c>
      <c r="P10" s="17">
        <f t="shared" si="7"/>
        <v>2.7455315901286239</v>
      </c>
      <c r="Q10" s="17">
        <f t="shared" si="7"/>
        <v>2.7938458953675589</v>
      </c>
      <c r="R10" s="17">
        <f t="shared" si="7"/>
        <v>2.8292634385239332</v>
      </c>
      <c r="S10" s="17">
        <f t="shared" si="7"/>
        <v>2.8545029994601974</v>
      </c>
      <c r="T10" s="17">
        <f t="shared" si="7"/>
        <v>2.8717760706797972</v>
      </c>
      <c r="U10" s="17">
        <f t="shared" si="7"/>
        <v>2.8829101383077487</v>
      </c>
      <c r="V10" s="17">
        <f t="shared" si="7"/>
        <v>2.8894448269563111</v>
      </c>
      <c r="W10" s="17">
        <f t="shared" si="7"/>
        <v>2.8927083745132438</v>
      </c>
      <c r="X10" s="17">
        <f t="shared" si="7"/>
        <v>2.8938798778508392</v>
      </c>
      <c r="Y10" s="17">
        <f t="shared" si="7"/>
        <v>2.894040811470151</v>
      </c>
      <c r="AA10" s="16">
        <v>3</v>
      </c>
      <c r="AB10" s="31">
        <v>0.17</v>
      </c>
      <c r="AC10" s="31">
        <v>0.372</v>
      </c>
      <c r="AD10" s="31">
        <v>0.623</v>
      </c>
      <c r="AE10" s="31">
        <v>0.94299999999999995</v>
      </c>
      <c r="AF10" s="31">
        <v>1.3620000000000001</v>
      </c>
      <c r="AG10" s="31">
        <v>1.931</v>
      </c>
      <c r="AH10" s="28"/>
      <c r="AI10" s="20">
        <v>3</v>
      </c>
      <c r="AJ10" s="73" t="s">
        <v>178</v>
      </c>
      <c r="AK10" s="73" t="s">
        <v>179</v>
      </c>
      <c r="AL10" s="73" t="s">
        <v>171</v>
      </c>
      <c r="AM10" s="73" t="s">
        <v>186</v>
      </c>
      <c r="AN10" s="73" t="s">
        <v>191</v>
      </c>
      <c r="AO10" s="73" t="s">
        <v>195</v>
      </c>
    </row>
    <row r="11" spans="1:41">
      <c r="A11" s="20" t="s">
        <v>112</v>
      </c>
      <c r="B11" s="16">
        <f>COS(alphanull)</f>
        <v>0.18174776908730045</v>
      </c>
      <c r="D11" s="68" t="s">
        <v>7</v>
      </c>
      <c r="E11" s="69">
        <f t="shared" ref="E11:Y11" si="8">-(-yupR+Konst*((POWER(TAN(E3/2),2*MR-1)/(2*MR-1))+(POWER(TAN(E3/2),2*MR+1)/(2*MR+1))-(POWER(TAN(alphanull/2),2*MR-1)/(2*MR-1))-(POWER(TAN(alphanull/2),2*MR+1)/(2*MR+1))))</f>
        <v>1.9320000000000002</v>
      </c>
      <c r="F11" s="69">
        <f t="shared" si="8"/>
        <v>1.9135099631979111</v>
      </c>
      <c r="G11" s="69">
        <f t="shared" si="8"/>
        <v>0.88702951091336035</v>
      </c>
      <c r="H11" s="69">
        <f t="shared" si="8"/>
        <v>0.30519118194471972</v>
      </c>
      <c r="I11" s="69">
        <f t="shared" si="8"/>
        <v>-2.4041046155066192E-2</v>
      </c>
      <c r="J11" s="69">
        <f t="shared" si="8"/>
        <v>-0.20936707960856449</v>
      </c>
      <c r="K11" s="69">
        <f t="shared" si="8"/>
        <v>-0.31274644171429733</v>
      </c>
      <c r="L11" s="69">
        <f t="shared" si="8"/>
        <v>-0.36964483730706466</v>
      </c>
      <c r="M11" s="69">
        <f t="shared" si="8"/>
        <v>-0.4003865128932298</v>
      </c>
      <c r="N11" s="69">
        <f t="shared" si="8"/>
        <v>-0.41659244175457832</v>
      </c>
      <c r="O11" s="69">
        <f t="shared" si="8"/>
        <v>-0.4248659115682023</v>
      </c>
      <c r="P11" s="69">
        <f t="shared" si="8"/>
        <v>-0.42891774223718393</v>
      </c>
      <c r="Q11" s="69">
        <f t="shared" si="8"/>
        <v>-0.43079786643265994</v>
      </c>
      <c r="R11" s="69">
        <f t="shared" si="8"/>
        <v>-0.43161073642358572</v>
      </c>
      <c r="S11" s="69">
        <f t="shared" si="8"/>
        <v>-0.43193056524020879</v>
      </c>
      <c r="T11" s="69">
        <f t="shared" si="8"/>
        <v>-0.4320411629901928</v>
      </c>
      <c r="U11" s="69">
        <f t="shared" si="8"/>
        <v>-0.43207298535638516</v>
      </c>
      <c r="V11" s="69">
        <f t="shared" si="8"/>
        <v>-0.43207992550342222</v>
      </c>
      <c r="W11" s="69">
        <f t="shared" si="8"/>
        <v>-0.43208088586198912</v>
      </c>
      <c r="X11" s="69">
        <f t="shared" si="8"/>
        <v>-0.43208094235440964</v>
      </c>
      <c r="Y11" s="69">
        <f t="shared" si="8"/>
        <v>-0.43208094276676778</v>
      </c>
      <c r="Z11" s="170">
        <f>SQRT(Y11*Y11+Y12*Y12)</f>
        <v>0.49836804493790265</v>
      </c>
      <c r="AA11" s="16">
        <v>3.5</v>
      </c>
      <c r="AB11" s="31"/>
      <c r="AC11" s="31"/>
      <c r="AD11" s="31"/>
      <c r="AE11" s="31"/>
      <c r="AF11" s="31"/>
      <c r="AG11" s="31"/>
      <c r="AH11" s="28"/>
      <c r="AI11" s="20">
        <v>3.5</v>
      </c>
      <c r="AJ11" s="73"/>
      <c r="AK11" s="73"/>
      <c r="AL11" s="73"/>
      <c r="AM11" s="73"/>
      <c r="AN11" s="73"/>
      <c r="AO11" s="73"/>
    </row>
    <row r="12" spans="1:41">
      <c r="A12" s="20" t="s">
        <v>121</v>
      </c>
      <c r="B12" s="16">
        <f>SIN(alphanull)</f>
        <v>0.98334518274702976</v>
      </c>
      <c r="D12" s="70" t="s">
        <v>6</v>
      </c>
      <c r="E12" s="71">
        <f t="shared" ref="E12:Y12" si="9">-(-xupR+0.5*Konst*((POWER(TAN(E3/2),2*MR-2)/(2*MR-2))-(POWER(TAN(E3/2),2*MR+2)/(2*MR+2))-(POWER(TAN(alphanull/2),2*MR-2)/(2*MR-2))+(POWER(TAN(alphanull/2),2*MR+2)/(2*MR+2))))</f>
        <v>0.51800000000000002</v>
      </c>
      <c r="F12" s="71">
        <f t="shared" si="9"/>
        <v>0.51457301062173555</v>
      </c>
      <c r="G12" s="71">
        <f t="shared" si="9"/>
        <v>0.28831778649307771</v>
      </c>
      <c r="H12" s="71">
        <f t="shared" si="9"/>
        <v>0.11466635138477155</v>
      </c>
      <c r="I12" s="71">
        <f t="shared" si="9"/>
        <v>-1.0426439302752E-2</v>
      </c>
      <c r="J12" s="71">
        <f t="shared" si="9"/>
        <v>-9.6805408614937027E-2</v>
      </c>
      <c r="K12" s="71">
        <f t="shared" si="9"/>
        <v>-0.15452062940981059</v>
      </c>
      <c r="L12" s="71">
        <f t="shared" si="9"/>
        <v>-0.19197658842445042</v>
      </c>
      <c r="M12" s="71">
        <f t="shared" si="9"/>
        <v>-0.21559775072073928</v>
      </c>
      <c r="N12" s="71">
        <f t="shared" si="9"/>
        <v>-0.23004528080997022</v>
      </c>
      <c r="O12" s="71">
        <f t="shared" si="9"/>
        <v>-0.23858090859511649</v>
      </c>
      <c r="P12" s="71">
        <f t="shared" si="9"/>
        <v>-0.24342117873379332</v>
      </c>
      <c r="Q12" s="71">
        <f t="shared" si="9"/>
        <v>-0.24603152646392834</v>
      </c>
      <c r="R12" s="71">
        <f t="shared" si="9"/>
        <v>-0.24735283116837747</v>
      </c>
      <c r="S12" s="71">
        <f t="shared" si="9"/>
        <v>-0.24796867650335241</v>
      </c>
      <c r="T12" s="71">
        <f t="shared" si="9"/>
        <v>-0.24822546979603755</v>
      </c>
      <c r="U12" s="71">
        <f t="shared" si="9"/>
        <v>-0.24831696831994587</v>
      </c>
      <c r="V12" s="71">
        <f t="shared" si="9"/>
        <v>-0.24834271131471775</v>
      </c>
      <c r="W12" s="71">
        <f t="shared" si="9"/>
        <v>-0.24834762191516235</v>
      </c>
      <c r="X12" s="71">
        <f t="shared" si="9"/>
        <v>-0.24834806985988267</v>
      </c>
      <c r="Y12" s="71">
        <f t="shared" si="9"/>
        <v>-0.24834807652367374</v>
      </c>
      <c r="Z12" s="170"/>
      <c r="AA12" s="16">
        <v>4</v>
      </c>
      <c r="AB12" s="31">
        <v>0.223</v>
      </c>
      <c r="AC12" s="31">
        <v>0.48699999999999999</v>
      </c>
      <c r="AD12" s="31">
        <v>0.81699999999999995</v>
      </c>
      <c r="AE12" s="31">
        <v>1.23</v>
      </c>
      <c r="AF12" s="31">
        <v>1.7609999999999999</v>
      </c>
      <c r="AG12" s="31">
        <v>2.4590000000000001</v>
      </c>
      <c r="AH12" s="28"/>
      <c r="AI12" s="20">
        <v>4</v>
      </c>
      <c r="AJ12" s="73" t="s">
        <v>177</v>
      </c>
      <c r="AK12" s="73" t="s">
        <v>180</v>
      </c>
      <c r="AL12" s="73" t="s">
        <v>172</v>
      </c>
      <c r="AM12" s="73" t="s">
        <v>187</v>
      </c>
      <c r="AN12" s="73" t="s">
        <v>190</v>
      </c>
      <c r="AO12" s="73" t="s">
        <v>196</v>
      </c>
    </row>
    <row r="13" spans="1:41">
      <c r="A13" s="20" t="s">
        <v>114</v>
      </c>
      <c r="B13" s="16">
        <f>MR+unull</f>
        <v>4.1920450832404601</v>
      </c>
      <c r="D13" s="66" t="s">
        <v>10</v>
      </c>
      <c r="E13" s="67">
        <f t="shared" ref="E13:Y13" si="10">-voR*SIN(E3)*(MR+unull)/(MR+E5)*E9</f>
        <v>-1.7529999999999997</v>
      </c>
      <c r="F13" s="67">
        <f t="shared" si="10"/>
        <v>-1.7458647803358285</v>
      </c>
      <c r="G13" s="67">
        <f t="shared" si="10"/>
        <v>-1.2929825229291114</v>
      </c>
      <c r="H13" s="67">
        <f t="shared" si="10"/>
        <v>-0.95201719658491835</v>
      </c>
      <c r="I13" s="67">
        <f t="shared" si="10"/>
        <v>-0.69554389382102566</v>
      </c>
      <c r="J13" s="67">
        <f t="shared" si="10"/>
        <v>-0.50313633445069028</v>
      </c>
      <c r="K13" s="67">
        <f t="shared" si="10"/>
        <v>-0.35945123661006473</v>
      </c>
      <c r="L13" s="67">
        <f t="shared" si="10"/>
        <v>-0.25287531498694382</v>
      </c>
      <c r="M13" s="67">
        <f t="shared" si="10"/>
        <v>-0.17455873486360332</v>
      </c>
      <c r="N13" s="67">
        <f t="shared" si="10"/>
        <v>-0.11771741464756331</v>
      </c>
      <c r="O13" s="67">
        <f t="shared" si="10"/>
        <v>-7.7124599852998868E-2</v>
      </c>
      <c r="P13" s="67">
        <f t="shared" si="10"/>
        <v>-4.8737189862065405E-2</v>
      </c>
      <c r="Q13" s="67">
        <f t="shared" si="10"/>
        <v>-2.9419036590740494E-2</v>
      </c>
      <c r="R13" s="67">
        <f t="shared" si="10"/>
        <v>-1.6734758994571278E-2</v>
      </c>
      <c r="S13" s="67">
        <f t="shared" si="10"/>
        <v>-8.7953743751360228E-3</v>
      </c>
      <c r="T13" s="67">
        <f t="shared" si="10"/>
        <v>-4.1424244297432102E-3</v>
      </c>
      <c r="U13" s="67">
        <f t="shared" si="10"/>
        <v>-1.6610457704661396E-3</v>
      </c>
      <c r="V13" s="67">
        <f t="shared" si="10"/>
        <v>-5.1511300099505971E-4</v>
      </c>
      <c r="W13" s="67">
        <f t="shared" si="10"/>
        <v>-9.9508636322255003E-5</v>
      </c>
      <c r="X13" s="67">
        <f t="shared" si="10"/>
        <v>-5.9743542212277093E-6</v>
      </c>
      <c r="Y13" s="67">
        <f t="shared" si="10"/>
        <v>-2.1172270843522665E-13</v>
      </c>
      <c r="AA13" s="16">
        <v>4.5</v>
      </c>
      <c r="AB13" s="31"/>
      <c r="AC13" s="31"/>
      <c r="AD13" s="31"/>
      <c r="AE13" s="31"/>
      <c r="AF13" s="31"/>
      <c r="AG13" s="31"/>
      <c r="AH13" s="28"/>
      <c r="AI13" s="20">
        <v>4.5</v>
      </c>
      <c r="AJ13" s="73"/>
      <c r="AK13" s="73"/>
      <c r="AL13" s="73"/>
      <c r="AM13" s="73"/>
      <c r="AN13" s="73"/>
      <c r="AO13" s="73"/>
    </row>
    <row r="14" spans="1:41">
      <c r="A14" s="20" t="s">
        <v>115</v>
      </c>
      <c r="B14" s="16">
        <f>POWER(TAN(alphanull/2),MR)</f>
        <v>0.47852308581165387</v>
      </c>
      <c r="D14" s="61" t="s">
        <v>11</v>
      </c>
      <c r="E14" s="15">
        <f t="shared" ref="E14:Y14" si="11">-voR*COS(E3)*(MR+unull)/(MR+E5)*E9</f>
        <v>-0.32399999999999995</v>
      </c>
      <c r="F14" s="15">
        <f t="shared" si="11"/>
        <v>-0.32448706483340273</v>
      </c>
      <c r="G14" s="15">
        <f t="shared" si="11"/>
        <v>-0.33955933484026607</v>
      </c>
      <c r="H14" s="15">
        <f t="shared" si="11"/>
        <v>-0.32595367733278602</v>
      </c>
      <c r="I14" s="15">
        <f t="shared" si="11"/>
        <v>-0.29647367140897002</v>
      </c>
      <c r="J14" s="15">
        <f t="shared" si="11"/>
        <v>-0.25937339272297222</v>
      </c>
      <c r="K14" s="15">
        <f t="shared" si="11"/>
        <v>-0.21990460863215697</v>
      </c>
      <c r="L14" s="15">
        <f t="shared" si="11"/>
        <v>-0.18132890747312572</v>
      </c>
      <c r="M14" s="15">
        <f t="shared" si="11"/>
        <v>-0.14558566831392028</v>
      </c>
      <c r="N14" s="15">
        <f t="shared" si="11"/>
        <v>-0.1137360750437193</v>
      </c>
      <c r="O14" s="15">
        <f t="shared" si="11"/>
        <v>-8.6259873978664442E-2</v>
      </c>
      <c r="P14" s="15">
        <f t="shared" si="11"/>
        <v>-6.3254411607408439E-2</v>
      </c>
      <c r="Q14" s="15">
        <f t="shared" si="11"/>
        <v>-4.4568301290123333E-2</v>
      </c>
      <c r="R14" s="15">
        <f t="shared" si="11"/>
        <v>-2.989105752199675E-2</v>
      </c>
      <c r="S14" s="15">
        <f t="shared" si="11"/>
        <v>-1.8812904467958368E-2</v>
      </c>
      <c r="T14" s="15">
        <f t="shared" si="11"/>
        <v>-1.0864299886381313E-2</v>
      </c>
      <c r="U14" s="15">
        <f t="shared" si="11"/>
        <v>-5.5416383885425365E-3</v>
      </c>
      <c r="V14" s="15">
        <f t="shared" si="11"/>
        <v>-2.3235585002688739E-3</v>
      </c>
      <c r="W14" s="15">
        <f t="shared" si="11"/>
        <v>-6.8093234684415949E-4</v>
      </c>
      <c r="X14" s="15">
        <f t="shared" si="11"/>
        <v>-8.2771001730417009E-5</v>
      </c>
      <c r="Y14" s="15">
        <f t="shared" si="11"/>
        <v>-2.1172263786100949E-10</v>
      </c>
      <c r="AA14" s="16">
        <v>5</v>
      </c>
      <c r="AB14" s="31">
        <v>0.27400000000000002</v>
      </c>
      <c r="AC14" s="31">
        <v>0.60899999999999999</v>
      </c>
      <c r="AD14" s="31">
        <v>1.02</v>
      </c>
      <c r="AE14" s="31">
        <v>1.53</v>
      </c>
      <c r="AF14" s="31">
        <v>2.181</v>
      </c>
      <c r="AG14" s="31">
        <v>3.0009999999999999</v>
      </c>
      <c r="AH14" s="28"/>
      <c r="AI14" s="20">
        <v>5</v>
      </c>
      <c r="AJ14" s="73" t="s">
        <v>176</v>
      </c>
      <c r="AK14" s="73" t="s">
        <v>182</v>
      </c>
      <c r="AL14" s="73" t="s">
        <v>173</v>
      </c>
      <c r="AM14" s="73" t="s">
        <v>188</v>
      </c>
      <c r="AN14" s="73" t="s">
        <v>189</v>
      </c>
      <c r="AO14" s="73" t="s">
        <v>197</v>
      </c>
    </row>
    <row r="15" spans="1:41">
      <c r="A15" s="20" t="s">
        <v>123</v>
      </c>
      <c r="B15" s="16">
        <f>-voR*voR*SIN(alphanull)*SIN(alphanull)/(2*9.81*SIN(ThetaR/180*PI())*POWER(TAN(alphanull/2),2*MR))</f>
        <v>-39.192568077113982</v>
      </c>
      <c r="D15" s="40" t="s">
        <v>15</v>
      </c>
      <c r="E15" s="19">
        <f>SQRT(E13*E13+E14*E14)</f>
        <v>1.7826903825398281</v>
      </c>
      <c r="F15" s="19">
        <f t="shared" ref="F15:Y15" si="12">SQRT(F13*F13+F14*F14)</f>
        <v>1.7757634094837262</v>
      </c>
      <c r="G15" s="19">
        <f t="shared" si="12"/>
        <v>1.3368262214952602</v>
      </c>
      <c r="H15" s="19">
        <f t="shared" si="12"/>
        <v>1.0062716046675337</v>
      </c>
      <c r="I15" s="19">
        <f t="shared" si="12"/>
        <v>0.75609387384796889</v>
      </c>
      <c r="J15" s="19">
        <f t="shared" si="12"/>
        <v>0.56605717723309723</v>
      </c>
      <c r="K15" s="19">
        <f t="shared" si="12"/>
        <v>0.42138252028076212</v>
      </c>
      <c r="L15" s="19">
        <f t="shared" si="12"/>
        <v>0.31116892135164054</v>
      </c>
      <c r="M15" s="19">
        <f t="shared" si="12"/>
        <v>0.22730142704257836</v>
      </c>
      <c r="N15" s="19">
        <f t="shared" si="12"/>
        <v>0.16368654336156319</v>
      </c>
      <c r="O15" s="19">
        <f t="shared" si="12"/>
        <v>0.11571071584473179</v>
      </c>
      <c r="P15" s="19">
        <f t="shared" si="12"/>
        <v>7.9852578314356631E-2</v>
      </c>
      <c r="Q15" s="19">
        <f t="shared" si="12"/>
        <v>5.3402370675977834E-2</v>
      </c>
      <c r="R15" s="19">
        <f t="shared" si="12"/>
        <v>3.4256787333165131E-2</v>
      </c>
      <c r="S15" s="19">
        <f t="shared" si="12"/>
        <v>2.0767377901875994E-2</v>
      </c>
      <c r="T15" s="19">
        <f t="shared" si="12"/>
        <v>1.1627239232825579E-2</v>
      </c>
      <c r="U15" s="19">
        <f t="shared" si="12"/>
        <v>5.78522506744135E-3</v>
      </c>
      <c r="V15" s="19">
        <f t="shared" si="12"/>
        <v>2.3799717452032652E-3</v>
      </c>
      <c r="W15" s="19">
        <f t="shared" si="12"/>
        <v>6.8816482740794707E-4</v>
      </c>
      <c r="X15" s="19">
        <f t="shared" si="12"/>
        <v>8.2986334030473943E-5</v>
      </c>
      <c r="Y15" s="19">
        <f t="shared" si="12"/>
        <v>2.1172274372237252E-10</v>
      </c>
      <c r="AB15" s="158" t="s">
        <v>125</v>
      </c>
      <c r="AC15" s="158"/>
      <c r="AD15" s="158"/>
      <c r="AE15" s="158"/>
      <c r="AF15" s="158"/>
      <c r="AG15" s="158"/>
      <c r="AL15" s="164" t="s">
        <v>124</v>
      </c>
      <c r="AM15" s="164"/>
    </row>
    <row r="16" spans="1:41">
      <c r="D16" s="92" t="s">
        <v>164</v>
      </c>
      <c r="E16" s="29">
        <f>-E14/E13*E11+E12</f>
        <v>0.16091614375356528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AH16" s="64"/>
    </row>
    <row r="17" spans="5:41">
      <c r="E17" s="29">
        <f>-((E12-F12)/(E11-F11)*E11-E12)</f>
        <v>0.15991831797441852</v>
      </c>
      <c r="G17">
        <f>(xupR+0.5*Konst*((POWER(TAN(E3/2),2*MR-2)/(2*MR-2))-(POWER(TAN(E3/2),2*MR+2)/(2*MR+2))-(POWER(TAN(alphanull/2),2*MR-2)/(2*MR-2))+(POWER(TAN(alphanull/2),2*MR+2)/(2*MR+2))))</f>
        <v>0.51800000000000002</v>
      </c>
      <c r="AH17" s="64"/>
      <c r="AI17" t="s">
        <v>174</v>
      </c>
    </row>
    <row r="18" spans="5:41">
      <c r="AH18" s="64"/>
      <c r="AI18" t="s">
        <v>175</v>
      </c>
    </row>
    <row r="19" spans="5:41">
      <c r="H19" t="s">
        <v>42</v>
      </c>
      <c r="AH19" s="64"/>
    </row>
    <row r="20" spans="5:41">
      <c r="AH20" s="64"/>
      <c r="AI20" t="s">
        <v>97</v>
      </c>
    </row>
    <row r="21" spans="5:41">
      <c r="AH21" s="64"/>
      <c r="AI21" t="s">
        <v>193</v>
      </c>
    </row>
    <row r="22" spans="5:41">
      <c r="AH22" s="64"/>
    </row>
    <row r="23" spans="5:41">
      <c r="AH23" s="64"/>
      <c r="AI23" s="56" t="s">
        <v>99</v>
      </c>
    </row>
    <row r="24" spans="5:41">
      <c r="AH24" s="64"/>
      <c r="AI24" t="s">
        <v>320</v>
      </c>
    </row>
    <row r="25" spans="5:41">
      <c r="AH25" s="64"/>
    </row>
    <row r="26" spans="5:41">
      <c r="AI26" s="80" t="s">
        <v>88</v>
      </c>
      <c r="AJ26" s="78">
        <v>0.5</v>
      </c>
      <c r="AK26" s="77">
        <v>1</v>
      </c>
      <c r="AL26" s="114">
        <v>1.5</v>
      </c>
      <c r="AM26" s="77">
        <v>2</v>
      </c>
      <c r="AN26" s="78">
        <v>2.5</v>
      </c>
      <c r="AO26" s="77">
        <v>3</v>
      </c>
    </row>
    <row r="27" spans="5:41">
      <c r="AI27" s="79">
        <v>0.5</v>
      </c>
      <c r="AJ27" s="77"/>
      <c r="AK27" s="77"/>
      <c r="AL27" s="77"/>
      <c r="AM27" s="77"/>
      <c r="AN27" s="77"/>
      <c r="AO27" s="77"/>
    </row>
    <row r="28" spans="5:41">
      <c r="AI28" s="79">
        <v>1</v>
      </c>
      <c r="AJ28" s="77">
        <f t="shared" ref="AJ28:AO28" si="13">$AQ$36*$AQ$35*AJ$26*AJ$26*$AI28</f>
        <v>2.1999999999999999E-2</v>
      </c>
      <c r="AK28" s="77">
        <f t="shared" si="13"/>
        <v>8.7999999999999995E-2</v>
      </c>
      <c r="AL28" s="114">
        <f t="shared" si="13"/>
        <v>0.19800000000000001</v>
      </c>
      <c r="AM28" s="77">
        <f t="shared" si="13"/>
        <v>0.35199999999999998</v>
      </c>
      <c r="AN28" s="77">
        <f t="shared" si="13"/>
        <v>0.54999999999999993</v>
      </c>
      <c r="AO28" s="77">
        <f t="shared" si="13"/>
        <v>0.79200000000000004</v>
      </c>
    </row>
    <row r="29" spans="5:41">
      <c r="AI29" s="79">
        <v>1.5</v>
      </c>
      <c r="AJ29" s="77">
        <f t="shared" ref="AJ29:AO36" si="14">$AQ$36*$AQ$35*AJ$26*AJ$26*$AI29</f>
        <v>3.3000000000000002E-2</v>
      </c>
      <c r="AK29" s="77">
        <f t="shared" si="14"/>
        <v>0.13200000000000001</v>
      </c>
      <c r="AL29" s="114">
        <f t="shared" si="14"/>
        <v>0.29700000000000004</v>
      </c>
      <c r="AM29" s="77">
        <f t="shared" si="14"/>
        <v>0.52800000000000002</v>
      </c>
      <c r="AN29" s="77">
        <f t="shared" si="14"/>
        <v>0.82499999999999996</v>
      </c>
      <c r="AO29" s="77">
        <f t="shared" si="14"/>
        <v>1.1880000000000002</v>
      </c>
    </row>
    <row r="30" spans="5:41">
      <c r="AI30" s="79">
        <v>2</v>
      </c>
      <c r="AJ30" s="77">
        <f t="shared" si="14"/>
        <v>4.3999999999999997E-2</v>
      </c>
      <c r="AK30" s="77">
        <f t="shared" si="14"/>
        <v>0.17599999999999999</v>
      </c>
      <c r="AL30" s="114">
        <f t="shared" si="14"/>
        <v>0.39600000000000002</v>
      </c>
      <c r="AM30" s="77">
        <f t="shared" si="14"/>
        <v>0.70399999999999996</v>
      </c>
      <c r="AN30" s="77">
        <f t="shared" si="14"/>
        <v>1.0999999999999999</v>
      </c>
      <c r="AO30" s="77">
        <f t="shared" si="14"/>
        <v>1.5840000000000001</v>
      </c>
    </row>
    <row r="31" spans="5:41">
      <c r="AI31" s="79">
        <v>2.5</v>
      </c>
      <c r="AJ31" s="77">
        <f t="shared" si="14"/>
        <v>5.4999999999999993E-2</v>
      </c>
      <c r="AK31" s="77">
        <f t="shared" si="14"/>
        <v>0.21999999999999997</v>
      </c>
      <c r="AL31" s="114">
        <f t="shared" si="14"/>
        <v>0.495</v>
      </c>
      <c r="AM31" s="77">
        <f t="shared" si="14"/>
        <v>0.87999999999999989</v>
      </c>
      <c r="AN31" s="77">
        <f t="shared" si="14"/>
        <v>1.3749999999999998</v>
      </c>
      <c r="AO31" s="77">
        <f t="shared" si="14"/>
        <v>1.98</v>
      </c>
    </row>
    <row r="32" spans="5:41">
      <c r="AI32" s="79">
        <v>3</v>
      </c>
      <c r="AJ32" s="77">
        <f t="shared" si="14"/>
        <v>6.6000000000000003E-2</v>
      </c>
      <c r="AK32" s="77">
        <f t="shared" si="14"/>
        <v>0.26400000000000001</v>
      </c>
      <c r="AL32" s="114">
        <f t="shared" si="14"/>
        <v>0.59400000000000008</v>
      </c>
      <c r="AM32" s="77">
        <f t="shared" si="14"/>
        <v>1.056</v>
      </c>
      <c r="AN32" s="77">
        <f t="shared" si="14"/>
        <v>1.65</v>
      </c>
      <c r="AO32" s="77">
        <f t="shared" si="14"/>
        <v>2.3760000000000003</v>
      </c>
    </row>
    <row r="33" spans="35:44">
      <c r="AI33" s="79">
        <v>3.5</v>
      </c>
      <c r="AJ33" s="77">
        <f t="shared" si="14"/>
        <v>7.6999999999999999E-2</v>
      </c>
      <c r="AK33" s="77">
        <f t="shared" si="14"/>
        <v>0.308</v>
      </c>
      <c r="AL33" s="114">
        <f t="shared" si="14"/>
        <v>0.69300000000000006</v>
      </c>
      <c r="AM33" s="77">
        <f t="shared" si="14"/>
        <v>1.232</v>
      </c>
      <c r="AN33" s="77">
        <f t="shared" si="14"/>
        <v>1.9249999999999998</v>
      </c>
      <c r="AO33" s="77">
        <f t="shared" si="14"/>
        <v>2.7720000000000002</v>
      </c>
    </row>
    <row r="34" spans="35:44">
      <c r="AI34" s="79">
        <v>4</v>
      </c>
      <c r="AJ34" s="77">
        <f t="shared" si="14"/>
        <v>8.7999999999999995E-2</v>
      </c>
      <c r="AK34" s="77">
        <f t="shared" si="14"/>
        <v>0.35199999999999998</v>
      </c>
      <c r="AL34" s="114">
        <f t="shared" si="14"/>
        <v>0.79200000000000004</v>
      </c>
      <c r="AM34" s="77">
        <f t="shared" si="14"/>
        <v>1.4079999999999999</v>
      </c>
      <c r="AN34" s="77">
        <f t="shared" si="14"/>
        <v>2.1999999999999997</v>
      </c>
      <c r="AO34" s="77">
        <f t="shared" si="14"/>
        <v>3.1680000000000001</v>
      </c>
    </row>
    <row r="35" spans="35:44">
      <c r="AI35" s="79">
        <v>4.5</v>
      </c>
      <c r="AJ35" s="77">
        <f t="shared" si="14"/>
        <v>9.8999999999999991E-2</v>
      </c>
      <c r="AK35" s="77">
        <f t="shared" si="14"/>
        <v>0.39599999999999996</v>
      </c>
      <c r="AL35" s="114">
        <f t="shared" si="14"/>
        <v>0.89100000000000001</v>
      </c>
      <c r="AM35" s="77">
        <f t="shared" si="14"/>
        <v>1.5839999999999999</v>
      </c>
      <c r="AN35" s="77">
        <f t="shared" si="14"/>
        <v>2.4749999999999996</v>
      </c>
      <c r="AO35" s="77">
        <f t="shared" si="14"/>
        <v>3.5640000000000001</v>
      </c>
      <c r="AQ35" s="1">
        <v>8</v>
      </c>
      <c r="AR35" t="s">
        <v>200</v>
      </c>
    </row>
    <row r="36" spans="35:44">
      <c r="AI36" s="79">
        <v>5</v>
      </c>
      <c r="AJ36" s="77">
        <f t="shared" si="14"/>
        <v>0.10999999999999999</v>
      </c>
      <c r="AK36" s="77">
        <f t="shared" si="14"/>
        <v>0.43999999999999995</v>
      </c>
      <c r="AL36" s="114">
        <f t="shared" si="14"/>
        <v>0.99</v>
      </c>
      <c r="AM36" s="77">
        <f t="shared" si="14"/>
        <v>1.7599999999999998</v>
      </c>
      <c r="AN36" s="77">
        <f t="shared" si="14"/>
        <v>2.7499999999999996</v>
      </c>
      <c r="AO36" s="77">
        <f t="shared" si="14"/>
        <v>3.96</v>
      </c>
      <c r="AQ36">
        <v>1.0999999999999999E-2</v>
      </c>
      <c r="AR36" t="s">
        <v>201</v>
      </c>
    </row>
    <row r="38" spans="35:44">
      <c r="AI38" t="s">
        <v>199</v>
      </c>
    </row>
    <row r="39" spans="35:44">
      <c r="AI39" s="53" t="s">
        <v>247</v>
      </c>
      <c r="AJ39" s="78">
        <v>0.5</v>
      </c>
      <c r="AK39" s="77">
        <v>1</v>
      </c>
      <c r="AL39" s="78">
        <v>1.5</v>
      </c>
      <c r="AM39" s="77">
        <v>2</v>
      </c>
      <c r="AN39" s="78">
        <v>2.5</v>
      </c>
      <c r="AO39" s="77">
        <v>3</v>
      </c>
    </row>
    <row r="40" spans="35:44">
      <c r="AI40" s="79">
        <v>0.5</v>
      </c>
      <c r="AJ40" s="93"/>
      <c r="AK40" s="93"/>
      <c r="AL40" s="93"/>
      <c r="AM40" s="93"/>
      <c r="AN40" s="93"/>
      <c r="AO40" s="93"/>
    </row>
    <row r="41" spans="35:44">
      <c r="AI41" s="79">
        <v>1</v>
      </c>
      <c r="AJ41" s="93">
        <f t="shared" ref="AJ41:AO41" si="15">(AJ28-AB6)/AB6</f>
        <v>-0.76595744680851074</v>
      </c>
      <c r="AK41" s="93">
        <f t="shared" si="15"/>
        <v>-0.54639175257731964</v>
      </c>
      <c r="AL41" s="93">
        <f t="shared" si="15"/>
        <v>-0.37735849056603771</v>
      </c>
      <c r="AM41" s="93">
        <f t="shared" si="15"/>
        <v>-0.24946695095948826</v>
      </c>
      <c r="AN41" s="93">
        <f t="shared" si="15"/>
        <v>-0.18998527245949942</v>
      </c>
      <c r="AO41" s="93">
        <f t="shared" si="15"/>
        <v>-0.20720720720720717</v>
      </c>
    </row>
    <row r="42" spans="35:44">
      <c r="AI42" s="79">
        <v>1.5</v>
      </c>
      <c r="AJ42" s="93"/>
      <c r="AK42" s="93"/>
      <c r="AL42" s="93"/>
      <c r="AM42" s="93"/>
      <c r="AN42" s="93"/>
      <c r="AO42" s="93"/>
    </row>
    <row r="43" spans="35:44">
      <c r="AI43" s="79">
        <v>2</v>
      </c>
      <c r="AJ43" s="93">
        <f t="shared" ref="AJ43:AJ49" si="16">(AJ30-AB8)/AB8</f>
        <v>-0.65079365079365081</v>
      </c>
      <c r="AK43" s="99">
        <f t="shared" ref="AK43:AK49" si="17">(AK30-AC8)/AC8</f>
        <v>-0.35294117647058831</v>
      </c>
      <c r="AL43" s="99">
        <f>(AL30-AD8)/AD8</f>
        <v>-0.1258278145695364</v>
      </c>
      <c r="AM43" s="99">
        <f t="shared" ref="AM43:AM49" si="18">(AM30-AE8)/AE8</f>
        <v>3.5294117647058691E-2</v>
      </c>
      <c r="AN43" s="93">
        <f t="shared" ref="AN43:AN49" si="19">(AN30-AF8)/AF8</f>
        <v>0.1066398390342051</v>
      </c>
      <c r="AO43" s="93">
        <f t="shared" ref="AO43:AO49" si="20">(AO30-AG8)/AG8</f>
        <v>0.10460251046025114</v>
      </c>
    </row>
    <row r="44" spans="35:44">
      <c r="AI44" s="79">
        <v>2.5</v>
      </c>
      <c r="AJ44" s="93"/>
      <c r="AK44" s="99"/>
      <c r="AL44" s="99"/>
      <c r="AM44" s="99"/>
      <c r="AN44" s="93"/>
      <c r="AO44" s="93"/>
    </row>
    <row r="45" spans="35:44">
      <c r="AI45" s="79">
        <v>3</v>
      </c>
      <c r="AJ45" s="93">
        <f t="shared" si="16"/>
        <v>-0.61176470588235299</v>
      </c>
      <c r="AK45" s="99">
        <f t="shared" si="17"/>
        <v>-0.29032258064516125</v>
      </c>
      <c r="AL45" s="99">
        <f>(AL32-AD10)/AD10</f>
        <v>-4.6548956661316074E-2</v>
      </c>
      <c r="AM45" s="99">
        <f t="shared" si="18"/>
        <v>0.1198303287380701</v>
      </c>
      <c r="AN45" s="93">
        <f t="shared" si="19"/>
        <v>0.21145374449339191</v>
      </c>
      <c r="AO45" s="93">
        <f t="shared" si="20"/>
        <v>0.23045054375971014</v>
      </c>
      <c r="AQ45" s="94">
        <f>SUM(AK43:AM47)/9</f>
        <v>-9.1511975800676132E-2</v>
      </c>
      <c r="AR45" t="s">
        <v>246</v>
      </c>
    </row>
    <row r="46" spans="35:44">
      <c r="AI46" s="79">
        <v>3.5</v>
      </c>
      <c r="AJ46" s="93"/>
      <c r="AK46" s="99"/>
      <c r="AL46" s="99"/>
      <c r="AM46" s="99"/>
      <c r="AN46" s="93"/>
      <c r="AO46" s="93"/>
    </row>
    <row r="47" spans="35:44">
      <c r="AI47" s="79">
        <v>4</v>
      </c>
      <c r="AJ47" s="93">
        <f t="shared" si="16"/>
        <v>-0.60538116591928259</v>
      </c>
      <c r="AK47" s="99">
        <f t="shared" si="17"/>
        <v>-0.27720739219712526</v>
      </c>
      <c r="AL47" s="99">
        <f>(AL34-AD12)/AD12</f>
        <v>-3.0599755201958279E-2</v>
      </c>
      <c r="AM47" s="99">
        <f t="shared" si="18"/>
        <v>0.14471544715447149</v>
      </c>
      <c r="AN47" s="93">
        <f t="shared" si="19"/>
        <v>0.2492901760363429</v>
      </c>
      <c r="AO47" s="93">
        <f t="shared" si="20"/>
        <v>0.28832858885725909</v>
      </c>
    </row>
    <row r="48" spans="35:44">
      <c r="AI48" s="79">
        <v>4.5</v>
      </c>
      <c r="AJ48" s="93"/>
      <c r="AK48" s="93"/>
      <c r="AL48" s="93"/>
      <c r="AM48" s="93"/>
      <c r="AN48" s="93"/>
      <c r="AO48" s="93"/>
    </row>
    <row r="49" spans="10:41">
      <c r="AI49" s="79">
        <v>5</v>
      </c>
      <c r="AJ49" s="93">
        <f t="shared" si="16"/>
        <v>-0.59854014598540151</v>
      </c>
      <c r="AK49" s="93">
        <f t="shared" si="17"/>
        <v>-0.27750410509031204</v>
      </c>
      <c r="AL49" s="93">
        <f>(AL36-AD14)/AD14</f>
        <v>-2.9411764705882377E-2</v>
      </c>
      <c r="AM49" s="93">
        <f t="shared" si="18"/>
        <v>0.15032679738562077</v>
      </c>
      <c r="AN49" s="93">
        <f t="shared" si="19"/>
        <v>0.26088950022925239</v>
      </c>
      <c r="AO49" s="93">
        <f t="shared" si="20"/>
        <v>0.31956014661779408</v>
      </c>
    </row>
    <row r="54" spans="10:41">
      <c r="J54" t="s">
        <v>42</v>
      </c>
    </row>
  </sheetData>
  <mergeCells count="6">
    <mergeCell ref="Z11:Z12"/>
    <mergeCell ref="AB15:AG15"/>
    <mergeCell ref="AL15:AM15"/>
    <mergeCell ref="A2:C2"/>
    <mergeCell ref="AB2:AG2"/>
    <mergeCell ref="AB3:AG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O54"/>
  <sheetViews>
    <sheetView workbookViewId="0"/>
  </sheetViews>
  <sheetFormatPr baseColWidth="10" defaultRowHeight="15"/>
  <cols>
    <col min="1" max="48" width="5.7109375" customWidth="1"/>
    <col min="49" max="57" width="11.42578125" customWidth="1"/>
  </cols>
  <sheetData>
    <row r="1" spans="1:41">
      <c r="A1" s="16" t="s">
        <v>25</v>
      </c>
      <c r="B1" s="62">
        <v>2</v>
      </c>
      <c r="C1" s="15" t="s">
        <v>23</v>
      </c>
      <c r="D1" s="16" t="s">
        <v>16</v>
      </c>
      <c r="E1" s="65">
        <v>7.0000000000000007E-2</v>
      </c>
      <c r="G1" s="20" t="s">
        <v>113</v>
      </c>
      <c r="H1" s="16">
        <f>MüRR/TAN(ThetaR/180*PI())</f>
        <v>2.0045377298040923</v>
      </c>
    </row>
    <row r="2" spans="1:41">
      <c r="A2" s="165" t="s">
        <v>13</v>
      </c>
      <c r="B2" s="165"/>
      <c r="C2" s="165"/>
      <c r="D2" s="75" t="s">
        <v>147</v>
      </c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AA2" s="76" t="s">
        <v>165</v>
      </c>
      <c r="AB2" s="171" t="s">
        <v>13</v>
      </c>
      <c r="AC2" s="172"/>
      <c r="AD2" s="172"/>
      <c r="AE2" s="172"/>
      <c r="AF2" s="172"/>
      <c r="AG2" s="173"/>
      <c r="AH2" s="57"/>
    </row>
    <row r="3" spans="1:41">
      <c r="A3" s="15" t="s">
        <v>108</v>
      </c>
      <c r="B3" s="16">
        <f>(-alphanull)/19</f>
        <v>-6.4416389563094589E-2</v>
      </c>
      <c r="D3" s="15" t="s">
        <v>109</v>
      </c>
      <c r="E3" s="15">
        <f>alphanull</f>
        <v>1.2239114016987973</v>
      </c>
      <c r="F3" s="15">
        <f>E3-0.001</f>
        <v>1.2229114016987974</v>
      </c>
      <c r="G3" s="15">
        <f t="shared" ref="G3:X3" si="0">F3+deltaalpha</f>
        <v>1.1584950121357029</v>
      </c>
      <c r="H3" s="15">
        <f t="shared" si="0"/>
        <v>1.0940786225726082</v>
      </c>
      <c r="I3" s="15">
        <f t="shared" si="0"/>
        <v>1.0296622330095135</v>
      </c>
      <c r="J3" s="15">
        <f t="shared" si="0"/>
        <v>0.96524584344641895</v>
      </c>
      <c r="K3" s="15">
        <f t="shared" si="0"/>
        <v>0.90082945388332436</v>
      </c>
      <c r="L3" s="15">
        <f t="shared" si="0"/>
        <v>0.83641306432022977</v>
      </c>
      <c r="M3" s="15">
        <f t="shared" si="0"/>
        <v>0.77199667475713518</v>
      </c>
      <c r="N3" s="15">
        <f t="shared" si="0"/>
        <v>0.70758028519404059</v>
      </c>
      <c r="O3" s="15">
        <f t="shared" si="0"/>
        <v>0.643163895630946</v>
      </c>
      <c r="P3" s="15">
        <f t="shared" si="0"/>
        <v>0.57874750606785141</v>
      </c>
      <c r="Q3" s="15">
        <f t="shared" si="0"/>
        <v>0.51433111650475682</v>
      </c>
      <c r="R3" s="15">
        <f t="shared" si="0"/>
        <v>0.44991472694166224</v>
      </c>
      <c r="S3" s="15">
        <f t="shared" si="0"/>
        <v>0.38549833737856765</v>
      </c>
      <c r="T3" s="15">
        <f t="shared" si="0"/>
        <v>0.32108194781547306</v>
      </c>
      <c r="U3" s="15">
        <f t="shared" si="0"/>
        <v>0.25666555825237847</v>
      </c>
      <c r="V3" s="15">
        <f t="shared" si="0"/>
        <v>0.19224916868928388</v>
      </c>
      <c r="W3" s="15">
        <f t="shared" si="0"/>
        <v>0.12783277912618929</v>
      </c>
      <c r="X3" s="15">
        <f t="shared" si="0"/>
        <v>6.3416389563094699E-2</v>
      </c>
      <c r="Y3" s="15">
        <f>X3+deltaalpha+0.001</f>
        <v>1.1015494072452725E-16</v>
      </c>
      <c r="AA3" s="53" t="s">
        <v>101</v>
      </c>
      <c r="AB3" s="150" t="s">
        <v>104</v>
      </c>
      <c r="AC3" s="150"/>
      <c r="AD3" s="150"/>
      <c r="AE3" s="150"/>
      <c r="AF3" s="150"/>
      <c r="AG3" s="150"/>
    </row>
    <row r="4" spans="1:41">
      <c r="A4" s="20" t="s">
        <v>17</v>
      </c>
      <c r="B4" s="27">
        <v>2</v>
      </c>
      <c r="C4" s="1" t="s">
        <v>21</v>
      </c>
      <c r="D4" s="15" t="s">
        <v>146</v>
      </c>
      <c r="E4" s="15">
        <f>E3/PI()*180</f>
        <v>70.124957815281817</v>
      </c>
      <c r="F4" s="15">
        <f t="shared" ref="F4:Y4" si="1">F3/PI()*180</f>
        <v>70.067662035768748</v>
      </c>
      <c r="G4" s="15">
        <f t="shared" si="1"/>
        <v>66.376874782332862</v>
      </c>
      <c r="H4" s="15">
        <f t="shared" si="1"/>
        <v>62.686087528896977</v>
      </c>
      <c r="I4" s="15">
        <f t="shared" si="1"/>
        <v>58.995300275461084</v>
      </c>
      <c r="J4" s="15">
        <f t="shared" si="1"/>
        <v>55.304513022025198</v>
      </c>
      <c r="K4" s="15">
        <f t="shared" si="1"/>
        <v>51.613725768589312</v>
      </c>
      <c r="L4" s="15">
        <f t="shared" si="1"/>
        <v>47.922938515153433</v>
      </c>
      <c r="M4" s="15">
        <f t="shared" si="1"/>
        <v>44.23215126171754</v>
      </c>
      <c r="N4" s="15">
        <f t="shared" si="1"/>
        <v>40.541364008281654</v>
      </c>
      <c r="O4" s="15">
        <f t="shared" si="1"/>
        <v>36.850576754845775</v>
      </c>
      <c r="P4" s="15">
        <f t="shared" si="1"/>
        <v>33.15978950140989</v>
      </c>
      <c r="Q4" s="15">
        <f t="shared" si="1"/>
        <v>29.469002247974004</v>
      </c>
      <c r="R4" s="15">
        <f t="shared" si="1"/>
        <v>25.778214994538118</v>
      </c>
      <c r="S4" s="15">
        <f t="shared" si="1"/>
        <v>22.087427741102232</v>
      </c>
      <c r="T4" s="15">
        <f t="shared" si="1"/>
        <v>18.39664048766635</v>
      </c>
      <c r="U4" s="15">
        <f t="shared" si="1"/>
        <v>14.705853234230464</v>
      </c>
      <c r="V4" s="15">
        <f t="shared" si="1"/>
        <v>11.015065980794578</v>
      </c>
      <c r="W4" s="15">
        <f t="shared" si="1"/>
        <v>7.3242787273586938</v>
      </c>
      <c r="X4" s="15">
        <f t="shared" si="1"/>
        <v>3.6334914739228092</v>
      </c>
      <c r="Y4" s="15">
        <f t="shared" si="1"/>
        <v>6.311413196029166E-15</v>
      </c>
      <c r="AA4" s="53" t="s">
        <v>88</v>
      </c>
      <c r="AB4" s="31">
        <v>0.5</v>
      </c>
      <c r="AC4" s="15">
        <v>1</v>
      </c>
      <c r="AD4" s="31">
        <v>1.5</v>
      </c>
      <c r="AE4" s="15">
        <v>2</v>
      </c>
      <c r="AF4" s="31">
        <v>2.5</v>
      </c>
      <c r="AG4" s="15">
        <v>3</v>
      </c>
      <c r="AH4" s="1" t="s">
        <v>25</v>
      </c>
      <c r="AJ4" s="31">
        <v>0.5</v>
      </c>
      <c r="AK4" s="15">
        <v>1</v>
      </c>
      <c r="AL4" s="31">
        <v>1.5</v>
      </c>
      <c r="AM4" s="15">
        <v>2</v>
      </c>
      <c r="AN4" s="31">
        <v>2.5</v>
      </c>
      <c r="AO4" s="15">
        <v>3</v>
      </c>
    </row>
    <row r="5" spans="1:41">
      <c r="A5" s="20" t="s">
        <v>18</v>
      </c>
      <c r="B5" s="27">
        <v>2</v>
      </c>
      <c r="C5" s="1" t="s">
        <v>21</v>
      </c>
      <c r="D5" s="15" t="s">
        <v>111</v>
      </c>
      <c r="E5" s="15">
        <f>COS(E3)</f>
        <v>0.3399699321388146</v>
      </c>
      <c r="F5" s="15">
        <f t="shared" ref="F5:Y5" si="2">COS(F3)</f>
        <v>0.34091019830290981</v>
      </c>
      <c r="G5" s="15">
        <f t="shared" si="2"/>
        <v>0.40071885418843134</v>
      </c>
      <c r="H5" s="15">
        <f t="shared" si="2"/>
        <v>0.4588653136004065</v>
      </c>
      <c r="I5" s="15">
        <f t="shared" si="2"/>
        <v>0.51510838289702465</v>
      </c>
      <c r="J5" s="15">
        <f t="shared" si="2"/>
        <v>0.56921476376833824</v>
      </c>
      <c r="K5" s="15">
        <f t="shared" si="2"/>
        <v>0.62096002096619096</v>
      </c>
      <c r="L5" s="15">
        <f t="shared" si="2"/>
        <v>0.67012951326984171</v>
      </c>
      <c r="M5" s="15">
        <f t="shared" si="2"/>
        <v>0.71651928382560381</v>
      </c>
      <c r="N5" s="15">
        <f t="shared" si="2"/>
        <v>0.75993690616733911</v>
      </c>
      <c r="O5" s="15">
        <f t="shared" si="2"/>
        <v>0.80020228240848212</v>
      </c>
      <c r="P5" s="15">
        <f t="shared" si="2"/>
        <v>0.8371483902946657</v>
      </c>
      <c r="Q5" s="15">
        <f t="shared" si="2"/>
        <v>0.87062197601814451</v>
      </c>
      <c r="R5" s="15">
        <f t="shared" si="2"/>
        <v>0.90048418992019907</v>
      </c>
      <c r="S5" s="15">
        <f t="shared" si="2"/>
        <v>0.92661116244460195</v>
      </c>
      <c r="T5" s="15">
        <f t="shared" si="2"/>
        <v>0.94889451795307067</v>
      </c>
      <c r="U5" s="15">
        <f t="shared" si="2"/>
        <v>0.96724182427138172</v>
      </c>
      <c r="V5" s="15">
        <f t="shared" si="2"/>
        <v>0.98157697610141248</v>
      </c>
      <c r="W5" s="15">
        <f t="shared" si="2"/>
        <v>0.99184051070870316</v>
      </c>
      <c r="X5" s="15">
        <f t="shared" si="2"/>
        <v>0.99798985457605582</v>
      </c>
      <c r="Y5" s="15">
        <f t="shared" si="2"/>
        <v>1</v>
      </c>
      <c r="AA5" s="16">
        <v>0.5</v>
      </c>
      <c r="AB5" s="15"/>
      <c r="AC5" s="15"/>
      <c r="AD5" s="15"/>
      <c r="AE5" s="15"/>
      <c r="AF5" s="15"/>
      <c r="AG5" s="15"/>
      <c r="AH5" s="1"/>
      <c r="AI5" s="16">
        <v>0.5</v>
      </c>
      <c r="AJ5" s="63"/>
      <c r="AK5" s="63"/>
      <c r="AL5" s="63"/>
      <c r="AM5" s="63"/>
      <c r="AN5" s="63"/>
      <c r="AO5" s="63"/>
    </row>
    <row r="6" spans="1:41">
      <c r="A6" s="20" t="s">
        <v>19</v>
      </c>
      <c r="B6" s="96">
        <v>-2.13</v>
      </c>
      <c r="C6" s="1" t="s">
        <v>22</v>
      </c>
      <c r="D6" s="15" t="s">
        <v>122</v>
      </c>
      <c r="E6" s="15">
        <f t="shared" ref="E6:Y6" si="3">(MR+E5)</f>
        <v>2.3445076619429068</v>
      </c>
      <c r="F6" s="15">
        <f t="shared" si="3"/>
        <v>2.345447928107002</v>
      </c>
      <c r="G6" s="15">
        <f t="shared" si="3"/>
        <v>2.4052565839925237</v>
      </c>
      <c r="H6" s="15">
        <f t="shared" si="3"/>
        <v>2.4634030434044987</v>
      </c>
      <c r="I6" s="15">
        <f t="shared" si="3"/>
        <v>2.5196461127011167</v>
      </c>
      <c r="J6" s="15">
        <f t="shared" si="3"/>
        <v>2.5737524935724307</v>
      </c>
      <c r="K6" s="15">
        <f t="shared" si="3"/>
        <v>2.6254977507702835</v>
      </c>
      <c r="L6" s="15">
        <f t="shared" si="3"/>
        <v>2.6746672430739338</v>
      </c>
      <c r="M6" s="15">
        <f t="shared" si="3"/>
        <v>2.7210570136296961</v>
      </c>
      <c r="N6" s="15">
        <f t="shared" si="3"/>
        <v>2.7644746359714314</v>
      </c>
      <c r="O6" s="15">
        <f t="shared" si="3"/>
        <v>2.8047400122125743</v>
      </c>
      <c r="P6" s="15">
        <f t="shared" si="3"/>
        <v>2.8416861200987578</v>
      </c>
      <c r="Q6" s="15">
        <f t="shared" si="3"/>
        <v>2.8751597058222367</v>
      </c>
      <c r="R6" s="15">
        <f t="shared" si="3"/>
        <v>2.9050219197242915</v>
      </c>
      <c r="S6" s="15">
        <f t="shared" si="3"/>
        <v>2.9311488922486943</v>
      </c>
      <c r="T6" s="15">
        <f t="shared" si="3"/>
        <v>2.9534322477571631</v>
      </c>
      <c r="U6" s="15">
        <f t="shared" si="3"/>
        <v>2.9717795540754741</v>
      </c>
      <c r="V6" s="15">
        <f t="shared" si="3"/>
        <v>2.9861147059055049</v>
      </c>
      <c r="W6" s="15">
        <f t="shared" si="3"/>
        <v>2.9963782405127954</v>
      </c>
      <c r="X6" s="15">
        <f t="shared" si="3"/>
        <v>3.002527584380148</v>
      </c>
      <c r="Y6" s="15">
        <f t="shared" si="3"/>
        <v>3.0045377298040923</v>
      </c>
      <c r="AA6" s="16">
        <v>1</v>
      </c>
      <c r="AB6" s="15"/>
      <c r="AC6" s="15"/>
      <c r="AD6" s="15"/>
      <c r="AE6" s="15"/>
      <c r="AF6" s="15"/>
      <c r="AG6" s="15"/>
      <c r="AH6" s="1"/>
      <c r="AI6" s="16">
        <v>1</v>
      </c>
      <c r="AJ6" s="63"/>
      <c r="AK6" s="63" t="s">
        <v>144</v>
      </c>
      <c r="AL6" s="63"/>
      <c r="AM6" s="63"/>
      <c r="AN6" s="63"/>
      <c r="AO6" s="63"/>
    </row>
    <row r="7" spans="1:41">
      <c r="A7" s="20" t="s">
        <v>20</v>
      </c>
      <c r="B7" s="96">
        <v>-0.77</v>
      </c>
      <c r="C7" s="1" t="s">
        <v>22</v>
      </c>
      <c r="D7" s="15" t="s">
        <v>116</v>
      </c>
      <c r="E7" s="15">
        <f t="shared" ref="E7:Y7" si="4">POWER(TAN(E3/2),MR)</f>
        <v>0.49178006509797867</v>
      </c>
      <c r="F7" s="15">
        <f t="shared" si="4"/>
        <v>0.49073276413841399</v>
      </c>
      <c r="G7" s="15">
        <f t="shared" si="4"/>
        <v>0.42701493342015645</v>
      </c>
      <c r="H7" s="15">
        <f t="shared" si="4"/>
        <v>0.37009477343166686</v>
      </c>
      <c r="I7" s="15">
        <f t="shared" si="4"/>
        <v>0.31921136314620602</v>
      </c>
      <c r="J7" s="15">
        <f t="shared" si="4"/>
        <v>0.27371880523100772</v>
      </c>
      <c r="K7" s="15">
        <f t="shared" si="4"/>
        <v>0.23306704180641236</v>
      </c>
      <c r="L7" s="15">
        <f t="shared" si="4"/>
        <v>0.19678641187359686</v>
      </c>
      <c r="M7" s="15">
        <f t="shared" si="4"/>
        <v>0.16447515266200827</v>
      </c>
      <c r="N7" s="15">
        <f t="shared" si="4"/>
        <v>0.13578923526882294</v>
      </c>
      <c r="O7" s="15">
        <f t="shared" si="4"/>
        <v>0.11043406525907216</v>
      </c>
      <c r="P7" s="15">
        <f t="shared" si="4"/>
        <v>8.8157684390375274E-2</v>
      </c>
      <c r="Q7" s="15">
        <f t="shared" si="4"/>
        <v>6.8745189521111513E-2</v>
      </c>
      <c r="R7" s="15">
        <f t="shared" si="4"/>
        <v>5.2014145562690024E-2</v>
      </c>
      <c r="S7" s="15">
        <f t="shared" si="4"/>
        <v>3.7810815563787716E-2</v>
      </c>
      <c r="T7" s="15">
        <f t="shared" si="4"/>
        <v>2.6007065516174325E-2</v>
      </c>
      <c r="U7" s="15">
        <f t="shared" si="4"/>
        <v>1.6497825158155142E-2</v>
      </c>
      <c r="V7" s="15">
        <f t="shared" si="4"/>
        <v>9.1989959673978022E-3</v>
      </c>
      <c r="W7" s="15">
        <f t="shared" si="4"/>
        <v>4.0456778067380723E-3</v>
      </c>
      <c r="X7" s="15">
        <f t="shared" si="4"/>
        <v>9.904523366188198E-4</v>
      </c>
      <c r="Y7" s="15">
        <f t="shared" si="4"/>
        <v>2.5595811548408444E-33</v>
      </c>
      <c r="AA7" s="16">
        <v>1.5</v>
      </c>
      <c r="AB7" s="15"/>
      <c r="AC7" s="15"/>
      <c r="AD7" s="15"/>
      <c r="AE7" s="15"/>
      <c r="AF7" s="15"/>
      <c r="AG7" s="15"/>
      <c r="AH7" s="1"/>
      <c r="AI7" s="16">
        <v>1.5</v>
      </c>
      <c r="AJ7" s="63"/>
      <c r="AK7" s="63"/>
      <c r="AL7" s="63"/>
      <c r="AM7" s="63"/>
      <c r="AN7" s="63"/>
      <c r="AO7" s="63"/>
    </row>
    <row r="8" spans="1:41">
      <c r="A8" s="20" t="s">
        <v>118</v>
      </c>
      <c r="B8" s="18">
        <f>SQRT(vxupR*vxupR+vyupR*vyupR)</f>
        <v>2.2649061790723253</v>
      </c>
      <c r="C8" s="1" t="s">
        <v>22</v>
      </c>
      <c r="D8" s="15" t="s">
        <v>117</v>
      </c>
      <c r="E8" s="15">
        <f>SIN(E3)</f>
        <v>0.94043630578659065</v>
      </c>
      <c r="F8" s="15">
        <f t="shared" ref="F8:Y8" si="5">SIN(F3)</f>
        <v>0.94009586569299974</v>
      </c>
      <c r="G8" s="15">
        <f t="shared" si="5"/>
        <v>0.91620106957911307</v>
      </c>
      <c r="H8" s="15">
        <f t="shared" si="5"/>
        <v>0.88850583789550908</v>
      </c>
      <c r="I8" s="15">
        <f t="shared" si="5"/>
        <v>0.85712505147686135</v>
      </c>
      <c r="J8" s="15">
        <f t="shared" si="5"/>
        <v>0.82218887897377624</v>
      </c>
      <c r="K8" s="15">
        <f t="shared" si="5"/>
        <v>0.78384223690846599</v>
      </c>
      <c r="L8" s="15">
        <f t="shared" si="5"/>
        <v>0.74224418855571039</v>
      </c>
      <c r="M8" s="15">
        <f t="shared" si="5"/>
        <v>0.69756728414257196</v>
      </c>
      <c r="N8" s="15">
        <f t="shared" si="5"/>
        <v>0.64999684510373801</v>
      </c>
      <c r="O8" s="15">
        <f t="shared" si="5"/>
        <v>0.59973019536142724</v>
      </c>
      <c r="P8" s="15">
        <f t="shared" si="5"/>
        <v>0.54697584281853806</v>
      </c>
      <c r="Q8" s="15">
        <f t="shared" si="5"/>
        <v>0.49195261446023575</v>
      </c>
      <c r="R8" s="15">
        <f t="shared" si="5"/>
        <v>0.43488874865160954</v>
      </c>
      <c r="S8" s="15">
        <f t="shared" si="5"/>
        <v>0.37602094839657996</v>
      </c>
      <c r="T8" s="15">
        <f t="shared" si="5"/>
        <v>0.31559339948517567</v>
      </c>
      <c r="U8" s="15">
        <f t="shared" si="5"/>
        <v>0.25385675760193888</v>
      </c>
      <c r="V8" s="15">
        <f t="shared" si="5"/>
        <v>0.1910671085969721</v>
      </c>
      <c r="W8" s="15">
        <f t="shared" si="5"/>
        <v>0.12748490623245889</v>
      </c>
      <c r="X8" s="15">
        <f t="shared" si="5"/>
        <v>6.3373891810925884E-2</v>
      </c>
      <c r="Y8" s="15">
        <f t="shared" si="5"/>
        <v>1.1015494072452725E-16</v>
      </c>
      <c r="AA8" s="16">
        <v>2</v>
      </c>
      <c r="AB8" s="15"/>
      <c r="AC8" s="15"/>
      <c r="AD8" s="15"/>
      <c r="AE8" s="65">
        <v>0.46</v>
      </c>
      <c r="AF8" s="15"/>
      <c r="AG8" s="15"/>
      <c r="AH8" s="1"/>
      <c r="AI8" s="16">
        <v>2</v>
      </c>
      <c r="AJ8" s="63" t="s">
        <v>149</v>
      </c>
      <c r="AK8" s="63" t="s">
        <v>143</v>
      </c>
      <c r="AL8" s="63" t="s">
        <v>142</v>
      </c>
      <c r="AM8" s="72" t="s">
        <v>159</v>
      </c>
      <c r="AN8" s="63" t="s">
        <v>141</v>
      </c>
      <c r="AO8" s="63" t="s">
        <v>140</v>
      </c>
    </row>
    <row r="9" spans="1:41">
      <c r="A9" s="20" t="s">
        <v>110</v>
      </c>
      <c r="B9" s="60">
        <f>ATAN(vyupR/vxupR)</f>
        <v>1.2239114016987973</v>
      </c>
      <c r="C9" s="1" t="s">
        <v>120</v>
      </c>
      <c r="D9" s="15" t="s">
        <v>119</v>
      </c>
      <c r="E9" s="15">
        <f>(E6*ZZ2null*E7/E8/N2null/N3null)</f>
        <v>0.99999999999999989</v>
      </c>
      <c r="F9" s="15">
        <f t="shared" ref="F9:Y9" si="6">(F6*ZZ2null*F7/F8/N2null/N3null)</f>
        <v>0.99863209113053519</v>
      </c>
      <c r="G9" s="15">
        <f t="shared" si="6"/>
        <v>0.91436688965007806</v>
      </c>
      <c r="H9" s="15">
        <f t="shared" si="6"/>
        <v>0.83694120559601259</v>
      </c>
      <c r="I9" s="15">
        <f t="shared" si="6"/>
        <v>0.76538599712090372</v>
      </c>
      <c r="J9" s="15">
        <f t="shared" si="6"/>
        <v>0.69888646251046949</v>
      </c>
      <c r="K9" s="15">
        <f t="shared" si="6"/>
        <v>0.63675250676534589</v>
      </c>
      <c r="L9" s="15">
        <f t="shared" si="6"/>
        <v>0.57839545326398889</v>
      </c>
      <c r="M9" s="15">
        <f t="shared" si="6"/>
        <v>0.52330953275458436</v>
      </c>
      <c r="N9" s="15">
        <f t="shared" si="6"/>
        <v>0.4710570562909065</v>
      </c>
      <c r="O9" s="15">
        <f t="shared" si="6"/>
        <v>0.42125645111667243</v>
      </c>
      <c r="P9" s="15">
        <f t="shared" si="6"/>
        <v>0.37357253925617528</v>
      </c>
      <c r="Q9" s="15">
        <f t="shared" si="6"/>
        <v>0.32770858920765483</v>
      </c>
      <c r="R9" s="15">
        <f t="shared" si="6"/>
        <v>0.28339978792955806</v>
      </c>
      <c r="S9" s="15">
        <f t="shared" si="6"/>
        <v>0.24040787771106351</v>
      </c>
      <c r="T9" s="15">
        <f t="shared" si="6"/>
        <v>0.19851679868420447</v>
      </c>
      <c r="U9" s="15">
        <f t="shared" si="6"/>
        <v>0.15752930928274089</v>
      </c>
      <c r="V9" s="15">
        <f t="shared" si="6"/>
        <v>0.11726483413807995</v>
      </c>
      <c r="W9" s="15">
        <f t="shared" si="6"/>
        <v>7.7559672962547579E-2</v>
      </c>
      <c r="X9" s="15">
        <f t="shared" si="6"/>
        <v>3.8275160377397296E-2</v>
      </c>
      <c r="Y9" s="15">
        <f t="shared" si="6"/>
        <v>5.6944186796023799E-17</v>
      </c>
      <c r="AA9" s="16">
        <v>2.5</v>
      </c>
      <c r="AB9" s="15"/>
      <c r="AC9" s="15"/>
      <c r="AD9" s="15"/>
      <c r="AE9" s="15"/>
      <c r="AF9" s="15"/>
      <c r="AG9" s="15"/>
      <c r="AH9" s="1"/>
      <c r="AI9" s="16">
        <v>2.5</v>
      </c>
      <c r="AJ9" s="63"/>
      <c r="AK9" s="63"/>
      <c r="AL9" s="63"/>
      <c r="AM9" s="63"/>
      <c r="AN9" s="63"/>
      <c r="AO9" s="63"/>
    </row>
    <row r="10" spans="1:41">
      <c r="A10" s="20" t="s">
        <v>110</v>
      </c>
      <c r="B10" s="18">
        <f>ATAN(vyupR/vxupR)/PI()*180</f>
        <v>70.124957815281817</v>
      </c>
      <c r="C10" s="1" t="s">
        <v>23</v>
      </c>
      <c r="D10" s="17" t="s">
        <v>9</v>
      </c>
      <c r="E10" s="17">
        <f>voR*(MR+unull)/9.81/SIN(ThetaR/180*PI())/(1-MR*MR)*(E9-1)</f>
        <v>5.7053201059534924E-16</v>
      </c>
      <c r="F10" s="17">
        <f>voR*(MR+unull)/9.81/SIN(ThetaR/180*PI())/(1-MR*MR)*(F9-1)</f>
        <v>7.0295407345786678E-3</v>
      </c>
      <c r="G10" s="17">
        <f t="shared" ref="G10:Y10" si="7">voR*(MR+unull)/9.81/SIN(ThetaR/180*PI())/(1-MR*MR)*(G9-1)</f>
        <v>0.44005960548304895</v>
      </c>
      <c r="H10" s="17">
        <f t="shared" si="7"/>
        <v>0.83794210490248411</v>
      </c>
      <c r="I10" s="17">
        <f t="shared" si="7"/>
        <v>1.2056568437826005</v>
      </c>
      <c r="J10" s="17">
        <f t="shared" si="7"/>
        <v>1.5473910029868354</v>
      </c>
      <c r="K10" s="17">
        <f t="shared" si="7"/>
        <v>1.8666909086024353</v>
      </c>
      <c r="L10" s="17">
        <f t="shared" si="7"/>
        <v>2.1665817082711847</v>
      </c>
      <c r="M10" s="17">
        <f t="shared" si="7"/>
        <v>2.4496624973255932</v>
      </c>
      <c r="N10" s="17">
        <f t="shared" si="7"/>
        <v>2.7181825135221014</v>
      </c>
      <c r="O10" s="17">
        <f t="shared" si="7"/>
        <v>2.9741026193811368</v>
      </c>
      <c r="P10" s="17">
        <f t="shared" si="7"/>
        <v>3.2191452594939749</v>
      </c>
      <c r="Q10" s="17">
        <f t="shared" si="7"/>
        <v>3.4548353060399086</v>
      </c>
      <c r="R10" s="17">
        <f t="shared" si="7"/>
        <v>3.682533605566686</v>
      </c>
      <c r="S10" s="17">
        <f t="shared" si="7"/>
        <v>3.9034645395524392</v>
      </c>
      <c r="T10" s="17">
        <f t="shared" si="7"/>
        <v>4.1187384170805332</v>
      </c>
      <c r="U10" s="17">
        <f t="shared" si="7"/>
        <v>4.3293688419482566</v>
      </c>
      <c r="V10" s="17">
        <f t="shared" si="7"/>
        <v>4.5362837721047979</v>
      </c>
      <c r="W10" s="17">
        <f t="shared" si="7"/>
        <v>4.7403244462219396</v>
      </c>
      <c r="X10" s="17">
        <f t="shared" si="7"/>
        <v>4.9422034511906165</v>
      </c>
      <c r="Y10" s="17">
        <f t="shared" si="7"/>
        <v>5.1388955006403085</v>
      </c>
      <c r="AA10" s="16">
        <v>3</v>
      </c>
      <c r="AB10" s="15"/>
      <c r="AC10" s="15"/>
      <c r="AD10" s="15"/>
      <c r="AE10" s="15"/>
      <c r="AF10" s="15"/>
      <c r="AG10" s="15"/>
      <c r="AH10" s="1"/>
      <c r="AI10" s="16">
        <v>3</v>
      </c>
      <c r="AJ10" s="63"/>
      <c r="AK10" s="63" t="s">
        <v>126</v>
      </c>
      <c r="AL10" s="63"/>
      <c r="AM10" s="63"/>
      <c r="AN10" s="63"/>
      <c r="AO10" s="63"/>
    </row>
    <row r="11" spans="1:41">
      <c r="A11" s="20" t="s">
        <v>112</v>
      </c>
      <c r="B11" s="16">
        <f>COS(alphanull)</f>
        <v>0.3399699321388146</v>
      </c>
      <c r="D11" s="68" t="s">
        <v>7</v>
      </c>
      <c r="E11" s="69">
        <f t="shared" ref="E11:Y11" si="8">-(-yupR+Konst*((POWER(E3/2,2*MR-1)/(2*MR-1))+(POWER(E3/2,2*MR+1)/(2*MR+1))-(POWER(alphanull/2,2*MR-1)/(2*MR-1))-(POWER(alphanull/2,2*MR+1)/(2*MR+1))))</f>
        <v>1.9999999999999998</v>
      </c>
      <c r="F11" s="69">
        <f t="shared" si="8"/>
        <v>1.992987676589713</v>
      </c>
      <c r="G11" s="69">
        <f t="shared" si="8"/>
        <v>1.5711203240975846</v>
      </c>
      <c r="H11" s="69">
        <f t="shared" si="8"/>
        <v>1.2042334898107341</v>
      </c>
      <c r="I11" s="69">
        <f t="shared" si="8"/>
        <v>0.88699441601297369</v>
      </c>
      <c r="J11" s="69">
        <f t="shared" si="8"/>
        <v>0.61446009225674314</v>
      </c>
      <c r="K11" s="69">
        <f t="shared" si="8"/>
        <v>0.38205422638760744</v>
      </c>
      <c r="L11" s="69">
        <f t="shared" si="8"/>
        <v>0.18554423688297961</v>
      </c>
      <c r="M11" s="69">
        <f t="shared" si="8"/>
        <v>2.1018269137383472E-2</v>
      </c>
      <c r="N11" s="69">
        <f t="shared" si="8"/>
        <v>-0.11513776100281525</v>
      </c>
      <c r="O11" s="69">
        <f t="shared" si="8"/>
        <v>-0.22626309222269825</v>
      </c>
      <c r="P11" s="69">
        <f t="shared" si="8"/>
        <v>-0.31544500568193667</v>
      </c>
      <c r="Q11" s="69">
        <f t="shared" si="8"/>
        <v>-0.3855416684052595</v>
      </c>
      <c r="R11" s="69">
        <f t="shared" si="8"/>
        <v>-0.43920492161037972</v>
      </c>
      <c r="S11" s="69">
        <f t="shared" si="8"/>
        <v>-0.4789029986426252</v>
      </c>
      <c r="T11" s="69">
        <f t="shared" si="8"/>
        <v>-0.50694314896055559</v>
      </c>
      <c r="U11" s="69">
        <f t="shared" si="8"/>
        <v>-0.5254941294910962</v>
      </c>
      <c r="V11" s="69">
        <f t="shared" si="8"/>
        <v>-0.53660849393787968</v>
      </c>
      <c r="W11" s="69">
        <f t="shared" si="8"/>
        <v>-0.54224453870139255</v>
      </c>
      <c r="X11" s="69">
        <f t="shared" si="8"/>
        <v>-0.54428755359106429</v>
      </c>
      <c r="Y11" s="69">
        <f t="shared" si="8"/>
        <v>-0.54456902892253822</v>
      </c>
      <c r="Z11" s="170">
        <f>SQRT(Y11*Y11+Y12*Y12)</f>
        <v>1.2060752907841994</v>
      </c>
      <c r="AA11" s="16">
        <v>3.5</v>
      </c>
      <c r="AB11" s="15"/>
      <c r="AC11" s="15"/>
      <c r="AD11" s="15"/>
      <c r="AE11" s="15"/>
      <c r="AF11" s="15"/>
      <c r="AG11" s="15"/>
      <c r="AH11" s="1"/>
      <c r="AI11" s="16">
        <v>3.5</v>
      </c>
      <c r="AJ11" s="63"/>
      <c r="AK11" s="63"/>
      <c r="AL11" s="63"/>
      <c r="AM11" s="63"/>
      <c r="AN11" s="63"/>
      <c r="AO11" s="63"/>
    </row>
    <row r="12" spans="1:41">
      <c r="A12" s="20" t="s">
        <v>121</v>
      </c>
      <c r="B12" s="16">
        <f>SIN(alphanull)</f>
        <v>0.94043630578659065</v>
      </c>
      <c r="D12" s="70" t="s">
        <v>6</v>
      </c>
      <c r="E12" s="71">
        <f t="shared" ref="E12:Y12" si="9">-(-xupR+0.5*Konst*((POWER(TAN(E3/2),2*MR-2)/(2*MR-2))-(POWER(TAN(E3/2),2*MR+2)/(2*MR+2))-(POWER(TAN(alphanull/2),2*MR-2)/(2*MR-2))+(POWER(TAN(alphanull/2),2*MR+2)/(2*MR+2))))</f>
        <v>1.9999999999999998</v>
      </c>
      <c r="F12" s="71">
        <f t="shared" si="9"/>
        <v>1.994584564651434</v>
      </c>
      <c r="G12" s="71">
        <f t="shared" si="9"/>
        <v>1.6519197157588623</v>
      </c>
      <c r="H12" s="71">
        <f t="shared" si="9"/>
        <v>1.3257758830169371</v>
      </c>
      <c r="I12" s="71">
        <f t="shared" si="9"/>
        <v>1.0203718497708651</v>
      </c>
      <c r="J12" s="71">
        <f t="shared" si="9"/>
        <v>0.73779795403404402</v>
      </c>
      <c r="K12" s="71">
        <f t="shared" si="9"/>
        <v>0.47879007518529049</v>
      </c>
      <c r="L12" s="71">
        <f t="shared" si="9"/>
        <v>0.2432416293190014</v>
      </c>
      <c r="M12" s="71">
        <f t="shared" si="9"/>
        <v>3.0542537563093664E-2</v>
      </c>
      <c r="N12" s="71">
        <f t="shared" si="9"/>
        <v>-0.16019672130887042</v>
      </c>
      <c r="O12" s="71">
        <f t="shared" si="9"/>
        <v>-0.32999769724847727</v>
      </c>
      <c r="P12" s="71">
        <f t="shared" si="9"/>
        <v>-0.4799177966325292</v>
      </c>
      <c r="Q12" s="71">
        <f t="shared" si="9"/>
        <v>-0.61098839437743546</v>
      </c>
      <c r="R12" s="71">
        <f t="shared" si="9"/>
        <v>-0.7241758550724362</v>
      </c>
      <c r="S12" s="71">
        <f t="shared" si="9"/>
        <v>-0.82035781370462946</v>
      </c>
      <c r="T12" s="71">
        <f t="shared" si="9"/>
        <v>-0.90030958631158997</v>
      </c>
      <c r="U12" s="71">
        <f t="shared" si="9"/>
        <v>-0.96469733144360603</v>
      </c>
      <c r="V12" s="71">
        <f t="shared" si="9"/>
        <v>-1.0140759011663265</v>
      </c>
      <c r="W12" s="71">
        <f t="shared" si="9"/>
        <v>-1.0488906173874515</v>
      </c>
      <c r="X12" s="71">
        <f t="shared" si="9"/>
        <v>-1.0694847490040065</v>
      </c>
      <c r="Y12" s="71">
        <f t="shared" si="9"/>
        <v>-1.0761329749517738</v>
      </c>
      <c r="Z12" s="170"/>
      <c r="AA12" s="16">
        <v>4</v>
      </c>
      <c r="AB12" s="15"/>
      <c r="AC12" s="15"/>
      <c r="AD12" s="15"/>
      <c r="AE12" s="15"/>
      <c r="AF12" s="15"/>
      <c r="AG12" s="15"/>
      <c r="AH12" s="1"/>
      <c r="AI12" s="16">
        <v>4</v>
      </c>
      <c r="AJ12" s="63"/>
      <c r="AK12" s="63" t="s">
        <v>145</v>
      </c>
      <c r="AL12" s="63"/>
      <c r="AM12" s="63"/>
      <c r="AN12" s="63"/>
      <c r="AO12" s="63"/>
    </row>
    <row r="13" spans="1:41">
      <c r="A13" s="20" t="s">
        <v>114</v>
      </c>
      <c r="B13" s="16">
        <f>MR+unull</f>
        <v>2.3445076619429068</v>
      </c>
      <c r="D13" s="66" t="s">
        <v>10</v>
      </c>
      <c r="E13" s="67">
        <f t="shared" ref="E13:Y13" si="10">-voR*SIN(E3)*(MR+unull)/(MR+E5)*E9</f>
        <v>-2.1299999999999994</v>
      </c>
      <c r="F13" s="67">
        <f t="shared" si="10"/>
        <v>-2.125463925437018</v>
      </c>
      <c r="G13" s="67">
        <f t="shared" si="10"/>
        <v>-1.8494889743115608</v>
      </c>
      <c r="H13" s="67">
        <f t="shared" si="10"/>
        <v>-1.6029561248124096</v>
      </c>
      <c r="I13" s="67">
        <f t="shared" si="10"/>
        <v>-1.382569672412314</v>
      </c>
      <c r="J13" s="67">
        <f t="shared" si="10"/>
        <v>-1.1855321037177251</v>
      </c>
      <c r="K13" s="67">
        <f t="shared" si="10"/>
        <v>-1.0094610055996327</v>
      </c>
      <c r="L13" s="67">
        <f t="shared" si="10"/>
        <v>-0.85232218025602935</v>
      </c>
      <c r="M13" s="67">
        <f t="shared" si="10"/>
        <v>-0.71237551099245977</v>
      </c>
      <c r="N13" s="67">
        <f t="shared" si="10"/>
        <v>-0.58813093829854324</v>
      </c>
      <c r="O13" s="67">
        <f t="shared" si="10"/>
        <v>-0.47831251345041664</v>
      </c>
      <c r="P13" s="67">
        <f t="shared" si="10"/>
        <v>-0.38182895379073212</v>
      </c>
      <c r="Q13" s="67">
        <f t="shared" si="10"/>
        <v>-0.297749469878968</v>
      </c>
      <c r="R13" s="67">
        <f t="shared" si="10"/>
        <v>-0.22528389804994789</v>
      </c>
      <c r="S13" s="67">
        <f t="shared" si="10"/>
        <v>-0.16376637213796416</v>
      </c>
      <c r="T13" s="67">
        <f t="shared" si="10"/>
        <v>-0.1126419175580344</v>
      </c>
      <c r="U13" s="67">
        <f t="shared" si="10"/>
        <v>-7.145545352650548E-2</v>
      </c>
      <c r="V13" s="67">
        <f t="shared" si="10"/>
        <v>-3.984273215030297E-2</v>
      </c>
      <c r="W13" s="67">
        <f t="shared" si="10"/>
        <v>-1.7522657667376665E-2</v>
      </c>
      <c r="X13" s="67">
        <f t="shared" si="10"/>
        <v>-4.2898515550396955E-3</v>
      </c>
      <c r="Y13" s="67">
        <f t="shared" si="10"/>
        <v>-1.1086069254809669E-32</v>
      </c>
      <c r="AA13" s="16">
        <v>4.5</v>
      </c>
      <c r="AB13" s="15"/>
      <c r="AC13" s="15"/>
      <c r="AD13" s="15"/>
      <c r="AE13" s="15"/>
      <c r="AF13" s="15"/>
      <c r="AG13" s="15"/>
      <c r="AH13" s="1"/>
      <c r="AI13" s="16">
        <v>4.5</v>
      </c>
      <c r="AJ13" s="63"/>
      <c r="AK13" s="63"/>
      <c r="AL13" s="63"/>
      <c r="AM13" s="63"/>
      <c r="AN13" s="63"/>
      <c r="AO13" s="63"/>
    </row>
    <row r="14" spans="1:41">
      <c r="A14" s="20" t="s">
        <v>115</v>
      </c>
      <c r="B14" s="16">
        <f>POWER(TAN(alphanull/2),MR)</f>
        <v>0.49178006509797867</v>
      </c>
      <c r="D14" s="61" t="s">
        <v>11</v>
      </c>
      <c r="E14" s="15">
        <f t="shared" ref="E14:Y14" si="11">-voR*COS(E3)*(MR+unull)/(MR+E5)*E9</f>
        <v>-0.77000000000000013</v>
      </c>
      <c r="F14" s="15">
        <f t="shared" si="11"/>
        <v>-0.77076429622661458</v>
      </c>
      <c r="G14" s="15">
        <f t="shared" si="11"/>
        <v>-0.80891097732588968</v>
      </c>
      <c r="H14" s="15">
        <f t="shared" si="11"/>
        <v>-0.82784032870501012</v>
      </c>
      <c r="I14" s="15">
        <f t="shared" si="11"/>
        <v>-0.83088602645748444</v>
      </c>
      <c r="J14" s="15">
        <f t="shared" si="11"/>
        <v>-0.82076320127286639</v>
      </c>
      <c r="K14" s="15">
        <f t="shared" si="11"/>
        <v>-0.79969526734612462</v>
      </c>
      <c r="L14" s="15">
        <f t="shared" si="11"/>
        <v>-0.76951258980614234</v>
      </c>
      <c r="M14" s="15">
        <f t="shared" si="11"/>
        <v>-0.73172983102070444</v>
      </c>
      <c r="N14" s="15">
        <f t="shared" si="11"/>
        <v>-0.68760703846271465</v>
      </c>
      <c r="O14" s="15">
        <f t="shared" si="11"/>
        <v>-0.63819825636242788</v>
      </c>
      <c r="P14" s="15">
        <f t="shared" si="11"/>
        <v>-0.58439051418922039</v>
      </c>
      <c r="Q14" s="15">
        <f t="shared" si="11"/>
        <v>-0.52693536776667604</v>
      </c>
      <c r="R14" s="15">
        <f t="shared" si="11"/>
        <v>-0.4664746767226377</v>
      </c>
      <c r="S14" s="15">
        <f t="shared" si="11"/>
        <v>-0.40356195340491957</v>
      </c>
      <c r="T14" s="15">
        <f t="shared" si="11"/>
        <v>-0.33868039774247971</v>
      </c>
      <c r="U14" s="15">
        <f t="shared" si="11"/>
        <v>-0.27225867010990384</v>
      </c>
      <c r="V14" s="15">
        <f t="shared" si="11"/>
        <v>-0.20468571922657275</v>
      </c>
      <c r="W14" s="15">
        <f t="shared" si="11"/>
        <v>-0.13632736802656573</v>
      </c>
      <c r="X14" s="15">
        <f t="shared" si="11"/>
        <v>-6.7555079974255805E-2</v>
      </c>
      <c r="Y14" s="15">
        <f t="shared" si="11"/>
        <v>-1.006406901215029E-16</v>
      </c>
      <c r="AA14" s="16">
        <v>5</v>
      </c>
      <c r="AB14" s="15"/>
      <c r="AC14" s="15"/>
      <c r="AD14" s="15"/>
      <c r="AE14" s="15"/>
      <c r="AF14" s="15"/>
      <c r="AG14" s="15"/>
      <c r="AH14" s="1"/>
      <c r="AI14" s="16">
        <v>5</v>
      </c>
      <c r="AJ14" s="63"/>
      <c r="AK14" s="63"/>
      <c r="AL14" s="63"/>
      <c r="AM14" s="63"/>
      <c r="AN14" s="63"/>
      <c r="AO14" s="63"/>
    </row>
    <row r="15" spans="1:41">
      <c r="A15" s="20" t="s">
        <v>123</v>
      </c>
      <c r="B15" s="16">
        <f>-voR*voR*SIN(alphanull)*SIN(alphanull)/(2*9.81*SIN(ThetaR/180*PI())*POWER(TAN(alphanull/2),2*MR))</f>
        <v>-27.396759651326736</v>
      </c>
      <c r="D15" s="40" t="s">
        <v>15</v>
      </c>
      <c r="E15" s="19">
        <f>SQRT(E13*E13+E14*E14)</f>
        <v>2.2649061790723248</v>
      </c>
      <c r="F15" s="19">
        <f t="shared" ref="F15:Y15" si="12">SQRT(F13*F13+F14*F14)</f>
        <v>2.260901258054373</v>
      </c>
      <c r="G15" s="19">
        <f t="shared" si="12"/>
        <v>2.0186496564135035</v>
      </c>
      <c r="H15" s="19">
        <f t="shared" si="12"/>
        <v>1.8041030868284762</v>
      </c>
      <c r="I15" s="19">
        <f t="shared" si="12"/>
        <v>1.6130314590970012</v>
      </c>
      <c r="J15" s="19">
        <f t="shared" si="12"/>
        <v>1.4419218430653788</v>
      </c>
      <c r="K15" s="19">
        <f t="shared" si="12"/>
        <v>1.2878369626788988</v>
      </c>
      <c r="L15" s="19">
        <f t="shared" si="12"/>
        <v>1.148304282333976</v>
      </c>
      <c r="M15" s="19">
        <f t="shared" si="12"/>
        <v>1.0212283849694723</v>
      </c>
      <c r="N15" s="19">
        <f t="shared" si="12"/>
        <v>0.90482121987019626</v>
      </c>
      <c r="O15" s="19">
        <f t="shared" si="12"/>
        <v>0.79754615850576216</v>
      </c>
      <c r="P15" s="19">
        <f t="shared" si="12"/>
        <v>0.69807279206918416</v>
      </c>
      <c r="Q15" s="19">
        <f t="shared" si="12"/>
        <v>0.60524014127997872</v>
      </c>
      <c r="R15" s="19">
        <f t="shared" si="12"/>
        <v>0.51802650390116978</v>
      </c>
      <c r="S15" s="19">
        <f t="shared" si="12"/>
        <v>0.43552459732973137</v>
      </c>
      <c r="T15" s="19">
        <f t="shared" si="12"/>
        <v>0.35692101844267349</v>
      </c>
      <c r="U15" s="19">
        <f t="shared" si="12"/>
        <v>0.28147942249601837</v>
      </c>
      <c r="V15" s="19">
        <f t="shared" si="12"/>
        <v>0.20852742496012402</v>
      </c>
      <c r="W15" s="19">
        <f t="shared" si="12"/>
        <v>0.13744888069671127</v>
      </c>
      <c r="X15" s="19">
        <f t="shared" si="12"/>
        <v>6.7691149027715392E-2</v>
      </c>
      <c r="Y15" s="19">
        <f t="shared" si="12"/>
        <v>1.006406901215029E-16</v>
      </c>
      <c r="AB15" s="158" t="s">
        <v>139</v>
      </c>
      <c r="AC15" s="158"/>
      <c r="AD15" s="158"/>
      <c r="AE15" s="158"/>
      <c r="AF15" s="158"/>
      <c r="AG15" s="158"/>
      <c r="AL15" s="164" t="s">
        <v>124</v>
      </c>
      <c r="AM15" s="164"/>
    </row>
    <row r="16" spans="1:41">
      <c r="D16" s="92" t="s">
        <v>164</v>
      </c>
      <c r="E16" s="2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</row>
    <row r="17" spans="5:8">
      <c r="E17" s="29">
        <f>-((E12-F12)/(E11-F11)*E11-E12)</f>
        <v>0.45545191466166846</v>
      </c>
    </row>
    <row r="19" spans="5:8">
      <c r="H19" t="s">
        <v>42</v>
      </c>
    </row>
    <row r="54" spans="10:10">
      <c r="J54" t="s">
        <v>42</v>
      </c>
    </row>
  </sheetData>
  <mergeCells count="6">
    <mergeCell ref="Z11:Z12"/>
    <mergeCell ref="AB15:AG15"/>
    <mergeCell ref="AL15:AM15"/>
    <mergeCell ref="A2:C2"/>
    <mergeCell ref="AB2:AG2"/>
    <mergeCell ref="AB3:AG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O19"/>
  <sheetViews>
    <sheetView workbookViewId="0"/>
  </sheetViews>
  <sheetFormatPr baseColWidth="10" defaultRowHeight="15"/>
  <cols>
    <col min="1" max="48" width="5.7109375" customWidth="1"/>
    <col min="49" max="57" width="11.42578125" customWidth="1"/>
  </cols>
  <sheetData>
    <row r="1" spans="1:41">
      <c r="A1" s="16" t="s">
        <v>25</v>
      </c>
      <c r="B1" s="83">
        <v>2</v>
      </c>
      <c r="C1" s="15" t="s">
        <v>23</v>
      </c>
      <c r="D1" s="16" t="s">
        <v>16</v>
      </c>
      <c r="E1" s="31">
        <v>7.0000000000000007E-2</v>
      </c>
      <c r="G1" s="20" t="s">
        <v>113</v>
      </c>
      <c r="H1" s="15">
        <f>MüRR/TAN(ThetaR/180*PI())</f>
        <v>2.0045377298040923</v>
      </c>
    </row>
    <row r="2" spans="1:41">
      <c r="A2" s="174" t="s">
        <v>12</v>
      </c>
      <c r="B2" s="174"/>
      <c r="C2" s="174"/>
      <c r="D2" s="81" t="s">
        <v>127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AA2" s="76" t="s">
        <v>165</v>
      </c>
      <c r="AB2" s="143" t="s">
        <v>12</v>
      </c>
      <c r="AC2" s="144"/>
      <c r="AD2" s="144"/>
      <c r="AE2" s="144"/>
      <c r="AF2" s="144"/>
      <c r="AG2" s="175"/>
    </row>
    <row r="3" spans="1:41">
      <c r="A3" s="15" t="s">
        <v>108</v>
      </c>
      <c r="B3" s="16">
        <f>(PI()/2-alphanull)/19</f>
        <v>-4.8197979160237846E-2</v>
      </c>
      <c r="C3" s="28"/>
      <c r="D3" s="31" t="s">
        <v>109</v>
      </c>
      <c r="E3" s="15">
        <f>alphanull</f>
        <v>2.4865579308394157</v>
      </c>
      <c r="F3" s="15">
        <f>E3-0.0001</f>
        <v>2.4864579308394155</v>
      </c>
      <c r="G3" s="15">
        <f t="shared" ref="G3:X3" si="0">F3+deltaalpha</f>
        <v>2.4382599516791776</v>
      </c>
      <c r="H3" s="15">
        <f t="shared" si="0"/>
        <v>2.3900619725189398</v>
      </c>
      <c r="I3" s="15">
        <f t="shared" si="0"/>
        <v>2.341863993358702</v>
      </c>
      <c r="J3" s="15">
        <f t="shared" si="0"/>
        <v>2.2936660141984642</v>
      </c>
      <c r="K3" s="15">
        <f t="shared" si="0"/>
        <v>2.2454680350382263</v>
      </c>
      <c r="L3" s="15">
        <f t="shared" si="0"/>
        <v>2.1972700558779885</v>
      </c>
      <c r="M3" s="15">
        <f t="shared" si="0"/>
        <v>2.1490720767177507</v>
      </c>
      <c r="N3" s="15">
        <f t="shared" si="0"/>
        <v>2.1008740975575129</v>
      </c>
      <c r="O3" s="15">
        <f t="shared" si="0"/>
        <v>2.052676118397275</v>
      </c>
      <c r="P3" s="15">
        <f t="shared" si="0"/>
        <v>2.0044781392370372</v>
      </c>
      <c r="Q3" s="15">
        <f t="shared" si="0"/>
        <v>1.9562801600767994</v>
      </c>
      <c r="R3" s="15">
        <f t="shared" si="0"/>
        <v>1.9080821809165616</v>
      </c>
      <c r="S3" s="15">
        <f t="shared" si="0"/>
        <v>1.8598842017563237</v>
      </c>
      <c r="T3" s="15">
        <f t="shared" si="0"/>
        <v>1.8116862225960859</v>
      </c>
      <c r="U3" s="15">
        <f t="shared" si="0"/>
        <v>1.7634882434358481</v>
      </c>
      <c r="V3" s="15">
        <f t="shared" si="0"/>
        <v>1.7152902642756103</v>
      </c>
      <c r="W3" s="15">
        <f t="shared" si="0"/>
        <v>1.6670922851153724</v>
      </c>
      <c r="X3" s="15">
        <f t="shared" si="0"/>
        <v>1.6188943059551346</v>
      </c>
      <c r="Y3" s="15">
        <f>X3+deltaalpha+0.001</f>
        <v>1.5716963267948967</v>
      </c>
      <c r="AA3" s="53" t="s">
        <v>101</v>
      </c>
      <c r="AB3" s="150" t="s">
        <v>104</v>
      </c>
      <c r="AC3" s="150"/>
      <c r="AD3" s="150"/>
      <c r="AE3" s="150"/>
      <c r="AF3" s="150"/>
      <c r="AG3" s="150"/>
    </row>
    <row r="4" spans="1:41">
      <c r="A4" s="20" t="s">
        <v>17</v>
      </c>
      <c r="B4" s="27">
        <v>2</v>
      </c>
      <c r="C4" s="89" t="s">
        <v>21</v>
      </c>
      <c r="D4" s="31" t="s">
        <v>146</v>
      </c>
      <c r="E4" s="15">
        <f>E3/PI()*180</f>
        <v>142.46927495188137</v>
      </c>
      <c r="F4" s="15">
        <f t="shared" ref="F4:Y4" si="1">F3/PI()*180</f>
        <v>142.46354537393006</v>
      </c>
      <c r="G4" s="15">
        <f t="shared" si="1"/>
        <v>139.70200458698892</v>
      </c>
      <c r="H4" s="15">
        <f t="shared" si="1"/>
        <v>136.94046380004781</v>
      </c>
      <c r="I4" s="15">
        <f t="shared" si="1"/>
        <v>134.17892301310667</v>
      </c>
      <c r="J4" s="15">
        <f t="shared" si="1"/>
        <v>131.41738222616556</v>
      </c>
      <c r="K4" s="15">
        <f t="shared" si="1"/>
        <v>128.65584143922445</v>
      </c>
      <c r="L4" s="15">
        <f t="shared" si="1"/>
        <v>125.89430065228331</v>
      </c>
      <c r="M4" s="15">
        <f t="shared" si="1"/>
        <v>123.13275986534218</v>
      </c>
      <c r="N4" s="15">
        <f t="shared" si="1"/>
        <v>120.37121907840107</v>
      </c>
      <c r="O4" s="15">
        <f t="shared" si="1"/>
        <v>117.60967829145994</v>
      </c>
      <c r="P4" s="15">
        <f t="shared" si="1"/>
        <v>114.8481375045188</v>
      </c>
      <c r="Q4" s="15">
        <f t="shared" si="1"/>
        <v>112.08659671757769</v>
      </c>
      <c r="R4" s="15">
        <f t="shared" si="1"/>
        <v>109.32505593063657</v>
      </c>
      <c r="S4" s="15">
        <f t="shared" si="1"/>
        <v>106.56351514369544</v>
      </c>
      <c r="T4" s="15">
        <f t="shared" si="1"/>
        <v>103.80197435675433</v>
      </c>
      <c r="U4" s="15">
        <f t="shared" si="1"/>
        <v>101.04043356981319</v>
      </c>
      <c r="V4" s="15">
        <f t="shared" si="1"/>
        <v>98.278892782872063</v>
      </c>
      <c r="W4" s="15">
        <f t="shared" si="1"/>
        <v>95.517351995930952</v>
      </c>
      <c r="X4" s="15">
        <f t="shared" si="1"/>
        <v>92.755811208989826</v>
      </c>
      <c r="Y4" s="15">
        <f t="shared" si="1"/>
        <v>90.051566201561783</v>
      </c>
      <c r="AA4" s="53" t="s">
        <v>88</v>
      </c>
      <c r="AB4" s="31">
        <v>0.5</v>
      </c>
      <c r="AC4" s="15">
        <v>1</v>
      </c>
      <c r="AD4" s="31">
        <v>1.5</v>
      </c>
      <c r="AE4" s="15">
        <v>2</v>
      </c>
      <c r="AF4" s="31">
        <v>2.5</v>
      </c>
      <c r="AG4" s="15">
        <v>3</v>
      </c>
      <c r="AH4" s="1" t="s">
        <v>25</v>
      </c>
      <c r="AJ4" s="31">
        <v>0.5</v>
      </c>
      <c r="AK4" s="15">
        <v>1</v>
      </c>
      <c r="AL4" s="31">
        <v>1.5</v>
      </c>
      <c r="AM4" s="15">
        <v>2</v>
      </c>
      <c r="AN4" s="31">
        <v>2.5</v>
      </c>
      <c r="AO4" s="15">
        <v>3</v>
      </c>
    </row>
    <row r="5" spans="1:41">
      <c r="A5" s="20" t="s">
        <v>18</v>
      </c>
      <c r="B5" s="27">
        <v>-2</v>
      </c>
      <c r="C5" s="89" t="s">
        <v>21</v>
      </c>
      <c r="D5" s="31" t="s">
        <v>111</v>
      </c>
      <c r="E5" s="15">
        <f>COS(E3)</f>
        <v>-0.79302677593924054</v>
      </c>
      <c r="F5" s="15">
        <f t="shared" ref="F5:Y5" si="2">COS(F3)</f>
        <v>-0.79296585329623137</v>
      </c>
      <c r="G5" s="15">
        <f t="shared" si="2"/>
        <v>-0.76269095823208177</v>
      </c>
      <c r="H5" s="15">
        <f t="shared" si="2"/>
        <v>-0.73064464056644018</v>
      </c>
      <c r="I5" s="15">
        <f t="shared" si="2"/>
        <v>-0.69690133093309714</v>
      </c>
      <c r="J5" s="15">
        <f t="shared" si="2"/>
        <v>-0.66153940139178213</v>
      </c>
      <c r="K5" s="15">
        <f t="shared" si="2"/>
        <v>-0.62464098340156859</v>
      </c>
      <c r="L5" s="15">
        <f t="shared" si="2"/>
        <v>-0.58629177706271574</v>
      </c>
      <c r="M5" s="15">
        <f t="shared" si="2"/>
        <v>-0.54658085206999918</v>
      </c>
      <c r="N5" s="15">
        <f t="shared" si="2"/>
        <v>-0.50560044083983746</v>
      </c>
      <c r="O5" s="15">
        <f t="shared" si="2"/>
        <v>-0.46344572429169462</v>
      </c>
      <c r="P5" s="15">
        <f t="shared" si="2"/>
        <v>-0.42021461078130368</v>
      </c>
      <c r="Q5" s="15">
        <f t="shared" si="2"/>
        <v>-0.37600750869915806</v>
      </c>
      <c r="R5" s="15">
        <f t="shared" si="2"/>
        <v>-0.33092709326243391</v>
      </c>
      <c r="S5" s="15">
        <f t="shared" si="2"/>
        <v>-0.28507806804199082</v>
      </c>
      <c r="T5" s="15">
        <f t="shared" si="2"/>
        <v>-0.23856692177832756</v>
      </c>
      <c r="U5" s="15">
        <f t="shared" si="2"/>
        <v>-0.19150168105131035</v>
      </c>
      <c r="V5" s="15">
        <f t="shared" si="2"/>
        <v>-0.14399165937812286</v>
      </c>
      <c r="W5" s="15">
        <f t="shared" si="2"/>
        <v>-9.6147203322180921E-2</v>
      </c>
      <c r="X5" s="15">
        <f t="shared" si="2"/>
        <v>-4.8079436202698979E-2</v>
      </c>
      <c r="Y5" s="15">
        <f t="shared" si="2"/>
        <v>-8.999998785000666E-4</v>
      </c>
      <c r="AA5" s="16">
        <v>0.5</v>
      </c>
      <c r="AB5" s="15"/>
      <c r="AC5" s="15"/>
      <c r="AD5" s="15"/>
      <c r="AE5" s="15"/>
      <c r="AF5" s="15"/>
      <c r="AG5" s="15"/>
      <c r="AI5" s="16">
        <v>0.5</v>
      </c>
      <c r="AJ5" s="63"/>
      <c r="AK5" s="63"/>
      <c r="AL5" s="63"/>
      <c r="AM5" s="63"/>
      <c r="AN5" s="63"/>
      <c r="AO5" s="63"/>
    </row>
    <row r="6" spans="1:41">
      <c r="A6" s="20" t="s">
        <v>19</v>
      </c>
      <c r="B6" s="96">
        <v>-1.405</v>
      </c>
      <c r="C6" s="89" t="s">
        <v>22</v>
      </c>
      <c r="D6" s="31" t="s">
        <v>122</v>
      </c>
      <c r="E6" s="15">
        <f t="shared" ref="E6:Y6" si="3">(MR+E5)</f>
        <v>1.2115109538648516</v>
      </c>
      <c r="F6" s="15">
        <f t="shared" si="3"/>
        <v>1.2115718765078609</v>
      </c>
      <c r="G6" s="15">
        <f t="shared" si="3"/>
        <v>1.2418467715720105</v>
      </c>
      <c r="H6" s="15">
        <f t="shared" si="3"/>
        <v>1.2738930892376521</v>
      </c>
      <c r="I6" s="15">
        <f t="shared" si="3"/>
        <v>1.3076363988709951</v>
      </c>
      <c r="J6" s="15">
        <f t="shared" si="3"/>
        <v>1.3429983284123101</v>
      </c>
      <c r="K6" s="15">
        <f t="shared" si="3"/>
        <v>1.3798967464025238</v>
      </c>
      <c r="L6" s="15">
        <f t="shared" si="3"/>
        <v>1.4182459527413767</v>
      </c>
      <c r="M6" s="15">
        <f t="shared" si="3"/>
        <v>1.4579568777340932</v>
      </c>
      <c r="N6" s="15">
        <f t="shared" si="3"/>
        <v>1.4989372889642549</v>
      </c>
      <c r="O6" s="15">
        <f t="shared" si="3"/>
        <v>1.5410920055123976</v>
      </c>
      <c r="P6" s="15">
        <f t="shared" si="3"/>
        <v>1.5843231190227887</v>
      </c>
      <c r="Q6" s="15">
        <f t="shared" si="3"/>
        <v>1.6285302211049342</v>
      </c>
      <c r="R6" s="15">
        <f t="shared" si="3"/>
        <v>1.6736106365416583</v>
      </c>
      <c r="S6" s="15">
        <f t="shared" si="3"/>
        <v>1.7194596617621014</v>
      </c>
      <c r="T6" s="15">
        <f t="shared" si="3"/>
        <v>1.7659708080257648</v>
      </c>
      <c r="U6" s="15">
        <f t="shared" si="3"/>
        <v>1.8130360487527819</v>
      </c>
      <c r="V6" s="15">
        <f t="shared" si="3"/>
        <v>1.8605460704259693</v>
      </c>
      <c r="W6" s="15">
        <f t="shared" si="3"/>
        <v>1.9083905264819114</v>
      </c>
      <c r="X6" s="15">
        <f t="shared" si="3"/>
        <v>1.9564582936013932</v>
      </c>
      <c r="Y6" s="15">
        <f t="shared" si="3"/>
        <v>2.0036377299255923</v>
      </c>
      <c r="AA6" s="16">
        <v>1</v>
      </c>
      <c r="AB6" s="15"/>
      <c r="AC6" s="15"/>
      <c r="AD6" s="15"/>
      <c r="AE6" s="15"/>
      <c r="AF6" s="15"/>
      <c r="AG6" s="15"/>
      <c r="AI6" s="16">
        <v>1</v>
      </c>
      <c r="AJ6" s="63" t="s">
        <v>137</v>
      </c>
      <c r="AK6" s="63" t="s">
        <v>128</v>
      </c>
      <c r="AL6" s="63" t="s">
        <v>136</v>
      </c>
      <c r="AM6" s="63" t="s">
        <v>155</v>
      </c>
      <c r="AN6" s="63" t="s">
        <v>156</v>
      </c>
      <c r="AO6" s="63" t="s">
        <v>158</v>
      </c>
    </row>
    <row r="7" spans="1:41">
      <c r="A7" s="20" t="s">
        <v>20</v>
      </c>
      <c r="B7" s="96">
        <v>1.829</v>
      </c>
      <c r="C7" s="89" t="s">
        <v>22</v>
      </c>
      <c r="D7" s="31" t="s">
        <v>116</v>
      </c>
      <c r="E7" s="15">
        <f t="shared" ref="E7:Y7" si="4">POWER(TAN(E3/2),MR)</f>
        <v>8.7056271455051544</v>
      </c>
      <c r="F7" s="15">
        <f t="shared" si="4"/>
        <v>8.7027632041787371</v>
      </c>
      <c r="G7" s="15">
        <f t="shared" si="4"/>
        <v>7.4616995700000439</v>
      </c>
      <c r="H7" s="15">
        <f t="shared" si="4"/>
        <v>6.4523104679219854</v>
      </c>
      <c r="I7" s="15">
        <f t="shared" si="4"/>
        <v>5.6204337956771679</v>
      </c>
      <c r="J7" s="15">
        <f t="shared" si="4"/>
        <v>4.9268610889284083</v>
      </c>
      <c r="K7" s="15">
        <f t="shared" si="4"/>
        <v>4.3426442629512332</v>
      </c>
      <c r="L7" s="15">
        <f t="shared" si="4"/>
        <v>3.8460349916039411</v>
      </c>
      <c r="M7" s="15">
        <f t="shared" si="4"/>
        <v>3.4204385209880943</v>
      </c>
      <c r="N7" s="15">
        <f t="shared" si="4"/>
        <v>3.0530151071062694</v>
      </c>
      <c r="O7" s="15">
        <f t="shared" si="4"/>
        <v>2.7337050016747502</v>
      </c>
      <c r="P7" s="15">
        <f t="shared" si="4"/>
        <v>2.4545364999817751</v>
      </c>
      <c r="Q7" s="15">
        <f t="shared" si="4"/>
        <v>2.2091268914935953</v>
      </c>
      <c r="R7" s="15">
        <f t="shared" si="4"/>
        <v>1.9923172185434073</v>
      </c>
      <c r="S7" s="15">
        <f t="shared" si="4"/>
        <v>1.7999013605654968</v>
      </c>
      <c r="T7" s="15">
        <f t="shared" si="4"/>
        <v>1.6284225996222343</v>
      </c>
      <c r="U7" s="15">
        <f t="shared" si="4"/>
        <v>1.4750191212223709</v>
      </c>
      <c r="V7" s="15">
        <f t="shared" si="4"/>
        <v>1.3373054474531705</v>
      </c>
      <c r="W7" s="15">
        <f t="shared" si="4"/>
        <v>1.2132805610845319</v>
      </c>
      <c r="X7" s="15">
        <f t="shared" si="4"/>
        <v>1.101256069619895</v>
      </c>
      <c r="Y7" s="15">
        <f t="shared" si="4"/>
        <v>1.0018057125393489</v>
      </c>
      <c r="AA7" s="16">
        <v>1.5</v>
      </c>
      <c r="AB7" s="15"/>
      <c r="AC7" s="15"/>
      <c r="AD7" s="15"/>
      <c r="AE7" s="15"/>
      <c r="AF7" s="15"/>
      <c r="AG7" s="15"/>
      <c r="AI7" s="16">
        <v>1.5</v>
      </c>
      <c r="AJ7" s="63"/>
      <c r="AK7" s="63"/>
      <c r="AL7" s="63"/>
      <c r="AM7" s="63"/>
      <c r="AN7" s="63"/>
      <c r="AO7" s="63"/>
    </row>
    <row r="8" spans="1:41">
      <c r="A8" s="20" t="s">
        <v>118</v>
      </c>
      <c r="B8" s="18">
        <f>SQRT(vxupR*vxupR+vyupR*vyupR)</f>
        <v>2.3063533987661127</v>
      </c>
      <c r="C8" s="89" t="s">
        <v>22</v>
      </c>
      <c r="D8" s="31" t="s">
        <v>117</v>
      </c>
      <c r="E8" s="15">
        <f>SIN(E3)</f>
        <v>0.60918677976743185</v>
      </c>
      <c r="F8" s="15">
        <f t="shared" ref="F8:Y8" si="5">SIN(F3)</f>
        <v>0.60926607939895983</v>
      </c>
      <c r="G8" s="15">
        <f t="shared" si="5"/>
        <v>0.6467630959099544</v>
      </c>
      <c r="H8" s="15">
        <f t="shared" si="5"/>
        <v>0.68275794335294071</v>
      </c>
      <c r="I8" s="15">
        <f t="shared" si="5"/>
        <v>0.7171670202565632</v>
      </c>
      <c r="J8" s="15">
        <f t="shared" si="5"/>
        <v>0.74991040825301425</v>
      </c>
      <c r="K8" s="15">
        <f t="shared" si="5"/>
        <v>0.78091205769607708</v>
      </c>
      <c r="L8" s="15">
        <f t="shared" si="5"/>
        <v>0.81009996429369313</v>
      </c>
      <c r="M8" s="15">
        <f t="shared" si="5"/>
        <v>0.83740633634480799</v>
      </c>
      <c r="N8" s="15">
        <f t="shared" si="5"/>
        <v>0.86276775219207291</v>
      </c>
      <c r="O8" s="15">
        <f t="shared" si="5"/>
        <v>0.88612530752470142</v>
      </c>
      <c r="P8" s="15">
        <f t="shared" si="5"/>
        <v>0.90742475218935781</v>
      </c>
      <c r="Q8" s="15">
        <f t="shared" si="5"/>
        <v>0.9266166161913203</v>
      </c>
      <c r="R8" s="15">
        <f t="shared" si="5"/>
        <v>0.94365632459326865</v>
      </c>
      <c r="S8" s="15">
        <f t="shared" si="5"/>
        <v>0.95850430104483419</v>
      </c>
      <c r="T8" s="15">
        <f t="shared" si="5"/>
        <v>0.97112605970245358</v>
      </c>
      <c r="U8" s="15">
        <f t="shared" si="5"/>
        <v>0.98149228532603461</v>
      </c>
      <c r="V8" s="15">
        <f t="shared" si="5"/>
        <v>0.9895789013664017</v>
      </c>
      <c r="W8" s="15">
        <f t="shared" si="5"/>
        <v>0.99536712588538068</v>
      </c>
      <c r="X8" s="15">
        <f t="shared" si="5"/>
        <v>0.99884351517864434</v>
      </c>
      <c r="Y8" s="15">
        <f t="shared" si="5"/>
        <v>0.99999959500002733</v>
      </c>
      <c r="AA8" s="16">
        <v>2</v>
      </c>
      <c r="AB8" s="15"/>
      <c r="AC8" s="15"/>
      <c r="AD8" s="15"/>
      <c r="AE8" s="65">
        <v>0.60299999999999998</v>
      </c>
      <c r="AF8" s="15"/>
      <c r="AG8" s="15"/>
      <c r="AI8" s="16">
        <v>2</v>
      </c>
      <c r="AJ8" s="63" t="s">
        <v>150</v>
      </c>
      <c r="AK8" s="63" t="s">
        <v>129</v>
      </c>
      <c r="AL8" s="63" t="s">
        <v>135</v>
      </c>
      <c r="AM8" s="87" t="s">
        <v>278</v>
      </c>
      <c r="AN8" s="63" t="s">
        <v>157</v>
      </c>
      <c r="AO8" s="63" t="s">
        <v>130</v>
      </c>
    </row>
    <row r="9" spans="1:41">
      <c r="A9" s="20" t="s">
        <v>110</v>
      </c>
      <c r="B9" s="60">
        <f>ATAN(vyupR/vxupR)+PI()</f>
        <v>2.4865579308394157</v>
      </c>
      <c r="C9" s="89" t="s">
        <v>120</v>
      </c>
      <c r="D9" s="31" t="s">
        <v>119</v>
      </c>
      <c r="E9" s="15">
        <f>(E6*ZZ2null*E7/E8/N2null/N3null)</f>
        <v>0.99999999999999978</v>
      </c>
      <c r="F9" s="15">
        <f t="shared" ref="F9:Y9" si="6">(F6*ZZ2null*F7/F8/N2null/N3null)</f>
        <v>0.99959117435997979</v>
      </c>
      <c r="G9" s="15">
        <f t="shared" si="6"/>
        <v>0.82752972467135522</v>
      </c>
      <c r="H9" s="15">
        <f t="shared" si="6"/>
        <v>0.69535172829170822</v>
      </c>
      <c r="I9" s="15">
        <f t="shared" si="6"/>
        <v>0.59191533240920846</v>
      </c>
      <c r="J9" s="15">
        <f t="shared" si="6"/>
        <v>0.50963526313549912</v>
      </c>
      <c r="K9" s="15">
        <f t="shared" si="6"/>
        <v>0.44322247923352692</v>
      </c>
      <c r="L9" s="15">
        <f t="shared" si="6"/>
        <v>0.38891010996974396</v>
      </c>
      <c r="M9" s="15">
        <f t="shared" si="6"/>
        <v>0.34396423468683718</v>
      </c>
      <c r="N9" s="15">
        <f t="shared" si="6"/>
        <v>0.30636671150329536</v>
      </c>
      <c r="O9" s="15">
        <f t="shared" si="6"/>
        <v>0.27460480793967429</v>
      </c>
      <c r="P9" s="15">
        <f t="shared" si="6"/>
        <v>0.24752877626563211</v>
      </c>
      <c r="Q9" s="15">
        <f t="shared" si="6"/>
        <v>0.22425362028235193</v>
      </c>
      <c r="R9" s="15">
        <f t="shared" si="6"/>
        <v>0.20409018658345807</v>
      </c>
      <c r="S9" s="15">
        <f t="shared" si="6"/>
        <v>0.1864960737125777</v>
      </c>
      <c r="T9" s="15">
        <f t="shared" si="6"/>
        <v>0.17104016032293534</v>
      </c>
      <c r="U9" s="15">
        <f t="shared" si="6"/>
        <v>0.15737663724662537</v>
      </c>
      <c r="V9" s="15">
        <f t="shared" si="6"/>
        <v>0.14522576634876608</v>
      </c>
      <c r="W9" s="15">
        <f t="shared" si="6"/>
        <v>0.13435946329262208</v>
      </c>
      <c r="X9" s="15">
        <f t="shared" si="6"/>
        <v>0.12459038190360755</v>
      </c>
      <c r="Y9" s="15">
        <f t="shared" si="6"/>
        <v>0.11593803701052234</v>
      </c>
      <c r="AA9" s="16">
        <v>2.5</v>
      </c>
      <c r="AB9" s="15"/>
      <c r="AC9" s="15"/>
      <c r="AD9" s="15"/>
      <c r="AE9" s="15"/>
      <c r="AF9" s="15"/>
      <c r="AG9" s="15"/>
      <c r="AI9" s="16">
        <v>2.5</v>
      </c>
      <c r="AJ9" s="63"/>
      <c r="AK9" s="63"/>
      <c r="AL9" s="63"/>
      <c r="AM9" s="63"/>
      <c r="AN9" s="63"/>
      <c r="AO9" s="63"/>
    </row>
    <row r="10" spans="1:41">
      <c r="A10" s="20" t="s">
        <v>110</v>
      </c>
      <c r="B10" s="84">
        <f>ATAN(vyupR/vxupR)/PI()*180+180</f>
        <v>142.46927495188135</v>
      </c>
      <c r="C10" s="89" t="s">
        <v>23</v>
      </c>
      <c r="D10" s="88" t="s">
        <v>9</v>
      </c>
      <c r="E10" s="17">
        <f>voR*(MR+unull)/9.81/SIN(ThetaR/180*PI())/(1-MR*MR)*(E9-1)</f>
        <v>6.0042855533302497E-16</v>
      </c>
      <c r="F10" s="17">
        <f>voR*(MR+unull)/9.81/SIN(ThetaR/180*PI())/(1-MR*MR)*(F9-1)</f>
        <v>1.1055012505406696E-3</v>
      </c>
      <c r="G10" s="17">
        <f t="shared" ref="G10:Y10" si="7">voR*(MR+unull)/9.81/SIN(ThetaR/180*PI())/(1-MR*MR)*(G9-1)</f>
        <v>0.46637511543426502</v>
      </c>
      <c r="H10" s="17">
        <f t="shared" si="7"/>
        <v>0.82379628961609508</v>
      </c>
      <c r="I10" s="17">
        <f t="shared" si="7"/>
        <v>1.103497594538829</v>
      </c>
      <c r="J10" s="17">
        <f t="shared" si="7"/>
        <v>1.3259902920911721</v>
      </c>
      <c r="K10" s="17">
        <f t="shared" si="7"/>
        <v>1.505576424829542</v>
      </c>
      <c r="L10" s="17">
        <f t="shared" si="7"/>
        <v>1.652441949550475</v>
      </c>
      <c r="M10" s="17">
        <f t="shared" si="7"/>
        <v>1.7739796332667963</v>
      </c>
      <c r="N10" s="17">
        <f t="shared" si="7"/>
        <v>1.8756467128917025</v>
      </c>
      <c r="O10" s="17">
        <f t="shared" si="7"/>
        <v>1.961533752920307</v>
      </c>
      <c r="P10" s="17">
        <f t="shared" si="7"/>
        <v>2.0347497744835659</v>
      </c>
      <c r="Q10" s="17">
        <f t="shared" si="7"/>
        <v>2.0976878867917215</v>
      </c>
      <c r="R10" s="17">
        <f t="shared" si="7"/>
        <v>2.1522116225540366</v>
      </c>
      <c r="S10" s="17">
        <f t="shared" si="7"/>
        <v>2.1997876840259902</v>
      </c>
      <c r="T10" s="17">
        <f t="shared" si="7"/>
        <v>2.2415818620517456</v>
      </c>
      <c r="U10" s="17">
        <f t="shared" si="7"/>
        <v>2.2785292556812289</v>
      </c>
      <c r="V10" s="17">
        <f t="shared" si="7"/>
        <v>2.3113863019566971</v>
      </c>
      <c r="W10" s="17">
        <f t="shared" si="7"/>
        <v>2.3407697614107748</v>
      </c>
      <c r="X10" s="17">
        <f t="shared" si="7"/>
        <v>2.3671862349266122</v>
      </c>
      <c r="Y10" s="17">
        <f t="shared" si="7"/>
        <v>2.3905829526543516</v>
      </c>
      <c r="AA10" s="16">
        <v>3</v>
      </c>
      <c r="AB10" s="15"/>
      <c r="AC10" s="15"/>
      <c r="AD10" s="15"/>
      <c r="AE10" s="15"/>
      <c r="AF10" s="15"/>
      <c r="AG10" s="15"/>
      <c r="AI10" s="16">
        <v>3</v>
      </c>
      <c r="AJ10" s="63" t="s">
        <v>151</v>
      </c>
      <c r="AK10" s="63" t="s">
        <v>153</v>
      </c>
      <c r="AL10" s="63" t="s">
        <v>134</v>
      </c>
      <c r="AM10" s="63" t="s">
        <v>131</v>
      </c>
      <c r="AN10" s="63"/>
      <c r="AO10" s="63"/>
    </row>
    <row r="11" spans="1:41">
      <c r="A11" s="20" t="s">
        <v>112</v>
      </c>
      <c r="B11" s="16">
        <f>COS(alphanull)</f>
        <v>-0.79302677593924054</v>
      </c>
      <c r="C11" s="28"/>
      <c r="D11" s="68" t="s">
        <v>7</v>
      </c>
      <c r="E11" s="69">
        <f t="shared" ref="E11:Y11" si="8">-(-yupR+Konst*((POWER(TAN(E3/2),2*MR-1)/(2*MR-1))+(POWER(TAN(E3/2),2*MR+1)/(2*MR+1))-(POWER(TAN(alphanull/2),2*MR-1)/(2*MR-1))-(POWER(TAN(alphanull/2),2*MR+1)/(2*MR+1))))</f>
        <v>2</v>
      </c>
      <c r="F11" s="69">
        <f t="shared" si="8"/>
        <v>1.9984470262249256</v>
      </c>
      <c r="G11" s="69">
        <f t="shared" si="8"/>
        <v>1.3910903859461756</v>
      </c>
      <c r="H11" s="69">
        <f t="shared" si="8"/>
        <v>0.98951877712809799</v>
      </c>
      <c r="I11" s="69">
        <f t="shared" si="8"/>
        <v>0.71687736897743393</v>
      </c>
      <c r="J11" s="69">
        <f t="shared" si="8"/>
        <v>0.52741825724653846</v>
      </c>
      <c r="K11" s="69">
        <f t="shared" si="8"/>
        <v>0.39303030253669058</v>
      </c>
      <c r="L11" s="69">
        <f t="shared" si="8"/>
        <v>0.29594778766013774</v>
      </c>
      <c r="M11" s="69">
        <f t="shared" si="8"/>
        <v>0.22465896670196517</v>
      </c>
      <c r="N11" s="69">
        <f t="shared" si="8"/>
        <v>0.17153564540872224</v>
      </c>
      <c r="O11" s="69">
        <f t="shared" si="8"/>
        <v>0.13142006590949196</v>
      </c>
      <c r="P11" s="69">
        <f t="shared" si="8"/>
        <v>0.10076056412645351</v>
      </c>
      <c r="Q11" s="69">
        <f t="shared" si="8"/>
        <v>7.7070463333158257E-2</v>
      </c>
      <c r="R11" s="69">
        <f t="shared" si="8"/>
        <v>5.8582096681339957E-2</v>
      </c>
      <c r="S11" s="69">
        <f t="shared" si="8"/>
        <v>4.4021288620140098E-2</v>
      </c>
      <c r="T11" s="69">
        <f t="shared" si="8"/>
        <v>3.2457735485211581E-2</v>
      </c>
      <c r="U11" s="69">
        <f t="shared" si="8"/>
        <v>2.3204114905464257E-2</v>
      </c>
      <c r="V11" s="69">
        <f t="shared" si="8"/>
        <v>1.5747025619767152E-2</v>
      </c>
      <c r="W11" s="69">
        <f t="shared" si="8"/>
        <v>9.6990542358939003E-3</v>
      </c>
      <c r="X11" s="69">
        <f t="shared" si="8"/>
        <v>4.7650738747531118E-3</v>
      </c>
      <c r="Y11" s="69">
        <f t="shared" si="8"/>
        <v>7.9446391714244058E-4</v>
      </c>
      <c r="Z11" s="170">
        <f>SQRT(Y11*Y11+Y12*Y12)</f>
        <v>1.7827753970082875E-3</v>
      </c>
      <c r="AA11" s="16">
        <v>3.5</v>
      </c>
      <c r="AB11" s="15"/>
      <c r="AC11" s="15"/>
      <c r="AD11" s="15"/>
      <c r="AE11" s="15"/>
      <c r="AF11" s="15"/>
      <c r="AG11" s="15"/>
      <c r="AI11" s="16">
        <v>3.5</v>
      </c>
      <c r="AJ11" s="63"/>
      <c r="AK11" s="63"/>
      <c r="AL11" s="63"/>
      <c r="AM11" s="63"/>
      <c r="AN11" s="63"/>
      <c r="AO11" s="63"/>
    </row>
    <row r="12" spans="1:41">
      <c r="A12" s="20" t="s">
        <v>121</v>
      </c>
      <c r="B12" s="16">
        <f>SIN(alphanull)</f>
        <v>0.60918677976743185</v>
      </c>
      <c r="C12" s="28"/>
      <c r="D12" s="85" t="s">
        <v>6</v>
      </c>
      <c r="E12" s="71">
        <f t="shared" ref="E12:Y12" si="9">-(-xupR+0.5*Konst*((POWER(TAN(E3/2),2*MR-2)/(2*MR-2))-(POWER(TAN(E3/2),2*MR+2)/(2*MR+2))-(POWER(TAN(alphanull/2),2*MR-2)/(2*MR-2))+(POWER(TAN(alphanull/2),2*MR+2)/(2*MR+2))))</f>
        <v>-2</v>
      </c>
      <c r="F12" s="71">
        <f t="shared" si="9"/>
        <v>-1.99797857997814</v>
      </c>
      <c r="G12" s="71">
        <f t="shared" si="9"/>
        <v>-1.2427277296347601</v>
      </c>
      <c r="H12" s="71">
        <f t="shared" si="9"/>
        <v>-0.79002484865978229</v>
      </c>
      <c r="I12" s="71">
        <f t="shared" si="9"/>
        <v>-0.51105838529434</v>
      </c>
      <c r="J12" s="71">
        <f t="shared" si="9"/>
        <v>-0.33506728760714877</v>
      </c>
      <c r="K12" s="71">
        <f t="shared" si="9"/>
        <v>-0.22181178021863635</v>
      </c>
      <c r="L12" s="71">
        <f t="shared" si="9"/>
        <v>-0.14770417647504153</v>
      </c>
      <c r="M12" s="71">
        <f t="shared" si="9"/>
        <v>-9.8543135133887239E-2</v>
      </c>
      <c r="N12" s="71">
        <f t="shared" si="9"/>
        <v>-6.5573430307944047E-2</v>
      </c>
      <c r="O12" s="71">
        <f t="shared" si="9"/>
        <v>-4.328236095304927E-2</v>
      </c>
      <c r="P12" s="71">
        <f t="shared" si="9"/>
        <v>-2.813293811888351E-2</v>
      </c>
      <c r="Q12" s="71">
        <f t="shared" si="9"/>
        <v>-1.7817315104661224E-2</v>
      </c>
      <c r="R12" s="71">
        <f t="shared" si="9"/>
        <v>-1.0806830125272615E-2</v>
      </c>
      <c r="S12" s="71">
        <f t="shared" si="9"/>
        <v>-6.075239309785152E-3</v>
      </c>
      <c r="T12" s="71">
        <f t="shared" si="9"/>
        <v>-2.9252930460959004E-3</v>
      </c>
      <c r="U12" s="71">
        <f t="shared" si="9"/>
        <v>-8.7821270352828051E-4</v>
      </c>
      <c r="V12" s="71">
        <f t="shared" si="9"/>
        <v>3.9784582383495248E-4</v>
      </c>
      <c r="W12" s="71">
        <f t="shared" si="9"/>
        <v>1.1347567144692761E-3</v>
      </c>
      <c r="X12" s="71">
        <f t="shared" si="9"/>
        <v>1.4956619104409263E-3</v>
      </c>
      <c r="Y12" s="71">
        <f t="shared" si="9"/>
        <v>1.5959684209083669E-3</v>
      </c>
      <c r="Z12" s="170"/>
      <c r="AA12" s="16">
        <v>4</v>
      </c>
      <c r="AB12" s="15"/>
      <c r="AC12" s="15"/>
      <c r="AD12" s="15"/>
      <c r="AE12" s="15"/>
      <c r="AF12" s="15"/>
      <c r="AG12" s="15"/>
      <c r="AI12" s="16">
        <v>4</v>
      </c>
      <c r="AJ12" s="63" t="s">
        <v>138</v>
      </c>
      <c r="AK12" s="63" t="s">
        <v>132</v>
      </c>
      <c r="AL12" s="63" t="s">
        <v>154</v>
      </c>
      <c r="AM12" s="63"/>
      <c r="AN12" s="63"/>
      <c r="AO12" s="63"/>
    </row>
    <row r="13" spans="1:41">
      <c r="A13" s="20" t="s">
        <v>114</v>
      </c>
      <c r="B13" s="16">
        <f>MR+unull</f>
        <v>1.2115109538648516</v>
      </c>
      <c r="D13" s="66" t="s">
        <v>10</v>
      </c>
      <c r="E13" s="67">
        <f t="shared" ref="E13:Y13" si="10">-voR*SIN(E3)*(MR+unull)/(MR+E5)*E9</f>
        <v>-1.4049999999999996</v>
      </c>
      <c r="F13" s="67">
        <f t="shared" si="10"/>
        <v>-1.4045377888925903</v>
      </c>
      <c r="G13" s="67">
        <f t="shared" si="10"/>
        <v>-1.2042426950553409</v>
      </c>
      <c r="H13" s="67">
        <f t="shared" si="10"/>
        <v>-1.0413375229504331</v>
      </c>
      <c r="I13" s="67">
        <f t="shared" si="10"/>
        <v>-0.90708105814106788</v>
      </c>
      <c r="J13" s="67">
        <f t="shared" si="10"/>
        <v>-0.79514545181486074</v>
      </c>
      <c r="K13" s="67">
        <f t="shared" si="10"/>
        <v>-0.7008587764520483</v>
      </c>
      <c r="L13" s="67">
        <f t="shared" si="10"/>
        <v>-0.62071107260704783</v>
      </c>
      <c r="M13" s="67">
        <f t="shared" si="10"/>
        <v>-0.55202411516894956</v>
      </c>
      <c r="N13" s="67">
        <f t="shared" si="10"/>
        <v>-0.49272569957226275</v>
      </c>
      <c r="O13" s="67">
        <f t="shared" si="10"/>
        <v>-0.4411922843877038</v>
      </c>
      <c r="P13" s="67">
        <f t="shared" si="10"/>
        <v>-0.39613731725863882</v>
      </c>
      <c r="Q13" s="67">
        <f t="shared" si="10"/>
        <v>-0.35653069338617965</v>
      </c>
      <c r="R13" s="67">
        <f t="shared" si="10"/>
        <v>-0.32153980928286807</v>
      </c>
      <c r="S13" s="67">
        <f t="shared" si="10"/>
        <v>-0.29048583971347913</v>
      </c>
      <c r="T13" s="67">
        <f t="shared" si="10"/>
        <v>-0.26281090543264696</v>
      </c>
      <c r="U13" s="67">
        <f t="shared" si="10"/>
        <v>-0.23805313858260546</v>
      </c>
      <c r="V13" s="67">
        <f t="shared" si="10"/>
        <v>-0.21582754720225025</v>
      </c>
      <c r="W13" s="67">
        <f t="shared" si="10"/>
        <v>-0.1958111873885971</v>
      </c>
      <c r="X13" s="67">
        <f t="shared" si="10"/>
        <v>-0.17773156970257198</v>
      </c>
      <c r="Y13" s="67">
        <f t="shared" si="10"/>
        <v>-0.16168128988208705</v>
      </c>
      <c r="AA13" s="16">
        <v>4.5</v>
      </c>
      <c r="AB13" s="15"/>
      <c r="AC13" s="15"/>
      <c r="AD13" s="15"/>
      <c r="AE13" s="15"/>
      <c r="AF13" s="15"/>
      <c r="AG13" s="15"/>
      <c r="AI13" s="16">
        <v>4.5</v>
      </c>
      <c r="AJ13" s="63"/>
      <c r="AK13" s="63"/>
      <c r="AL13" s="63"/>
      <c r="AM13" s="63"/>
      <c r="AN13" s="63"/>
      <c r="AO13" s="63"/>
    </row>
    <row r="14" spans="1:41">
      <c r="A14" s="20" t="s">
        <v>115</v>
      </c>
      <c r="B14" s="16">
        <f>POWER(TAN(alphanull/2),MR)</f>
        <v>8.7056271455051544</v>
      </c>
      <c r="D14" s="61" t="s">
        <v>11</v>
      </c>
      <c r="E14" s="15">
        <f t="shared" ref="E14:Y14" si="11">-voR*COS(E3)*(MR+unull)/(MR+E5)*E9</f>
        <v>1.8289999999999997</v>
      </c>
      <c r="F14" s="15">
        <f t="shared" si="11"/>
        <v>1.8280198814854889</v>
      </c>
      <c r="G14" s="15">
        <f t="shared" si="11"/>
        <v>1.4200949634325082</v>
      </c>
      <c r="H14" s="15">
        <f t="shared" si="11"/>
        <v>1.1143739704118805</v>
      </c>
      <c r="I14" s="15">
        <f t="shared" si="11"/>
        <v>0.88144878226074175</v>
      </c>
      <c r="J14" s="15">
        <f t="shared" si="11"/>
        <v>0.70144385305761192</v>
      </c>
      <c r="K14" s="15">
        <f t="shared" si="11"/>
        <v>0.56060744745089985</v>
      </c>
      <c r="L14" s="15">
        <f t="shared" si="11"/>
        <v>0.44922579168187182</v>
      </c>
      <c r="M14" s="15">
        <f t="shared" si="11"/>
        <v>0.36030992140474333</v>
      </c>
      <c r="N14" s="15">
        <f t="shared" si="11"/>
        <v>0.28874784701201112</v>
      </c>
      <c r="O14" s="15">
        <f t="shared" si="11"/>
        <v>0.23074465434367133</v>
      </c>
      <c r="P14" s="15">
        <f t="shared" si="11"/>
        <v>0.18344517072755795</v>
      </c>
      <c r="Q14" s="15">
        <f t="shared" si="11"/>
        <v>0.14467495558836554</v>
      </c>
      <c r="R14" s="15">
        <f t="shared" si="11"/>
        <v>0.11275952026284543</v>
      </c>
      <c r="S14" s="15">
        <f t="shared" si="11"/>
        <v>8.6396213234311334E-2</v>
      </c>
      <c r="T14" s="15">
        <f t="shared" si="11"/>
        <v>6.456215245428791E-2</v>
      </c>
      <c r="U14" s="15">
        <f t="shared" si="11"/>
        <v>4.6447207889123758E-2</v>
      </c>
      <c r="V14" s="15">
        <f t="shared" si="11"/>
        <v>3.1404637485955691E-2</v>
      </c>
      <c r="W14" s="15">
        <f t="shared" si="11"/>
        <v>1.8914325736710196E-2</v>
      </c>
      <c r="X14" s="15">
        <f t="shared" si="11"/>
        <v>8.5551275418672863E-3</v>
      </c>
      <c r="Y14" s="15">
        <f t="shared" si="11"/>
        <v>1.4551320018245452E-4</v>
      </c>
      <c r="AA14" s="16">
        <v>5</v>
      </c>
      <c r="AB14" s="15"/>
      <c r="AC14" s="15"/>
      <c r="AD14" s="15"/>
      <c r="AE14" s="15"/>
      <c r="AF14" s="15"/>
      <c r="AG14" s="15"/>
      <c r="AI14" s="16">
        <v>5</v>
      </c>
      <c r="AJ14" s="63" t="s">
        <v>152</v>
      </c>
      <c r="AK14" s="63" t="s">
        <v>133</v>
      </c>
      <c r="AL14" s="63"/>
      <c r="AM14" s="63"/>
      <c r="AN14" s="63"/>
      <c r="AO14" s="63"/>
    </row>
    <row r="15" spans="1:41">
      <c r="A15" s="20" t="s">
        <v>123</v>
      </c>
      <c r="B15" s="16">
        <f>-voR*voR*SIN(alphanull)*SIN(alphanull)/(2*9.81*SIN(ThetaR/180*PI())*POWER(TAN(alphanull/2),2*MR))</f>
        <v>-3.8039461126419725E-2</v>
      </c>
      <c r="D15" s="40" t="s">
        <v>15</v>
      </c>
      <c r="E15" s="19">
        <f>SQRT(E13*E13+E14*E14)</f>
        <v>2.3063533987661122</v>
      </c>
      <c r="F15" s="19">
        <f t="shared" ref="F15:Y15" si="12">SQRT(F13*F13+F14*F14)</f>
        <v>2.3052945771708888</v>
      </c>
      <c r="G15" s="19">
        <f t="shared" si="12"/>
        <v>1.8619533221218323</v>
      </c>
      <c r="H15" s="19">
        <f t="shared" si="12"/>
        <v>1.5251928345740686</v>
      </c>
      <c r="I15" s="19">
        <f t="shared" si="12"/>
        <v>1.2648114491050688</v>
      </c>
      <c r="J15" s="19">
        <f t="shared" si="12"/>
        <v>1.0603205970526874</v>
      </c>
      <c r="K15" s="19">
        <f t="shared" si="12"/>
        <v>0.8974874565514972</v>
      </c>
      <c r="L15" s="19">
        <f t="shared" si="12"/>
        <v>0.76621540546323941</v>
      </c>
      <c r="M15" s="19">
        <f t="shared" si="12"/>
        <v>0.65920699570829344</v>
      </c>
      <c r="N15" s="19">
        <f t="shared" si="12"/>
        <v>0.57109888300805445</v>
      </c>
      <c r="O15" s="19">
        <f t="shared" si="12"/>
        <v>0.49788927213931905</v>
      </c>
      <c r="P15" s="19">
        <f t="shared" si="12"/>
        <v>0.43655114796336791</v>
      </c>
      <c r="Q15" s="19">
        <f t="shared" si="12"/>
        <v>0.3847661342957896</v>
      </c>
      <c r="R15" s="19">
        <f t="shared" si="12"/>
        <v>0.34073825491654181</v>
      </c>
      <c r="S15" s="19">
        <f t="shared" si="12"/>
        <v>0.30306159231297142</v>
      </c>
      <c r="T15" s="19">
        <f t="shared" si="12"/>
        <v>0.27062491301404312</v>
      </c>
      <c r="U15" s="19">
        <f t="shared" si="12"/>
        <v>0.24254203740738356</v>
      </c>
      <c r="V15" s="19">
        <f t="shared" si="12"/>
        <v>0.21810039290877917</v>
      </c>
      <c r="W15" s="19">
        <f t="shared" si="12"/>
        <v>0.19672257832950102</v>
      </c>
      <c r="X15" s="19">
        <f t="shared" si="12"/>
        <v>0.1779373515487904</v>
      </c>
      <c r="Y15" s="19">
        <f t="shared" si="12"/>
        <v>0.16168135536303155</v>
      </c>
      <c r="AB15" s="157" t="s">
        <v>127</v>
      </c>
      <c r="AC15" s="157"/>
      <c r="AD15" s="157"/>
      <c r="AE15" s="157"/>
      <c r="AF15" s="157"/>
      <c r="AG15" s="157"/>
      <c r="AL15" s="164" t="s">
        <v>124</v>
      </c>
      <c r="AM15" s="164"/>
    </row>
    <row r="16" spans="1:41">
      <c r="D16" s="92" t="s">
        <v>164</v>
      </c>
      <c r="E16" s="29">
        <f>-E14/E13*E11+E12</f>
        <v>0.60355871886121015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</row>
    <row r="17" spans="5:8">
      <c r="E17" s="29">
        <f>-((E12-F12)/(E11-F11)*E11-E12)</f>
        <v>0.60328932053373663</v>
      </c>
      <c r="G17">
        <f>(xupR+0.5*Konst*((POWER(TAN(E3/2),2*MR-2)/(2*MR-2))-(POWER(TAN(E3/2),2*MR+2)/(2*MR+2))-(POWER(TAN(alphanull/2),2*MR-2)/(2*MR-2))+(POWER(TAN(alphanull/2),2*MR+2)/(2*MR+2))))</f>
        <v>-2</v>
      </c>
    </row>
    <row r="19" spans="5:8">
      <c r="H19" t="s">
        <v>42</v>
      </c>
    </row>
  </sheetData>
  <mergeCells count="6">
    <mergeCell ref="AL15:AM15"/>
    <mergeCell ref="A2:C2"/>
    <mergeCell ref="AB2:AG2"/>
    <mergeCell ref="AB3:AG3"/>
    <mergeCell ref="Z11:Z12"/>
    <mergeCell ref="AB15:AG1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AR49"/>
  <sheetViews>
    <sheetView workbookViewId="0">
      <selection activeCell="AL28" activeCellId="1" sqref="AL26 AL28:AL36"/>
    </sheetView>
  </sheetViews>
  <sheetFormatPr baseColWidth="10" defaultRowHeight="15"/>
  <cols>
    <col min="1" max="48" width="5.7109375" customWidth="1"/>
    <col min="49" max="57" width="11.42578125" customWidth="1"/>
  </cols>
  <sheetData>
    <row r="1" spans="1:41">
      <c r="A1" s="16" t="s">
        <v>25</v>
      </c>
      <c r="B1" s="83">
        <v>1</v>
      </c>
      <c r="C1" s="15" t="s">
        <v>23</v>
      </c>
      <c r="D1" s="16" t="s">
        <v>16</v>
      </c>
      <c r="E1" s="31">
        <v>7.0000000000000007E-2</v>
      </c>
      <c r="G1" s="20" t="s">
        <v>113</v>
      </c>
      <c r="H1" s="15">
        <f>MüRR/TAN(ThetaR/180*PI())</f>
        <v>4.0102973141531599</v>
      </c>
    </row>
    <row r="2" spans="1:41">
      <c r="A2" s="174" t="s">
        <v>12</v>
      </c>
      <c r="B2" s="174"/>
      <c r="C2" s="174"/>
      <c r="D2" s="81" t="s">
        <v>160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AA2" s="76" t="s">
        <v>165</v>
      </c>
      <c r="AB2" s="143" t="s">
        <v>12</v>
      </c>
      <c r="AC2" s="144"/>
      <c r="AD2" s="144"/>
      <c r="AE2" s="144"/>
      <c r="AF2" s="144"/>
      <c r="AG2" s="175"/>
    </row>
    <row r="3" spans="1:41">
      <c r="A3" s="15" t="s">
        <v>108</v>
      </c>
      <c r="B3" s="16">
        <f>(PI()/2-alphanull)/19</f>
        <v>-6.9928291386782013E-2</v>
      </c>
      <c r="D3" s="31" t="s">
        <v>109</v>
      </c>
      <c r="E3" s="15">
        <f>alphanull</f>
        <v>2.8994338631437548</v>
      </c>
      <c r="F3" s="15">
        <f>E3-0.0001</f>
        <v>2.8993338631437546</v>
      </c>
      <c r="G3" s="15">
        <f t="shared" ref="G3:X3" si="0">F3+deltaalpha</f>
        <v>2.8294055717569728</v>
      </c>
      <c r="H3" s="15">
        <f t="shared" si="0"/>
        <v>2.759477280370191</v>
      </c>
      <c r="I3" s="15">
        <f t="shared" si="0"/>
        <v>2.6895489889834092</v>
      </c>
      <c r="J3" s="15">
        <f t="shared" si="0"/>
        <v>2.6196206975966274</v>
      </c>
      <c r="K3" s="15">
        <f t="shared" si="0"/>
        <v>2.5496924062098456</v>
      </c>
      <c r="L3" s="15">
        <f t="shared" si="0"/>
        <v>2.4797641148230638</v>
      </c>
      <c r="M3" s="15">
        <f t="shared" si="0"/>
        <v>2.409835823436282</v>
      </c>
      <c r="N3" s="15">
        <f t="shared" si="0"/>
        <v>2.3399075320495002</v>
      </c>
      <c r="O3" s="15">
        <f t="shared" si="0"/>
        <v>2.2699792406627184</v>
      </c>
      <c r="P3" s="15">
        <f t="shared" si="0"/>
        <v>2.2000509492759366</v>
      </c>
      <c r="Q3" s="15">
        <f t="shared" si="0"/>
        <v>2.1301226578891548</v>
      </c>
      <c r="R3" s="15">
        <f t="shared" si="0"/>
        <v>2.060194366502373</v>
      </c>
      <c r="S3" s="15">
        <f t="shared" si="0"/>
        <v>1.9902660751155909</v>
      </c>
      <c r="T3" s="15">
        <f t="shared" si="0"/>
        <v>1.9203377837288089</v>
      </c>
      <c r="U3" s="15">
        <f t="shared" si="0"/>
        <v>1.8504094923420269</v>
      </c>
      <c r="V3" s="15">
        <f t="shared" si="0"/>
        <v>1.7804812009552449</v>
      </c>
      <c r="W3" s="15">
        <f t="shared" si="0"/>
        <v>1.7105529095684628</v>
      </c>
      <c r="X3" s="15">
        <f t="shared" si="0"/>
        <v>1.6406246181816808</v>
      </c>
      <c r="Y3" s="15">
        <f>X3+deltaalpha+0.000001</f>
        <v>1.5706973267948987</v>
      </c>
      <c r="AA3" s="53" t="s">
        <v>101</v>
      </c>
      <c r="AB3" s="150" t="s">
        <v>104</v>
      </c>
      <c r="AC3" s="150"/>
      <c r="AD3" s="150"/>
      <c r="AE3" s="150"/>
      <c r="AF3" s="150"/>
      <c r="AG3" s="150"/>
    </row>
    <row r="4" spans="1:41">
      <c r="A4" s="20" t="s">
        <v>17</v>
      </c>
      <c r="B4" s="27">
        <v>0.51800000000000002</v>
      </c>
      <c r="C4" s="1" t="s">
        <v>21</v>
      </c>
      <c r="D4" s="31" t="s">
        <v>146</v>
      </c>
      <c r="E4" s="15">
        <f>E3/PI()*180</f>
        <v>166.12532333544908</v>
      </c>
      <c r="F4" s="15">
        <f t="shared" ref="F4:Y4" si="1">F3/PI()*180</f>
        <v>166.11959375749777</v>
      </c>
      <c r="G4" s="15">
        <f t="shared" si="1"/>
        <v>162.11299779247415</v>
      </c>
      <c r="H4" s="15">
        <f t="shared" si="1"/>
        <v>158.1064018274505</v>
      </c>
      <c r="I4" s="15">
        <f t="shared" si="1"/>
        <v>154.09980586242688</v>
      </c>
      <c r="J4" s="15">
        <f t="shared" si="1"/>
        <v>150.09320989740328</v>
      </c>
      <c r="K4" s="15">
        <f t="shared" si="1"/>
        <v>146.08661393237963</v>
      </c>
      <c r="L4" s="15">
        <f t="shared" si="1"/>
        <v>142.08001796735601</v>
      </c>
      <c r="M4" s="15">
        <f t="shared" si="1"/>
        <v>138.07342200233239</v>
      </c>
      <c r="N4" s="15">
        <f t="shared" si="1"/>
        <v>134.06682603730877</v>
      </c>
      <c r="O4" s="15">
        <f t="shared" si="1"/>
        <v>130.06023007228515</v>
      </c>
      <c r="P4" s="15">
        <f t="shared" si="1"/>
        <v>126.05363410726152</v>
      </c>
      <c r="Q4" s="15">
        <f t="shared" si="1"/>
        <v>122.04703814223791</v>
      </c>
      <c r="R4" s="15">
        <f t="shared" si="1"/>
        <v>118.04044217721429</v>
      </c>
      <c r="S4" s="15">
        <f t="shared" si="1"/>
        <v>114.03384621219062</v>
      </c>
      <c r="T4" s="15">
        <f t="shared" si="1"/>
        <v>110.02725024716699</v>
      </c>
      <c r="U4" s="15">
        <f t="shared" si="1"/>
        <v>106.02065428214335</v>
      </c>
      <c r="V4" s="15">
        <f t="shared" si="1"/>
        <v>102.01405831711972</v>
      </c>
      <c r="W4" s="15">
        <f t="shared" si="1"/>
        <v>98.007462352096084</v>
      </c>
      <c r="X4" s="15">
        <f t="shared" si="1"/>
        <v>94.000866387072449</v>
      </c>
      <c r="Y4" s="15">
        <f t="shared" si="1"/>
        <v>89.994327717828327</v>
      </c>
      <c r="AA4" s="53" t="s">
        <v>88</v>
      </c>
      <c r="AB4" s="31">
        <v>0.5</v>
      </c>
      <c r="AC4" s="15">
        <v>1</v>
      </c>
      <c r="AD4" s="31">
        <v>1.5</v>
      </c>
      <c r="AE4" s="15">
        <v>2</v>
      </c>
      <c r="AF4" s="31">
        <v>2.5</v>
      </c>
      <c r="AG4" s="15">
        <v>3</v>
      </c>
      <c r="AH4" s="1" t="s">
        <v>25</v>
      </c>
      <c r="AJ4" s="31">
        <v>0.5</v>
      </c>
      <c r="AK4" s="15">
        <v>1</v>
      </c>
      <c r="AL4" s="31">
        <v>1.5</v>
      </c>
      <c r="AM4" s="15">
        <v>2</v>
      </c>
      <c r="AN4" s="31">
        <v>2.5</v>
      </c>
      <c r="AO4" s="15">
        <v>3</v>
      </c>
    </row>
    <row r="5" spans="1:41">
      <c r="A5" s="20" t="s">
        <v>18</v>
      </c>
      <c r="B5" s="27">
        <v>-1.9319999999999999</v>
      </c>
      <c r="C5" s="1" t="s">
        <v>21</v>
      </c>
      <c r="D5" s="31" t="s">
        <v>111</v>
      </c>
      <c r="E5" s="15">
        <f>COS(E3)</f>
        <v>-0.97082256169237302</v>
      </c>
      <c r="F5" s="15">
        <f t="shared" ref="F5:Y5" si="2">COS(F3)</f>
        <v>-0.97079857693969551</v>
      </c>
      <c r="G5" s="15">
        <f t="shared" si="2"/>
        <v>-0.9516641045553953</v>
      </c>
      <c r="H5" s="15">
        <f t="shared" si="2"/>
        <v>-0.92787792313882078</v>
      </c>
      <c r="I5" s="15">
        <f t="shared" si="2"/>
        <v>-0.8995562989171092</v>
      </c>
      <c r="J5" s="15">
        <f t="shared" si="2"/>
        <v>-0.86683766724215672</v>
      </c>
      <c r="K5" s="15">
        <f t="shared" si="2"/>
        <v>-0.8298819559222701</v>
      </c>
      <c r="L5" s="15">
        <f t="shared" si="2"/>
        <v>-0.78886980349926061</v>
      </c>
      <c r="M5" s="15">
        <f t="shared" si="2"/>
        <v>-0.74400167629201741</v>
      </c>
      <c r="N5" s="15">
        <f t="shared" si="2"/>
        <v>-0.6954968885224303</v>
      </c>
      <c r="O5" s="15">
        <f t="shared" si="2"/>
        <v>-0.64359253031326036</v>
      </c>
      <c r="P5" s="15">
        <f t="shared" si="2"/>
        <v>-0.58854230879787572</v>
      </c>
      <c r="Q5" s="15">
        <f t="shared" si="2"/>
        <v>-0.53061530800647783</v>
      </c>
      <c r="R5" s="15">
        <f t="shared" si="2"/>
        <v>-0.47009467359046203</v>
      </c>
      <c r="S5" s="15">
        <f t="shared" si="2"/>
        <v>-0.40727622881394437</v>
      </c>
      <c r="T5" s="15">
        <f t="shared" si="2"/>
        <v>-0.3424670285774532</v>
      </c>
      <c r="U5" s="15">
        <f t="shared" si="2"/>
        <v>-0.2759838585416764</v>
      </c>
      <c r="V5" s="15">
        <f t="shared" si="2"/>
        <v>-0.20815168668751113</v>
      </c>
      <c r="W5" s="15">
        <f t="shared" si="2"/>
        <v>-0.13930207488114782</v>
      </c>
      <c r="X5" s="15">
        <f t="shared" si="2"/>
        <v>-6.9771558208416809E-2</v>
      </c>
      <c r="Y5" s="15">
        <f t="shared" si="2"/>
        <v>9.8999999836195559E-5</v>
      </c>
      <c r="AA5" s="16">
        <v>0.5</v>
      </c>
      <c r="AB5" s="15"/>
      <c r="AC5" s="15"/>
      <c r="AD5" s="15"/>
      <c r="AE5" s="15"/>
      <c r="AF5" s="15"/>
      <c r="AG5" s="15"/>
      <c r="AI5" s="16">
        <v>0.5</v>
      </c>
      <c r="AJ5" s="63"/>
      <c r="AK5" s="63"/>
      <c r="AL5" s="63"/>
      <c r="AM5" s="63"/>
      <c r="AN5" s="63"/>
      <c r="AO5" s="63"/>
    </row>
    <row r="6" spans="1:41">
      <c r="A6" s="20" t="s">
        <v>19</v>
      </c>
      <c r="B6" s="96">
        <v>-0.495</v>
      </c>
      <c r="C6" s="1" t="s">
        <v>22</v>
      </c>
      <c r="D6" s="31" t="s">
        <v>122</v>
      </c>
      <c r="E6" s="15">
        <f t="shared" ref="E6:Y6" si="3">(MR+E5)</f>
        <v>3.0394747524607868</v>
      </c>
      <c r="F6" s="15">
        <f t="shared" si="3"/>
        <v>3.0394987372134645</v>
      </c>
      <c r="G6" s="15">
        <f t="shared" si="3"/>
        <v>3.0586332095977644</v>
      </c>
      <c r="H6" s="15">
        <f t="shared" si="3"/>
        <v>3.0824193910143389</v>
      </c>
      <c r="I6" s="15">
        <f t="shared" si="3"/>
        <v>3.1107410152360506</v>
      </c>
      <c r="J6" s="15">
        <f t="shared" si="3"/>
        <v>3.143459646911003</v>
      </c>
      <c r="K6" s="15">
        <f t="shared" si="3"/>
        <v>3.1804153582308898</v>
      </c>
      <c r="L6" s="15">
        <f t="shared" si="3"/>
        <v>3.2214275106538994</v>
      </c>
      <c r="M6" s="15">
        <f t="shared" si="3"/>
        <v>3.2662956378611425</v>
      </c>
      <c r="N6" s="15">
        <f t="shared" si="3"/>
        <v>3.3148004256307297</v>
      </c>
      <c r="O6" s="15">
        <f t="shared" si="3"/>
        <v>3.3667047838398996</v>
      </c>
      <c r="P6" s="15">
        <f t="shared" si="3"/>
        <v>3.4217550053552843</v>
      </c>
      <c r="Q6" s="15">
        <f t="shared" si="3"/>
        <v>3.4796820061466822</v>
      </c>
      <c r="R6" s="15">
        <f t="shared" si="3"/>
        <v>3.5402026405626978</v>
      </c>
      <c r="S6" s="15">
        <f t="shared" si="3"/>
        <v>3.6030210853392157</v>
      </c>
      <c r="T6" s="15">
        <f t="shared" si="3"/>
        <v>3.6678302855757066</v>
      </c>
      <c r="U6" s="15">
        <f t="shared" si="3"/>
        <v>3.7343134556114834</v>
      </c>
      <c r="V6" s="15">
        <f t="shared" si="3"/>
        <v>3.8021456274656487</v>
      </c>
      <c r="W6" s="15">
        <f t="shared" si="3"/>
        <v>3.8709952392720122</v>
      </c>
      <c r="X6" s="15">
        <f t="shared" si="3"/>
        <v>3.9405257559447433</v>
      </c>
      <c r="Y6" s="15">
        <f t="shared" si="3"/>
        <v>4.0103963141529961</v>
      </c>
      <c r="AA6" s="16">
        <v>1</v>
      </c>
      <c r="AB6" s="31">
        <v>8.5999999999999993E-2</v>
      </c>
      <c r="AC6" s="31">
        <v>0.16</v>
      </c>
      <c r="AD6" s="31">
        <v>0.224</v>
      </c>
      <c r="AE6" s="31">
        <v>0.27600000000000002</v>
      </c>
      <c r="AF6" s="31">
        <v>0.32</v>
      </c>
      <c r="AG6" s="31">
        <v>0.35</v>
      </c>
      <c r="AI6" s="16">
        <v>1</v>
      </c>
      <c r="AJ6" s="98" t="s">
        <v>217</v>
      </c>
      <c r="AK6" s="98" t="s">
        <v>210</v>
      </c>
      <c r="AL6" s="98" t="s">
        <v>226</v>
      </c>
      <c r="AM6" s="73" t="s">
        <v>202</v>
      </c>
      <c r="AN6" s="98" t="s">
        <v>227</v>
      </c>
      <c r="AO6" s="98" t="s">
        <v>211</v>
      </c>
    </row>
    <row r="7" spans="1:41">
      <c r="A7" s="20" t="s">
        <v>20</v>
      </c>
      <c r="B7" s="95">
        <v>2.004</v>
      </c>
      <c r="C7" s="1" t="s">
        <v>22</v>
      </c>
      <c r="D7" s="31" t="s">
        <v>116</v>
      </c>
      <c r="E7" s="15">
        <f t="shared" ref="E7:Y7" si="4">POWER(TAN(E3/2),MR)</f>
        <v>4662.520096024442</v>
      </c>
      <c r="F7" s="15">
        <f t="shared" si="4"/>
        <v>4654.7307853543325</v>
      </c>
      <c r="G7" s="15">
        <f t="shared" si="4"/>
        <v>1661.6519134682355</v>
      </c>
      <c r="H7" s="15">
        <f t="shared" si="4"/>
        <v>726.72450253458123</v>
      </c>
      <c r="I7" s="15">
        <f t="shared" si="4"/>
        <v>363.10511573177263</v>
      </c>
      <c r="J7" s="15">
        <f t="shared" si="4"/>
        <v>199.22985349034678</v>
      </c>
      <c r="K7" s="15">
        <f t="shared" si="4"/>
        <v>117.12702614304827</v>
      </c>
      <c r="L7" s="15">
        <f t="shared" si="4"/>
        <v>72.582991289395693</v>
      </c>
      <c r="M7" s="15">
        <f t="shared" si="4"/>
        <v>46.871621639142461</v>
      </c>
      <c r="N7" s="15">
        <f t="shared" si="4"/>
        <v>31.278787205812186</v>
      </c>
      <c r="O7" s="15">
        <f t="shared" si="4"/>
        <v>21.434464850590818</v>
      </c>
      <c r="P7" s="15">
        <f t="shared" si="4"/>
        <v>15.009553872740129</v>
      </c>
      <c r="Q7" s="15">
        <f t="shared" si="4"/>
        <v>10.698361237543006</v>
      </c>
      <c r="R7" s="15">
        <f t="shared" si="4"/>
        <v>7.7370543986591604</v>
      </c>
      <c r="S7" s="15">
        <f t="shared" si="4"/>
        <v>5.6622295694353442</v>
      </c>
      <c r="T7" s="15">
        <f t="shared" si="4"/>
        <v>4.1837738220999432</v>
      </c>
      <c r="U7" s="15">
        <f t="shared" si="4"/>
        <v>3.1150206677933183</v>
      </c>
      <c r="V7" s="15">
        <f t="shared" si="4"/>
        <v>2.3329402176099312</v>
      </c>
      <c r="W7" s="15">
        <f t="shared" si="4"/>
        <v>1.7547017528619187</v>
      </c>
      <c r="X7" s="15">
        <f t="shared" si="4"/>
        <v>1.3234739496833712</v>
      </c>
      <c r="Y7" s="15">
        <f t="shared" si="4"/>
        <v>0.9996030593670453</v>
      </c>
      <c r="AA7" s="16">
        <v>1.5</v>
      </c>
      <c r="AB7" s="31"/>
      <c r="AC7" s="31"/>
      <c r="AD7" s="31"/>
      <c r="AE7" s="31"/>
      <c r="AF7" s="31"/>
      <c r="AG7" s="31"/>
      <c r="AI7" s="16">
        <v>1.5</v>
      </c>
      <c r="AJ7" s="73"/>
      <c r="AK7" s="73"/>
      <c r="AL7" s="73"/>
      <c r="AM7" s="73"/>
      <c r="AN7" s="73"/>
      <c r="AO7" s="73"/>
    </row>
    <row r="8" spans="1:41">
      <c r="A8" s="20" t="s">
        <v>118</v>
      </c>
      <c r="B8" s="18">
        <f>SQRT(vxupR*vxupR+vyupR*vyupR)</f>
        <v>2.0642289117246664</v>
      </c>
      <c r="C8" s="1" t="s">
        <v>22</v>
      </c>
      <c r="D8" s="31" t="s">
        <v>117</v>
      </c>
      <c r="E8" s="15">
        <f>SIN(E3)</f>
        <v>0.23979898604676911</v>
      </c>
      <c r="F8" s="15">
        <f t="shared" ref="F8:Y8" si="5">SIN(F3)</f>
        <v>0.23989606710378183</v>
      </c>
      <c r="G8" s="15">
        <f t="shared" si="5"/>
        <v>0.30714073663514196</v>
      </c>
      <c r="H8" s="15">
        <f t="shared" si="5"/>
        <v>0.37288411035010416</v>
      </c>
      <c r="I8" s="15">
        <f t="shared" si="5"/>
        <v>0.43680483637266698</v>
      </c>
      <c r="J8" s="15">
        <f t="shared" si="5"/>
        <v>0.4985904718806568</v>
      </c>
      <c r="K8" s="15">
        <f t="shared" si="5"/>
        <v>0.5579390103179982</v>
      </c>
      <c r="L8" s="15">
        <f t="shared" si="5"/>
        <v>0.61456035759479144</v>
      </c>
      <c r="M8" s="15">
        <f t="shared" si="5"/>
        <v>0.66817775005956925</v>
      </c>
      <c r="N8" s="15">
        <f t="shared" si="5"/>
        <v>0.71852910731272268</v>
      </c>
      <c r="O8" s="15">
        <f t="shared" si="5"/>
        <v>0.76536831324857901</v>
      </c>
      <c r="P8" s="15">
        <f t="shared" si="5"/>
        <v>0.80846641906443206</v>
      </c>
      <c r="Q8" s="15">
        <f t="shared" si="5"/>
        <v>0.84761276235624872</v>
      </c>
      <c r="R8" s="15">
        <f t="shared" si="5"/>
        <v>0.88261599683094172</v>
      </c>
      <c r="S8" s="15">
        <f t="shared" si="5"/>
        <v>0.91330502760200094</v>
      </c>
      <c r="T8" s="15">
        <f t="shared" si="5"/>
        <v>0.93952984749678381</v>
      </c>
      <c r="U8" s="15">
        <f t="shared" si="5"/>
        <v>0.96116227028761791</v>
      </c>
      <c r="V8" s="15">
        <f t="shared" si="5"/>
        <v>0.97809655726269895</v>
      </c>
      <c r="W8" s="15">
        <f t="shared" si="5"/>
        <v>0.99024993407412409</v>
      </c>
      <c r="X8" s="15">
        <f t="shared" si="5"/>
        <v>0.99756299533672033</v>
      </c>
      <c r="Y8" s="15">
        <f t="shared" si="5"/>
        <v>0.99999999509949999</v>
      </c>
      <c r="AA8" s="16">
        <v>2</v>
      </c>
      <c r="AB8" s="31">
        <v>0.115</v>
      </c>
      <c r="AC8" s="31">
        <v>0.21</v>
      </c>
      <c r="AD8" s="31">
        <v>0.30299999999999999</v>
      </c>
      <c r="AE8" s="65">
        <v>0.38200000000000001</v>
      </c>
      <c r="AF8" s="31">
        <v>0.45300000000000001</v>
      </c>
      <c r="AG8" s="31">
        <v>0.51600000000000001</v>
      </c>
      <c r="AI8" s="16">
        <v>2</v>
      </c>
      <c r="AJ8" s="98" t="s">
        <v>218</v>
      </c>
      <c r="AK8" s="98" t="s">
        <v>209</v>
      </c>
      <c r="AL8" s="98" t="s">
        <v>225</v>
      </c>
      <c r="AM8" s="87" t="s">
        <v>291</v>
      </c>
      <c r="AN8" s="98" t="s">
        <v>228</v>
      </c>
      <c r="AO8" s="98" t="s">
        <v>212</v>
      </c>
    </row>
    <row r="9" spans="1:41">
      <c r="A9" s="20" t="s">
        <v>110</v>
      </c>
      <c r="B9" s="60">
        <f>ATAN(vyupR/vxupR)+PI()</f>
        <v>2.8994338631437548</v>
      </c>
      <c r="C9" s="1" t="s">
        <v>120</v>
      </c>
      <c r="D9" s="31" t="s">
        <v>119</v>
      </c>
      <c r="E9" s="15">
        <f>(E6*ZZ2null*E7/E8/N2null/N3null)</f>
        <v>1</v>
      </c>
      <c r="F9" s="15">
        <f t="shared" ref="F9:Y9" si="6">(F6*ZZ2null*F7/F8/N2null/N3null)</f>
        <v>0.9979332486945649</v>
      </c>
      <c r="G9" s="15">
        <f t="shared" si="6"/>
        <v>0.28000005432342318</v>
      </c>
      <c r="H9" s="15">
        <f t="shared" si="6"/>
        <v>0.10165195595951035</v>
      </c>
      <c r="I9" s="15">
        <f t="shared" si="6"/>
        <v>4.37559251025623E-2</v>
      </c>
      <c r="J9" s="15">
        <f t="shared" si="6"/>
        <v>2.1254280893787943E-2</v>
      </c>
      <c r="K9" s="15">
        <f t="shared" si="6"/>
        <v>1.1297499126742893E-2</v>
      </c>
      <c r="L9" s="15">
        <f t="shared" si="6"/>
        <v>6.4379376826827718E-3</v>
      </c>
      <c r="M9" s="15">
        <f t="shared" si="6"/>
        <v>3.8770512854308533E-3</v>
      </c>
      <c r="N9" s="15">
        <f t="shared" si="6"/>
        <v>2.4416927351010908E-3</v>
      </c>
      <c r="O9" s="15">
        <f t="shared" si="6"/>
        <v>1.5954209420154376E-3</v>
      </c>
      <c r="P9" s="15">
        <f t="shared" si="6"/>
        <v>1.0749364636841053E-3</v>
      </c>
      <c r="Q9" s="15">
        <f t="shared" si="6"/>
        <v>7.4316870602900327E-4</v>
      </c>
      <c r="R9" s="15">
        <f t="shared" si="6"/>
        <v>5.251218181399433E-4</v>
      </c>
      <c r="S9" s="15">
        <f t="shared" si="6"/>
        <v>3.7797799260717E-4</v>
      </c>
      <c r="T9" s="15">
        <f t="shared" si="6"/>
        <v>2.7637256825476983E-4</v>
      </c>
      <c r="U9" s="15">
        <f t="shared" si="6"/>
        <v>2.0478732490604085E-4</v>
      </c>
      <c r="V9" s="15">
        <f t="shared" si="6"/>
        <v>1.5345417621784199E-4</v>
      </c>
      <c r="W9" s="15">
        <f t="shared" si="6"/>
        <v>1.1606712056804761E-4</v>
      </c>
      <c r="X9" s="15">
        <f t="shared" si="6"/>
        <v>8.8462115865429658E-5</v>
      </c>
      <c r="Y9" s="15">
        <f t="shared" si="6"/>
        <v>6.7833301764197871E-5</v>
      </c>
      <c r="AA9" s="16">
        <v>2.5</v>
      </c>
      <c r="AB9" s="31"/>
      <c r="AC9" s="31"/>
      <c r="AD9" s="31"/>
      <c r="AE9" s="31"/>
      <c r="AF9" s="31"/>
      <c r="AG9" s="31"/>
      <c r="AI9" s="16">
        <v>2.5</v>
      </c>
      <c r="AJ9" s="73"/>
      <c r="AK9" s="73"/>
      <c r="AL9" s="73"/>
      <c r="AM9" s="73"/>
      <c r="AN9" s="73"/>
      <c r="AO9" s="73"/>
    </row>
    <row r="10" spans="1:41">
      <c r="A10" s="20" t="s">
        <v>110</v>
      </c>
      <c r="B10" s="84">
        <f>ATAN(vyupR/vxupR)/PI()*180+180</f>
        <v>166.12532333544911</v>
      </c>
      <c r="C10" s="1" t="s">
        <v>23</v>
      </c>
      <c r="D10" s="88" t="s">
        <v>9</v>
      </c>
      <c r="E10" s="17">
        <f>voR*(MR+unull)/9.81/SIN(ThetaR/180*PI())/(1-MR*MR)*(E9-1)</f>
        <v>0</v>
      </c>
      <c r="F10" s="17">
        <f>voR*(MR+unull)/9.81/SIN(ThetaR/180*PI())/(1-MR*MR)*(F9-1)</f>
        <v>5.0216611307944475E-3</v>
      </c>
      <c r="G10" s="17">
        <f t="shared" ref="G10:Y10" si="7">voR*(MR+unull)/9.81/SIN(ThetaR/180*PI())/(1-MR*MR)*(G9-1)</f>
        <v>1.7494101645756612</v>
      </c>
      <c r="H10" s="17">
        <f t="shared" si="7"/>
        <v>2.1827490529798563</v>
      </c>
      <c r="I10" s="17">
        <f t="shared" si="7"/>
        <v>2.3234211536903024</v>
      </c>
      <c r="J10" s="17">
        <f t="shared" si="7"/>
        <v>2.37809422045214</v>
      </c>
      <c r="K10" s="17">
        <f t="shared" si="7"/>
        <v>2.4022865767631703</v>
      </c>
      <c r="L10" s="17">
        <f t="shared" si="7"/>
        <v>2.4140940306896148</v>
      </c>
      <c r="M10" s="17">
        <f t="shared" si="7"/>
        <v>2.4203163099002976</v>
      </c>
      <c r="N10" s="17">
        <f t="shared" si="7"/>
        <v>2.4238038529936485</v>
      </c>
      <c r="O10" s="17">
        <f t="shared" si="7"/>
        <v>2.425860070477702</v>
      </c>
      <c r="P10" s="17">
        <f t="shared" si="7"/>
        <v>2.4271247106243639</v>
      </c>
      <c r="Q10" s="17">
        <f t="shared" si="7"/>
        <v>2.4279308188622957</v>
      </c>
      <c r="R10" s="17">
        <f t="shared" si="7"/>
        <v>2.4284606153495281</v>
      </c>
      <c r="S10" s="17">
        <f t="shared" si="7"/>
        <v>2.4288181360765604</v>
      </c>
      <c r="T10" s="17">
        <f t="shared" si="7"/>
        <v>2.4290650104870455</v>
      </c>
      <c r="U10" s="17">
        <f t="shared" si="7"/>
        <v>2.4292389437673183</v>
      </c>
      <c r="V10" s="17">
        <f t="shared" si="7"/>
        <v>2.4293636697935272</v>
      </c>
      <c r="W10" s="17">
        <f t="shared" si="7"/>
        <v>2.4294545104881275</v>
      </c>
      <c r="X10" s="17">
        <f t="shared" si="7"/>
        <v>2.4295215833762711</v>
      </c>
      <c r="Y10" s="17">
        <f t="shared" si="7"/>
        <v>2.4295717059593196</v>
      </c>
      <c r="AA10" s="16">
        <v>3</v>
      </c>
      <c r="AB10" s="31">
        <v>0.155</v>
      </c>
      <c r="AC10" s="31">
        <v>0.28299999999999997</v>
      </c>
      <c r="AD10" s="31">
        <v>0.39800000000000002</v>
      </c>
      <c r="AE10" s="31">
        <v>0.5</v>
      </c>
      <c r="AF10" s="31">
        <v>0.59799999999999998</v>
      </c>
      <c r="AG10" s="31">
        <v>0.68400000000000005</v>
      </c>
      <c r="AI10" s="16">
        <v>3</v>
      </c>
      <c r="AJ10" s="98" t="s">
        <v>219</v>
      </c>
      <c r="AK10" s="98" t="s">
        <v>208</v>
      </c>
      <c r="AL10" s="98" t="s">
        <v>224</v>
      </c>
      <c r="AM10" s="98" t="s">
        <v>203</v>
      </c>
      <c r="AN10" s="98" t="s">
        <v>229</v>
      </c>
      <c r="AO10" s="98" t="s">
        <v>213</v>
      </c>
    </row>
    <row r="11" spans="1:41">
      <c r="A11" s="20" t="s">
        <v>112</v>
      </c>
      <c r="B11" s="16">
        <f>COS(alphanull)</f>
        <v>-0.97082256169237302</v>
      </c>
      <c r="D11" s="68" t="s">
        <v>7</v>
      </c>
      <c r="E11" s="69">
        <f t="shared" ref="E11:Y11" si="8">-(-yupR+Konst*((POWER(TAN(E3/2),2*MR-1)/(2*MR-1))+(POWER(TAN(E3/2),2*MR+1)/(2*MR+1))-(POWER(TAN(alphanull/2),2*MR-1)/(2*MR-1))-(POWER(TAN(alphanull/2),2*MR+1)/(2*MR+1))))</f>
        <v>0.51800000000000002</v>
      </c>
      <c r="F11" s="69">
        <f t="shared" si="8"/>
        <v>0.51551635395187179</v>
      </c>
      <c r="G11" s="69">
        <f t="shared" si="8"/>
        <v>-8.030293837001401E-2</v>
      </c>
      <c r="H11" s="69">
        <f t="shared" si="8"/>
        <v>-0.13591920776610711</v>
      </c>
      <c r="I11" s="69">
        <f t="shared" si="8"/>
        <v>-0.14412755892282314</v>
      </c>
      <c r="J11" s="69">
        <f t="shared" si="8"/>
        <v>-0.1457699170068395</v>
      </c>
      <c r="K11" s="69">
        <f t="shared" si="8"/>
        <v>-0.14617813903926935</v>
      </c>
      <c r="L11" s="69">
        <f t="shared" si="8"/>
        <v>-0.14629749057543862</v>
      </c>
      <c r="M11" s="69">
        <f t="shared" si="8"/>
        <v>-0.14633706369328303</v>
      </c>
      <c r="N11" s="69">
        <f t="shared" si="8"/>
        <v>-0.14635156637348101</v>
      </c>
      <c r="O11" s="69">
        <f t="shared" si="8"/>
        <v>-0.14635733128845374</v>
      </c>
      <c r="P11" s="69">
        <f t="shared" si="8"/>
        <v>-0.1463597817286636</v>
      </c>
      <c r="Q11" s="69">
        <f t="shared" si="8"/>
        <v>-0.14636088323491503</v>
      </c>
      <c r="R11" s="69">
        <f t="shared" si="8"/>
        <v>-0.14636140225713401</v>
      </c>
      <c r="S11" s="69">
        <f t="shared" si="8"/>
        <v>-0.14636165677590507</v>
      </c>
      <c r="T11" s="69">
        <f t="shared" si="8"/>
        <v>-0.14636178589723792</v>
      </c>
      <c r="U11" s="69">
        <f t="shared" si="8"/>
        <v>-0.14636185332357976</v>
      </c>
      <c r="V11" s="69">
        <f t="shared" si="8"/>
        <v>-0.1463618894086246</v>
      </c>
      <c r="W11" s="69">
        <f t="shared" si="8"/>
        <v>-0.14636190912534153</v>
      </c>
      <c r="X11" s="69">
        <f t="shared" si="8"/>
        <v>-0.14636192008684257</v>
      </c>
      <c r="Y11" s="69">
        <f t="shared" si="8"/>
        <v>-0.14636192626809941</v>
      </c>
      <c r="Z11" s="170">
        <f>SQRT(Y11*Y11+Y12*Y12)</f>
        <v>0.5007414699473457</v>
      </c>
      <c r="AA11" s="16">
        <v>3.5</v>
      </c>
      <c r="AB11" s="31"/>
      <c r="AC11" s="31"/>
      <c r="AD11" s="31"/>
      <c r="AE11" s="31"/>
      <c r="AF11" s="31"/>
      <c r="AG11" s="31"/>
      <c r="AI11" s="16">
        <v>3.5</v>
      </c>
      <c r="AJ11" s="73"/>
      <c r="AK11" s="73"/>
      <c r="AL11" s="73"/>
      <c r="AM11" s="73"/>
      <c r="AN11" s="73"/>
      <c r="AO11" s="73"/>
    </row>
    <row r="12" spans="1:41">
      <c r="A12" s="20" t="s">
        <v>121</v>
      </c>
      <c r="B12" s="16">
        <f>SIN(alphanull)</f>
        <v>0.23979898604676911</v>
      </c>
      <c r="D12" s="85" t="s">
        <v>6</v>
      </c>
      <c r="E12" s="71">
        <f t="shared" ref="E12:Y12" si="9">-(-xupR+0.5*Konst*((POWER(TAN(E3/2),2*MR-2)/(2*MR-2))-(POWER(TAN(E3/2),2*MR+2)/(2*MR+2))-(POWER(TAN(alphanull/2),2*MR-2)/(2*MR-2))+(POWER(TAN(alphanull/2),2*MR+2)/(2*MR+2))))</f>
        <v>-1.9319999999999999</v>
      </c>
      <c r="F12" s="71">
        <f t="shared" si="9"/>
        <v>-1.92194715408685</v>
      </c>
      <c r="G12" s="71">
        <f t="shared" si="9"/>
        <v>0.29595314599840217</v>
      </c>
      <c r="H12" s="71">
        <f t="shared" si="9"/>
        <v>0.45574103599648819</v>
      </c>
      <c r="I12" s="71">
        <f t="shared" si="9"/>
        <v>0.47479765443972433</v>
      </c>
      <c r="J12" s="71">
        <f t="shared" si="9"/>
        <v>0.47796767690040198</v>
      </c>
      <c r="K12" s="71">
        <f t="shared" si="9"/>
        <v>0.47863500972746742</v>
      </c>
      <c r="L12" s="71">
        <f t="shared" si="9"/>
        <v>0.47880227817447274</v>
      </c>
      <c r="M12" s="71">
        <f t="shared" si="9"/>
        <v>0.47885019217343761</v>
      </c>
      <c r="N12" s="71">
        <f t="shared" si="9"/>
        <v>0.47886542575718583</v>
      </c>
      <c r="O12" s="71">
        <f t="shared" si="9"/>
        <v>0.478870685285262</v>
      </c>
      <c r="P12" s="71">
        <f t="shared" si="9"/>
        <v>0.47887262376523054</v>
      </c>
      <c r="Q12" s="71">
        <f t="shared" si="9"/>
        <v>0.47887337576038247</v>
      </c>
      <c r="R12" s="71">
        <f t="shared" si="9"/>
        <v>0.4788736790347401</v>
      </c>
      <c r="S12" s="71">
        <f t="shared" si="9"/>
        <v>0.47887380470444008</v>
      </c>
      <c r="T12" s="71">
        <f t="shared" si="9"/>
        <v>0.47887385755413892</v>
      </c>
      <c r="U12" s="71">
        <f t="shared" si="9"/>
        <v>0.47887387977805185</v>
      </c>
      <c r="V12" s="71">
        <f t="shared" si="9"/>
        <v>0.47887388892686422</v>
      </c>
      <c r="W12" s="71">
        <f t="shared" si="9"/>
        <v>0.47887389247881096</v>
      </c>
      <c r="X12" s="71">
        <f t="shared" si="9"/>
        <v>0.47887389366939459</v>
      </c>
      <c r="Y12" s="71">
        <f t="shared" si="9"/>
        <v>0.47887389390539958</v>
      </c>
      <c r="Z12" s="170"/>
      <c r="AA12" s="16">
        <v>4</v>
      </c>
      <c r="AB12" s="31">
        <v>0.193</v>
      </c>
      <c r="AC12" s="31">
        <v>0.37</v>
      </c>
      <c r="AD12" s="31">
        <v>0.51500000000000001</v>
      </c>
      <c r="AE12" s="31">
        <v>0.64500000000000002</v>
      </c>
      <c r="AF12" s="31">
        <v>0.76500000000000001</v>
      </c>
      <c r="AG12" s="31">
        <v>0.871</v>
      </c>
      <c r="AI12" s="16">
        <v>4</v>
      </c>
      <c r="AJ12" s="98" t="s">
        <v>220</v>
      </c>
      <c r="AK12" s="98" t="s">
        <v>207</v>
      </c>
      <c r="AL12" s="98" t="s">
        <v>223</v>
      </c>
      <c r="AM12" s="98" t="s">
        <v>204</v>
      </c>
      <c r="AN12" s="98" t="s">
        <v>230</v>
      </c>
      <c r="AO12" s="98" t="s">
        <v>214</v>
      </c>
    </row>
    <row r="13" spans="1:41">
      <c r="A13" s="20" t="s">
        <v>114</v>
      </c>
      <c r="B13" s="16">
        <f>MR+unull</f>
        <v>3.0394747524607868</v>
      </c>
      <c r="D13" s="66" t="s">
        <v>10</v>
      </c>
      <c r="E13" s="67">
        <f t="shared" ref="E13:Y13" si="10">-voR*SIN(E3)*(MR+unull)/(MR+E5)*E9</f>
        <v>-0.49500000000000066</v>
      </c>
      <c r="F13" s="67">
        <f t="shared" si="10"/>
        <v>-0.49417304189530703</v>
      </c>
      <c r="G13" s="67">
        <f t="shared" si="10"/>
        <v>-0.17641054198739176</v>
      </c>
      <c r="H13" s="67">
        <f t="shared" si="10"/>
        <v>-7.7153260757277048E-2</v>
      </c>
      <c r="I13" s="67">
        <f t="shared" si="10"/>
        <v>-3.8549331388508717E-2</v>
      </c>
      <c r="J13" s="67">
        <f t="shared" si="10"/>
        <v>-2.1151389258742364E-2</v>
      </c>
      <c r="K13" s="67">
        <f t="shared" si="10"/>
        <v>-1.2434880010542916E-2</v>
      </c>
      <c r="L13" s="67">
        <f t="shared" si="10"/>
        <v>-7.7058285966179274E-3</v>
      </c>
      <c r="M13" s="67">
        <f t="shared" si="10"/>
        <v>-4.9761614392093588E-3</v>
      </c>
      <c r="N13" s="67">
        <f t="shared" si="10"/>
        <v>-3.3207362859580662E-3</v>
      </c>
      <c r="O13" s="67">
        <f t="shared" si="10"/>
        <v>-2.2756062992820712E-3</v>
      </c>
      <c r="P13" s="67">
        <f t="shared" si="10"/>
        <v>-1.5935007279306802E-3</v>
      </c>
      <c r="Q13" s="67">
        <f t="shared" si="10"/>
        <v>-1.1357996756087407E-3</v>
      </c>
      <c r="R13" s="67">
        <f t="shared" si="10"/>
        <v>-8.2141027780273878E-4</v>
      </c>
      <c r="S13" s="67">
        <f t="shared" si="10"/>
        <v>-6.0113491827313431E-4</v>
      </c>
      <c r="T13" s="67">
        <f t="shared" si="10"/>
        <v>-4.4417353690449766E-4</v>
      </c>
      <c r="U13" s="67">
        <f t="shared" si="10"/>
        <v>-3.3070854362052948E-4</v>
      </c>
      <c r="V13" s="67">
        <f t="shared" si="10"/>
        <v>-2.4767837648605038E-4</v>
      </c>
      <c r="W13" s="67">
        <f t="shared" si="10"/>
        <v>-1.8628924911385467E-4</v>
      </c>
      <c r="X13" s="67">
        <f t="shared" si="10"/>
        <v>-1.405076206860461E-4</v>
      </c>
      <c r="Y13" s="67">
        <f t="shared" si="10"/>
        <v>-1.0612362074505345E-4</v>
      </c>
      <c r="AA13" s="16">
        <v>4.5</v>
      </c>
      <c r="AB13" s="31"/>
      <c r="AC13" s="31"/>
      <c r="AD13" s="31"/>
      <c r="AE13" s="31"/>
      <c r="AF13" s="31"/>
      <c r="AG13" s="31"/>
      <c r="AI13" s="16">
        <v>4.5</v>
      </c>
      <c r="AJ13" s="73"/>
      <c r="AK13" s="73"/>
      <c r="AL13" s="73"/>
      <c r="AM13" s="73"/>
      <c r="AN13" s="73"/>
      <c r="AO13" s="73"/>
    </row>
    <row r="14" spans="1:41">
      <c r="A14" s="20" t="s">
        <v>115</v>
      </c>
      <c r="B14" s="16">
        <f>POWER(TAN(alphanull/2),MR)</f>
        <v>4662.520096024442</v>
      </c>
      <c r="D14" s="61" t="s">
        <v>11</v>
      </c>
      <c r="E14" s="15">
        <f t="shared" ref="E14:Y14" si="11">-voR*COS(E3)*(MR+unull)/(MR+E5)*E9</f>
        <v>2.004</v>
      </c>
      <c r="F14" s="15">
        <f t="shared" si="11"/>
        <v>1.9997930421526353</v>
      </c>
      <c r="G14" s="15">
        <f t="shared" si="11"/>
        <v>0.54660147759557887</v>
      </c>
      <c r="H14" s="15">
        <f t="shared" si="11"/>
        <v>0.19198674700199683</v>
      </c>
      <c r="I14" s="15">
        <f t="shared" si="11"/>
        <v>7.938853002989775E-2</v>
      </c>
      <c r="J14" s="15">
        <f t="shared" si="11"/>
        <v>3.6773307870928765E-2</v>
      </c>
      <c r="K14" s="15">
        <f t="shared" si="11"/>
        <v>1.8495717908175106E-2</v>
      </c>
      <c r="L14" s="15">
        <f t="shared" si="11"/>
        <v>9.891453973054784E-3</v>
      </c>
      <c r="M14" s="15">
        <f t="shared" si="11"/>
        <v>5.5408496495751268E-3</v>
      </c>
      <c r="N14" s="15">
        <f t="shared" si="11"/>
        <v>3.2142911553368499E-3</v>
      </c>
      <c r="O14" s="15">
        <f t="shared" si="11"/>
        <v>1.9135404364147967E-3</v>
      </c>
      <c r="P14" s="15">
        <f t="shared" si="11"/>
        <v>1.1600266571030889E-3</v>
      </c>
      <c r="Q14" s="15">
        <f t="shared" si="11"/>
        <v>7.1102362006848622E-4</v>
      </c>
      <c r="R14" s="15">
        <f t="shared" si="11"/>
        <v>4.3749557884060358E-4</v>
      </c>
      <c r="S14" s="15">
        <f t="shared" si="11"/>
        <v>2.6806812086153502E-4</v>
      </c>
      <c r="T14" s="15">
        <f t="shared" si="11"/>
        <v>1.6190522500344706E-4</v>
      </c>
      <c r="U14" s="15">
        <f t="shared" si="11"/>
        <v>9.4958180051928534E-5</v>
      </c>
      <c r="V14" s="15">
        <f t="shared" si="11"/>
        <v>5.2709184424364702E-5</v>
      </c>
      <c r="W14" s="15">
        <f t="shared" si="11"/>
        <v>2.6205989050506202E-5</v>
      </c>
      <c r="X14" s="15">
        <f t="shared" si="11"/>
        <v>9.827385018540644E-6</v>
      </c>
      <c r="Y14" s="15">
        <f t="shared" si="11"/>
        <v>-1.0506238487862592E-8</v>
      </c>
      <c r="AA14" s="16">
        <v>5</v>
      </c>
      <c r="AB14" s="31">
        <v>0.25900000000000001</v>
      </c>
      <c r="AC14" s="31">
        <v>0.45900000000000002</v>
      </c>
      <c r="AD14" s="31">
        <v>0.63300000000000001</v>
      </c>
      <c r="AE14" s="31">
        <v>0.79500000000000004</v>
      </c>
      <c r="AF14" s="31">
        <v>0.93899999999999995</v>
      </c>
      <c r="AG14" s="31">
        <v>1.0820000000000001</v>
      </c>
      <c r="AI14" s="16">
        <v>5</v>
      </c>
      <c r="AJ14" s="98" t="s">
        <v>221</v>
      </c>
      <c r="AK14" s="98" t="s">
        <v>206</v>
      </c>
      <c r="AL14" s="98" t="s">
        <v>222</v>
      </c>
      <c r="AM14" s="98" t="s">
        <v>205</v>
      </c>
      <c r="AN14" s="98" t="s">
        <v>231</v>
      </c>
      <c r="AO14" s="98" t="s">
        <v>215</v>
      </c>
    </row>
    <row r="15" spans="1:41">
      <c r="A15" s="20" t="s">
        <v>123</v>
      </c>
      <c r="B15" s="16">
        <f>-voR*voR*SIN(alphanull)*SIN(alphanull)/(2*9.81*SIN(ThetaR/180*PI())*POWER(TAN(alphanull/2),2*MR))</f>
        <v>-3.2916575218741656E-8</v>
      </c>
      <c r="D15" s="40" t="s">
        <v>15</v>
      </c>
      <c r="E15" s="19">
        <f>SQRT(E13*E13+E14*E14)</f>
        <v>2.0642289117246664</v>
      </c>
      <c r="F15" s="19">
        <f t="shared" ref="F15:Y15" si="12">SQRT(F13*F13+F14*F14)</f>
        <v>2.0599464087150792</v>
      </c>
      <c r="G15" s="19">
        <f t="shared" si="12"/>
        <v>0.57436386954086471</v>
      </c>
      <c r="H15" s="19">
        <f t="shared" si="12"/>
        <v>0.20690948907647791</v>
      </c>
      <c r="I15" s="19">
        <f t="shared" si="12"/>
        <v>8.8252986639597866E-2</v>
      </c>
      <c r="J15" s="19">
        <f t="shared" si="12"/>
        <v>4.2422369563061342E-2</v>
      </c>
      <c r="K15" s="19">
        <f t="shared" si="12"/>
        <v>2.2287167200328292E-2</v>
      </c>
      <c r="L15" s="19">
        <f t="shared" si="12"/>
        <v>1.2538766129947391E-2</v>
      </c>
      <c r="M15" s="19">
        <f t="shared" si="12"/>
        <v>7.4473617817500289E-3</v>
      </c>
      <c r="N15" s="19">
        <f t="shared" si="12"/>
        <v>4.6215751765123622E-3</v>
      </c>
      <c r="O15" s="19">
        <f t="shared" si="12"/>
        <v>2.9732172862282995E-3</v>
      </c>
      <c r="P15" s="19">
        <f t="shared" si="12"/>
        <v>1.9710165943252166E-3</v>
      </c>
      <c r="Q15" s="19">
        <f t="shared" si="12"/>
        <v>1.3399983176885766E-3</v>
      </c>
      <c r="R15" s="19">
        <f t="shared" si="12"/>
        <v>9.3065419248238891E-4</v>
      </c>
      <c r="S15" s="19">
        <f t="shared" si="12"/>
        <v>6.5819731645569814E-4</v>
      </c>
      <c r="T15" s="19">
        <f t="shared" si="12"/>
        <v>4.7276149670808426E-4</v>
      </c>
      <c r="U15" s="19">
        <f t="shared" si="12"/>
        <v>3.4407149952064636E-4</v>
      </c>
      <c r="V15" s="19">
        <f t="shared" si="12"/>
        <v>2.5322487299127511E-4</v>
      </c>
      <c r="W15" s="19">
        <f t="shared" si="12"/>
        <v>1.8812346530276081E-4</v>
      </c>
      <c r="X15" s="19">
        <f t="shared" si="12"/>
        <v>1.4085087492506551E-4</v>
      </c>
      <c r="Y15" s="19">
        <f t="shared" si="12"/>
        <v>1.0612362126511226E-4</v>
      </c>
      <c r="AB15" s="157" t="s">
        <v>161</v>
      </c>
      <c r="AC15" s="157"/>
      <c r="AD15" s="157"/>
      <c r="AE15" s="157"/>
      <c r="AF15" s="157"/>
      <c r="AG15" s="157"/>
      <c r="AL15" s="164" t="s">
        <v>124</v>
      </c>
      <c r="AM15" s="164"/>
    </row>
    <row r="16" spans="1:41">
      <c r="D16" s="92" t="s">
        <v>164</v>
      </c>
      <c r="E16" s="29">
        <f>-E14/E13*E11+E12</f>
        <v>0.16511515151514899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</row>
    <row r="17" spans="5:41">
      <c r="E17" s="29">
        <f>-((E12-F12)/(E11-F11)*E11-E12)</f>
        <v>0.16466517776803835</v>
      </c>
    </row>
    <row r="19" spans="5:41">
      <c r="H19" t="s">
        <v>42</v>
      </c>
    </row>
    <row r="23" spans="5:41">
      <c r="AI23" s="56" t="s">
        <v>99</v>
      </c>
    </row>
    <row r="24" spans="5:41">
      <c r="AI24" t="s">
        <v>216</v>
      </c>
    </row>
    <row r="26" spans="5:41">
      <c r="AI26" s="80" t="s">
        <v>88</v>
      </c>
      <c r="AJ26" s="78">
        <v>0.5</v>
      </c>
      <c r="AK26" s="77">
        <v>1</v>
      </c>
      <c r="AL26" s="114">
        <v>1.5</v>
      </c>
      <c r="AM26" s="77">
        <v>2</v>
      </c>
      <c r="AN26" s="78">
        <v>2.5</v>
      </c>
      <c r="AO26" s="77">
        <v>3</v>
      </c>
    </row>
    <row r="27" spans="5:41">
      <c r="AI27" s="79">
        <v>0.5</v>
      </c>
      <c r="AJ27" s="77"/>
      <c r="AK27" s="77"/>
      <c r="AL27" s="77"/>
      <c r="AM27" s="77"/>
      <c r="AN27" s="77"/>
      <c r="AO27" s="77"/>
    </row>
    <row r="28" spans="5:41">
      <c r="AI28" s="79">
        <v>1</v>
      </c>
      <c r="AJ28" s="77">
        <f>$AQ$36*$AQ$35*AJ$26*$AI28</f>
        <v>4.3999999999999997E-2</v>
      </c>
      <c r="AK28" s="77">
        <f t="shared" ref="AK28:AO36" si="13">$AQ$36*$AQ$35*AK$26*$AI28</f>
        <v>8.7999999999999995E-2</v>
      </c>
      <c r="AL28" s="114">
        <f t="shared" si="13"/>
        <v>0.13200000000000001</v>
      </c>
      <c r="AM28" s="77">
        <f t="shared" si="13"/>
        <v>0.17599999999999999</v>
      </c>
      <c r="AN28" s="77">
        <f t="shared" si="13"/>
        <v>0.21999999999999997</v>
      </c>
      <c r="AO28" s="77">
        <f t="shared" si="13"/>
        <v>0.26400000000000001</v>
      </c>
    </row>
    <row r="29" spans="5:41">
      <c r="AI29" s="79">
        <v>1.5</v>
      </c>
      <c r="AJ29" s="77">
        <f t="shared" ref="AJ29:AJ36" si="14">$AQ$36*$AQ$35*AJ$26*$AI29</f>
        <v>6.6000000000000003E-2</v>
      </c>
      <c r="AK29" s="77">
        <f t="shared" si="13"/>
        <v>0.13200000000000001</v>
      </c>
      <c r="AL29" s="114">
        <f t="shared" si="13"/>
        <v>0.19800000000000001</v>
      </c>
      <c r="AM29" s="77">
        <f t="shared" si="13"/>
        <v>0.26400000000000001</v>
      </c>
      <c r="AN29" s="77">
        <f t="shared" si="13"/>
        <v>0.32999999999999996</v>
      </c>
      <c r="AO29" s="77">
        <f t="shared" si="13"/>
        <v>0.39600000000000002</v>
      </c>
    </row>
    <row r="30" spans="5:41">
      <c r="AI30" s="79">
        <v>2</v>
      </c>
      <c r="AJ30" s="77">
        <f t="shared" si="14"/>
        <v>8.7999999999999995E-2</v>
      </c>
      <c r="AK30" s="77">
        <f t="shared" si="13"/>
        <v>0.17599999999999999</v>
      </c>
      <c r="AL30" s="114">
        <f t="shared" si="13"/>
        <v>0.26400000000000001</v>
      </c>
      <c r="AM30" s="77">
        <f t="shared" si="13"/>
        <v>0.35199999999999998</v>
      </c>
      <c r="AN30" s="77">
        <f t="shared" si="13"/>
        <v>0.43999999999999995</v>
      </c>
      <c r="AO30" s="77">
        <f t="shared" si="13"/>
        <v>0.52800000000000002</v>
      </c>
    </row>
    <row r="31" spans="5:41">
      <c r="AI31" s="79">
        <v>2.5</v>
      </c>
      <c r="AJ31" s="77">
        <f t="shared" si="14"/>
        <v>0.10999999999999999</v>
      </c>
      <c r="AK31" s="77">
        <f t="shared" si="13"/>
        <v>0.21999999999999997</v>
      </c>
      <c r="AL31" s="114">
        <f t="shared" si="13"/>
        <v>0.33</v>
      </c>
      <c r="AM31" s="77">
        <f t="shared" si="13"/>
        <v>0.43999999999999995</v>
      </c>
      <c r="AN31" s="77">
        <f t="shared" si="13"/>
        <v>0.54999999999999993</v>
      </c>
      <c r="AO31" s="77">
        <f t="shared" si="13"/>
        <v>0.66</v>
      </c>
    </row>
    <row r="32" spans="5:41">
      <c r="AI32" s="79">
        <v>3</v>
      </c>
      <c r="AJ32" s="77">
        <f t="shared" si="14"/>
        <v>0.13200000000000001</v>
      </c>
      <c r="AK32" s="77">
        <f t="shared" si="13"/>
        <v>0.26400000000000001</v>
      </c>
      <c r="AL32" s="114">
        <f t="shared" si="13"/>
        <v>0.39600000000000002</v>
      </c>
      <c r="AM32" s="77">
        <f t="shared" si="13"/>
        <v>0.52800000000000002</v>
      </c>
      <c r="AN32" s="77">
        <f t="shared" si="13"/>
        <v>0.65999999999999992</v>
      </c>
      <c r="AO32" s="77">
        <f t="shared" si="13"/>
        <v>0.79200000000000004</v>
      </c>
    </row>
    <row r="33" spans="35:44">
      <c r="AI33" s="79">
        <v>3.5</v>
      </c>
      <c r="AJ33" s="77">
        <f t="shared" si="14"/>
        <v>0.154</v>
      </c>
      <c r="AK33" s="77">
        <f t="shared" si="13"/>
        <v>0.308</v>
      </c>
      <c r="AL33" s="114">
        <f t="shared" si="13"/>
        <v>0.46200000000000002</v>
      </c>
      <c r="AM33" s="77">
        <f t="shared" si="13"/>
        <v>0.61599999999999999</v>
      </c>
      <c r="AN33" s="77">
        <f t="shared" si="13"/>
        <v>0.76999999999999991</v>
      </c>
      <c r="AO33" s="77">
        <f t="shared" si="13"/>
        <v>0.92400000000000004</v>
      </c>
    </row>
    <row r="34" spans="35:44">
      <c r="AI34" s="79">
        <v>4</v>
      </c>
      <c r="AJ34" s="77">
        <f t="shared" si="14"/>
        <v>0.17599999999999999</v>
      </c>
      <c r="AK34" s="77">
        <f t="shared" si="13"/>
        <v>0.35199999999999998</v>
      </c>
      <c r="AL34" s="114">
        <f t="shared" si="13"/>
        <v>0.52800000000000002</v>
      </c>
      <c r="AM34" s="77">
        <f t="shared" si="13"/>
        <v>0.70399999999999996</v>
      </c>
      <c r="AN34" s="77">
        <f t="shared" si="13"/>
        <v>0.87999999999999989</v>
      </c>
      <c r="AO34" s="77">
        <f t="shared" si="13"/>
        <v>1.056</v>
      </c>
    </row>
    <row r="35" spans="35:44">
      <c r="AI35" s="79">
        <v>4.5</v>
      </c>
      <c r="AJ35" s="77">
        <f t="shared" si="14"/>
        <v>0.19799999999999998</v>
      </c>
      <c r="AK35" s="77">
        <f t="shared" si="13"/>
        <v>0.39599999999999996</v>
      </c>
      <c r="AL35" s="114">
        <f t="shared" si="13"/>
        <v>0.59400000000000008</v>
      </c>
      <c r="AM35" s="77">
        <f t="shared" si="13"/>
        <v>0.79199999999999993</v>
      </c>
      <c r="AN35" s="77">
        <f t="shared" si="13"/>
        <v>0.98999999999999988</v>
      </c>
      <c r="AO35" s="77">
        <f t="shared" si="13"/>
        <v>1.1880000000000002</v>
      </c>
      <c r="AQ35" s="1">
        <v>8</v>
      </c>
      <c r="AR35" t="s">
        <v>200</v>
      </c>
    </row>
    <row r="36" spans="35:44">
      <c r="AI36" s="79">
        <v>5</v>
      </c>
      <c r="AJ36" s="77">
        <f t="shared" si="14"/>
        <v>0.21999999999999997</v>
      </c>
      <c r="AK36" s="77">
        <f t="shared" si="13"/>
        <v>0.43999999999999995</v>
      </c>
      <c r="AL36" s="114">
        <f t="shared" si="13"/>
        <v>0.66</v>
      </c>
      <c r="AM36" s="77">
        <f t="shared" si="13"/>
        <v>0.87999999999999989</v>
      </c>
      <c r="AN36" s="77">
        <f t="shared" si="13"/>
        <v>1.0999999999999999</v>
      </c>
      <c r="AO36" s="77">
        <f t="shared" si="13"/>
        <v>1.32</v>
      </c>
      <c r="AQ36">
        <v>1.0999999999999999E-2</v>
      </c>
      <c r="AR36" t="s">
        <v>201</v>
      </c>
    </row>
    <row r="38" spans="35:44">
      <c r="AI38" t="s">
        <v>199</v>
      </c>
    </row>
    <row r="39" spans="35:44">
      <c r="AI39" s="53" t="s">
        <v>247</v>
      </c>
      <c r="AJ39" s="78">
        <v>0.5</v>
      </c>
      <c r="AK39" s="77">
        <v>1</v>
      </c>
      <c r="AL39" s="78">
        <v>1.5</v>
      </c>
      <c r="AM39" s="77">
        <v>2</v>
      </c>
      <c r="AN39" s="78">
        <v>2.5</v>
      </c>
      <c r="AO39" s="77">
        <v>3</v>
      </c>
    </row>
    <row r="40" spans="35:44">
      <c r="AI40" s="79">
        <v>0.5</v>
      </c>
      <c r="AJ40" s="93"/>
      <c r="AK40" s="93"/>
      <c r="AL40" s="93"/>
      <c r="AM40" s="93"/>
      <c r="AN40" s="93"/>
      <c r="AO40" s="93"/>
    </row>
    <row r="41" spans="35:44">
      <c r="AI41" s="79">
        <v>1</v>
      </c>
      <c r="AJ41" s="93">
        <f t="shared" ref="AJ41:AO41" si="15">(AJ28-AB6)/AB6</f>
        <v>-0.48837209302325579</v>
      </c>
      <c r="AK41" s="93">
        <f t="shared" si="15"/>
        <v>-0.45000000000000007</v>
      </c>
      <c r="AL41" s="93">
        <f t="shared" si="15"/>
        <v>-0.4107142857142857</v>
      </c>
      <c r="AM41" s="93">
        <f t="shared" si="15"/>
        <v>-0.36231884057971026</v>
      </c>
      <c r="AN41" s="93">
        <f t="shared" si="15"/>
        <v>-0.31250000000000011</v>
      </c>
      <c r="AO41" s="93">
        <f t="shared" si="15"/>
        <v>-0.24571428571428564</v>
      </c>
    </row>
    <row r="42" spans="35:44">
      <c r="AI42" s="79">
        <v>1.5</v>
      </c>
      <c r="AJ42" s="93"/>
      <c r="AK42" s="93"/>
      <c r="AL42" s="93"/>
      <c r="AM42" s="93"/>
      <c r="AN42" s="93"/>
      <c r="AO42" s="93"/>
    </row>
    <row r="43" spans="35:44">
      <c r="AI43" s="79">
        <v>2</v>
      </c>
      <c r="AJ43" s="97">
        <f>(AJ30-AB8)/AB8</f>
        <v>-0.23478260869565226</v>
      </c>
      <c r="AK43" s="99">
        <f>(AK30-AC8)/AC8</f>
        <v>-0.16190476190476191</v>
      </c>
      <c r="AL43" s="99">
        <f>(AL30-AD8)/AD8</f>
        <v>-0.12871287128712866</v>
      </c>
      <c r="AM43" s="99">
        <f t="shared" ref="AM43:AO49" si="16">(AM30-AE8)/AE8</f>
        <v>-7.8534031413612634E-2</v>
      </c>
      <c r="AN43" s="97">
        <f t="shared" si="16"/>
        <v>-2.8697571743929506E-2</v>
      </c>
      <c r="AO43" s="93">
        <f t="shared" si="16"/>
        <v>2.3255813953488393E-2</v>
      </c>
    </row>
    <row r="44" spans="35:44">
      <c r="AI44" s="79">
        <v>2.5</v>
      </c>
      <c r="AJ44" s="97"/>
      <c r="AK44" s="99"/>
      <c r="AL44" s="99"/>
      <c r="AM44" s="99"/>
      <c r="AN44" s="97"/>
      <c r="AO44" s="93"/>
    </row>
    <row r="45" spans="35:44">
      <c r="AI45" s="79">
        <v>3</v>
      </c>
      <c r="AJ45" s="97">
        <f t="shared" ref="AJ45:AL49" si="17">(AJ32-AB10)/AB10</f>
        <v>-0.14838709677419351</v>
      </c>
      <c r="AK45" s="99">
        <f t="shared" si="17"/>
        <v>-6.7137809187279018E-2</v>
      </c>
      <c r="AL45" s="99">
        <f t="shared" si="17"/>
        <v>-5.0251256281407079E-3</v>
      </c>
      <c r="AM45" s="99">
        <f t="shared" si="16"/>
        <v>5.600000000000005E-2</v>
      </c>
      <c r="AN45" s="97">
        <f t="shared" si="16"/>
        <v>0.1036789297658862</v>
      </c>
      <c r="AO45" s="93">
        <f t="shared" si="16"/>
        <v>0.15789473684210523</v>
      </c>
      <c r="AQ45" s="94">
        <f>SUM(AK43:AM47)/9</f>
        <v>-3.5249740156212836E-2</v>
      </c>
      <c r="AR45" t="s">
        <v>246</v>
      </c>
    </row>
    <row r="46" spans="35:44">
      <c r="AI46" s="79">
        <v>3.5</v>
      </c>
      <c r="AJ46" s="97"/>
      <c r="AK46" s="99"/>
      <c r="AL46" s="99"/>
      <c r="AM46" s="99"/>
      <c r="AN46" s="97"/>
      <c r="AO46" s="93"/>
    </row>
    <row r="47" spans="35:44">
      <c r="AI47" s="79">
        <v>4</v>
      </c>
      <c r="AJ47" s="97">
        <f t="shared" si="17"/>
        <v>-8.8082901554404222E-2</v>
      </c>
      <c r="AK47" s="99">
        <f t="shared" si="17"/>
        <v>-4.8648648648648693E-2</v>
      </c>
      <c r="AL47" s="99">
        <f t="shared" si="17"/>
        <v>2.5242718446601965E-2</v>
      </c>
      <c r="AM47" s="99">
        <f t="shared" si="16"/>
        <v>9.1472868217054165E-2</v>
      </c>
      <c r="AN47" s="97">
        <f t="shared" si="16"/>
        <v>0.15032679738562077</v>
      </c>
      <c r="AO47" s="93">
        <f t="shared" si="16"/>
        <v>0.21239954075774978</v>
      </c>
    </row>
    <row r="48" spans="35:44">
      <c r="AI48" s="79">
        <v>4.5</v>
      </c>
      <c r="AJ48" s="93"/>
      <c r="AK48" s="93"/>
      <c r="AL48" s="93"/>
      <c r="AM48" s="93"/>
      <c r="AN48" s="93"/>
      <c r="AO48" s="93"/>
    </row>
    <row r="49" spans="35:41">
      <c r="AI49" s="79">
        <v>5</v>
      </c>
      <c r="AJ49" s="93">
        <f t="shared" si="17"/>
        <v>-0.15057915057915069</v>
      </c>
      <c r="AK49" s="93">
        <f t="shared" si="17"/>
        <v>-4.1394335511982724E-2</v>
      </c>
      <c r="AL49" s="93">
        <f t="shared" si="17"/>
        <v>4.2654028436018995E-2</v>
      </c>
      <c r="AM49" s="93">
        <f t="shared" si="16"/>
        <v>0.1069182389937105</v>
      </c>
      <c r="AN49" s="93">
        <f t="shared" si="16"/>
        <v>0.17145899893503719</v>
      </c>
      <c r="AO49" s="93">
        <f t="shared" si="16"/>
        <v>0.21996303142329018</v>
      </c>
    </row>
  </sheetData>
  <mergeCells count="6">
    <mergeCell ref="AL15:AM15"/>
    <mergeCell ref="A2:C2"/>
    <mergeCell ref="AB2:AG2"/>
    <mergeCell ref="AB3:AG3"/>
    <mergeCell ref="Z11:Z12"/>
    <mergeCell ref="AB15:AG15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AO19"/>
  <sheetViews>
    <sheetView workbookViewId="0"/>
  </sheetViews>
  <sheetFormatPr baseColWidth="10" defaultRowHeight="15"/>
  <cols>
    <col min="1" max="48" width="5.7109375" customWidth="1"/>
    <col min="49" max="57" width="11.42578125" customWidth="1"/>
  </cols>
  <sheetData>
    <row r="1" spans="1:41">
      <c r="A1" s="16" t="s">
        <v>25</v>
      </c>
      <c r="B1" s="83">
        <v>2</v>
      </c>
      <c r="C1" s="15" t="s">
        <v>23</v>
      </c>
      <c r="D1" s="16" t="s">
        <v>16</v>
      </c>
      <c r="E1" s="31">
        <v>7.0000000000000007E-2</v>
      </c>
      <c r="F1" s="28"/>
      <c r="G1" s="20" t="s">
        <v>113</v>
      </c>
      <c r="H1" s="15">
        <f>MüRR/TAN(ThetaR/180*PI())</f>
        <v>2.0045377298040923</v>
      </c>
    </row>
    <row r="2" spans="1:41">
      <c r="A2" s="174" t="s">
        <v>12</v>
      </c>
      <c r="B2" s="174"/>
      <c r="C2" s="174"/>
      <c r="D2" s="81" t="s">
        <v>163</v>
      </c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AA2" s="76" t="s">
        <v>165</v>
      </c>
      <c r="AB2" s="143" t="s">
        <v>12</v>
      </c>
      <c r="AC2" s="144"/>
      <c r="AD2" s="144"/>
      <c r="AE2" s="144"/>
      <c r="AF2" s="144"/>
      <c r="AG2" s="175"/>
    </row>
    <row r="3" spans="1:41">
      <c r="A3" s="15" t="s">
        <v>108</v>
      </c>
      <c r="B3" s="16">
        <f>(PI()/2-alphanull)/19</f>
        <v>-4.5811577686824555E-2</v>
      </c>
      <c r="D3" s="31" t="s">
        <v>109</v>
      </c>
      <c r="E3" s="15">
        <f>alphanull</f>
        <v>2.441216302844563</v>
      </c>
      <c r="F3" s="15">
        <f>E3-0.0001</f>
        <v>2.4411163028445628</v>
      </c>
      <c r="G3" s="15">
        <f t="shared" ref="G3:X3" si="0">F3+deltaalpha</f>
        <v>2.3953047251577382</v>
      </c>
      <c r="H3" s="15">
        <f t="shared" si="0"/>
        <v>2.3494931474709135</v>
      </c>
      <c r="I3" s="15">
        <f t="shared" si="0"/>
        <v>2.3036815697840889</v>
      </c>
      <c r="J3" s="15">
        <f t="shared" si="0"/>
        <v>2.2578699920972642</v>
      </c>
      <c r="K3" s="15">
        <f t="shared" si="0"/>
        <v>2.2120584144104396</v>
      </c>
      <c r="L3" s="15">
        <f t="shared" si="0"/>
        <v>2.166246836723615</v>
      </c>
      <c r="M3" s="15">
        <f t="shared" si="0"/>
        <v>2.1204352590367903</v>
      </c>
      <c r="N3" s="15">
        <f t="shared" si="0"/>
        <v>2.0746236813499657</v>
      </c>
      <c r="O3" s="15">
        <f t="shared" si="0"/>
        <v>2.028812103663141</v>
      </c>
      <c r="P3" s="15">
        <f t="shared" si="0"/>
        <v>1.9830005259763164</v>
      </c>
      <c r="Q3" s="15">
        <f t="shared" si="0"/>
        <v>1.9371889482894917</v>
      </c>
      <c r="R3" s="15">
        <f t="shared" si="0"/>
        <v>1.8913773706026671</v>
      </c>
      <c r="S3" s="15">
        <f t="shared" si="0"/>
        <v>1.8455657929158424</v>
      </c>
      <c r="T3" s="15">
        <f t="shared" si="0"/>
        <v>1.7997542152290178</v>
      </c>
      <c r="U3" s="15">
        <f t="shared" si="0"/>
        <v>1.7539426375421932</v>
      </c>
      <c r="V3" s="15">
        <f t="shared" si="0"/>
        <v>1.7081310598553685</v>
      </c>
      <c r="W3" s="15">
        <f t="shared" si="0"/>
        <v>1.6623194821685439</v>
      </c>
      <c r="X3" s="15">
        <f t="shared" si="0"/>
        <v>1.6165079044817192</v>
      </c>
      <c r="Y3" s="15">
        <f>X3+deltaalpha+0.000001</f>
        <v>1.5706973267948945</v>
      </c>
      <c r="AA3" s="53" t="s">
        <v>101</v>
      </c>
      <c r="AB3" s="150" t="s">
        <v>104</v>
      </c>
      <c r="AC3" s="150"/>
      <c r="AD3" s="150"/>
      <c r="AE3" s="150"/>
      <c r="AF3" s="150"/>
      <c r="AG3" s="150"/>
    </row>
    <row r="4" spans="1:41">
      <c r="A4" s="20" t="s">
        <v>17</v>
      </c>
      <c r="B4" s="27">
        <v>2</v>
      </c>
      <c r="C4" s="1" t="s">
        <v>21</v>
      </c>
      <c r="D4" s="31" t="s">
        <v>146</v>
      </c>
      <c r="E4" s="15">
        <f>E3/PI()*180</f>
        <v>139.87139103152407</v>
      </c>
      <c r="F4" s="15">
        <f t="shared" ref="F4:Y4" si="1">F3/PI()*180</f>
        <v>139.86566145357278</v>
      </c>
      <c r="G4" s="15">
        <f t="shared" si="1"/>
        <v>137.24085139928204</v>
      </c>
      <c r="H4" s="15">
        <f t="shared" si="1"/>
        <v>134.61604134499126</v>
      </c>
      <c r="I4" s="15">
        <f t="shared" si="1"/>
        <v>131.99123129070051</v>
      </c>
      <c r="J4" s="15">
        <f t="shared" si="1"/>
        <v>129.36642123640976</v>
      </c>
      <c r="K4" s="15">
        <f t="shared" si="1"/>
        <v>126.74161118211903</v>
      </c>
      <c r="L4" s="15">
        <f t="shared" si="1"/>
        <v>124.1168011278283</v>
      </c>
      <c r="M4" s="15">
        <f t="shared" si="1"/>
        <v>121.49199107353755</v>
      </c>
      <c r="N4" s="15">
        <f t="shared" si="1"/>
        <v>118.8671810192468</v>
      </c>
      <c r="O4" s="15">
        <f t="shared" si="1"/>
        <v>116.24237096495605</v>
      </c>
      <c r="P4" s="15">
        <f t="shared" si="1"/>
        <v>113.6175609106653</v>
      </c>
      <c r="Q4" s="15">
        <f t="shared" si="1"/>
        <v>110.99275085637456</v>
      </c>
      <c r="R4" s="15">
        <f t="shared" si="1"/>
        <v>108.36794080208379</v>
      </c>
      <c r="S4" s="15">
        <f t="shared" si="1"/>
        <v>105.74313074779305</v>
      </c>
      <c r="T4" s="15">
        <f t="shared" si="1"/>
        <v>103.11832069350233</v>
      </c>
      <c r="U4" s="15">
        <f t="shared" si="1"/>
        <v>100.49351063921158</v>
      </c>
      <c r="V4" s="15">
        <f t="shared" si="1"/>
        <v>97.868700584920816</v>
      </c>
      <c r="W4" s="15">
        <f t="shared" si="1"/>
        <v>95.243890530630068</v>
      </c>
      <c r="X4" s="15">
        <f t="shared" si="1"/>
        <v>92.61908047633932</v>
      </c>
      <c r="Y4" s="15">
        <f t="shared" si="1"/>
        <v>89.994327717828085</v>
      </c>
      <c r="AA4" s="53" t="s">
        <v>88</v>
      </c>
      <c r="AB4" s="31">
        <v>0.5</v>
      </c>
      <c r="AC4" s="15">
        <v>1</v>
      </c>
      <c r="AD4" s="31">
        <v>1.5</v>
      </c>
      <c r="AE4" s="15">
        <v>2</v>
      </c>
      <c r="AF4" s="31">
        <v>2.5</v>
      </c>
      <c r="AG4" s="15">
        <v>3</v>
      </c>
      <c r="AH4" s="1" t="s">
        <v>25</v>
      </c>
      <c r="AJ4" s="31">
        <v>0.5</v>
      </c>
      <c r="AK4" s="15">
        <v>1</v>
      </c>
      <c r="AL4" s="31">
        <v>1.5</v>
      </c>
      <c r="AM4" s="15">
        <v>2</v>
      </c>
      <c r="AN4" s="31">
        <v>2.5</v>
      </c>
      <c r="AO4" s="15">
        <v>3</v>
      </c>
    </row>
    <row r="5" spans="1:41">
      <c r="A5" s="20" t="s">
        <v>18</v>
      </c>
      <c r="B5" s="27">
        <v>-2</v>
      </c>
      <c r="C5" s="1" t="s">
        <v>21</v>
      </c>
      <c r="D5" s="31" t="s">
        <v>111</v>
      </c>
      <c r="E5" s="15">
        <f>COS(E3)</f>
        <v>-0.76459968131745104</v>
      </c>
      <c r="F5" s="15">
        <f t="shared" ref="F5:Y5" si="2">COS(F3)</f>
        <v>-0.76453522694550646</v>
      </c>
      <c r="G5" s="15">
        <f t="shared" si="2"/>
        <v>-0.7342141137849324</v>
      </c>
      <c r="H5" s="15">
        <f t="shared" si="2"/>
        <v>-0.70235237445744214</v>
      </c>
      <c r="I5" s="15">
        <f t="shared" si="2"/>
        <v>-0.66901686552219153</v>
      </c>
      <c r="J5" s="15">
        <f t="shared" si="2"/>
        <v>-0.63427753599866799</v>
      </c>
      <c r="K5" s="15">
        <f t="shared" si="2"/>
        <v>-0.5982072805903107</v>
      </c>
      <c r="L5" s="15">
        <f t="shared" si="2"/>
        <v>-0.56088178672710221</v>
      </c>
      <c r="M5" s="15">
        <f t="shared" si="2"/>
        <v>-0.52237937574808957</v>
      </c>
      <c r="N5" s="15">
        <f t="shared" si="2"/>
        <v>-0.48278083855708387</v>
      </c>
      <c r="O5" s="15">
        <f t="shared" si="2"/>
        <v>-0.44216926609639023</v>
      </c>
      <c r="P5" s="15">
        <f t="shared" si="2"/>
        <v>-0.40062987499428893</v>
      </c>
      <c r="Q5" s="15">
        <f t="shared" si="2"/>
        <v>-0.35824982875211847</v>
      </c>
      <c r="R5" s="15">
        <f t="shared" si="2"/>
        <v>-0.3151180548461695</v>
      </c>
      <c r="S5" s="15">
        <f t="shared" si="2"/>
        <v>-0.27132505812817043</v>
      </c>
      <c r="T5" s="15">
        <f t="shared" si="2"/>
        <v>-0.22696273091591335</v>
      </c>
      <c r="U5" s="15">
        <f t="shared" si="2"/>
        <v>-0.18212416017251346</v>
      </c>
      <c r="V5" s="15">
        <f t="shared" si="2"/>
        <v>-0.13690343217890355</v>
      </c>
      <c r="W5" s="15">
        <f t="shared" si="2"/>
        <v>-9.1395435109426729E-2</v>
      </c>
      <c r="X5" s="15">
        <f t="shared" si="2"/>
        <v>-4.5695659924788891E-2</v>
      </c>
      <c r="Y5" s="15">
        <f t="shared" si="2"/>
        <v>9.8999999840414406E-5</v>
      </c>
      <c r="AA5" s="16">
        <v>0.5</v>
      </c>
      <c r="AB5" s="15"/>
      <c r="AC5" s="15"/>
      <c r="AD5" s="15"/>
      <c r="AE5" s="15"/>
      <c r="AF5" s="15"/>
      <c r="AG5" s="15"/>
      <c r="AI5" s="16">
        <v>0.5</v>
      </c>
      <c r="AJ5" s="63"/>
      <c r="AK5" s="63"/>
      <c r="AL5" s="63"/>
      <c r="AM5" s="63"/>
      <c r="AN5" s="63"/>
      <c r="AO5" s="63"/>
    </row>
    <row r="6" spans="1:41">
      <c r="A6" s="20" t="s">
        <v>19</v>
      </c>
      <c r="B6" s="96">
        <v>-1.61</v>
      </c>
      <c r="C6" s="1" t="s">
        <v>22</v>
      </c>
      <c r="D6" s="31" t="s">
        <v>122</v>
      </c>
      <c r="E6" s="15">
        <f t="shared" ref="E6:Y6" si="3">(MR+E5)</f>
        <v>1.2399380484866414</v>
      </c>
      <c r="F6" s="15">
        <f t="shared" si="3"/>
        <v>1.2400025028585859</v>
      </c>
      <c r="G6" s="15">
        <f t="shared" si="3"/>
        <v>1.27032361601916</v>
      </c>
      <c r="H6" s="15">
        <f t="shared" si="3"/>
        <v>1.30218535534665</v>
      </c>
      <c r="I6" s="15">
        <f t="shared" si="3"/>
        <v>1.3355208642819008</v>
      </c>
      <c r="J6" s="15">
        <f t="shared" si="3"/>
        <v>1.3702601938054242</v>
      </c>
      <c r="K6" s="15">
        <f t="shared" si="3"/>
        <v>1.4063304492137816</v>
      </c>
      <c r="L6" s="15">
        <f t="shared" si="3"/>
        <v>1.44365594307699</v>
      </c>
      <c r="M6" s="15">
        <f t="shared" si="3"/>
        <v>1.4821583540560028</v>
      </c>
      <c r="N6" s="15">
        <f t="shared" si="3"/>
        <v>1.5217568912470085</v>
      </c>
      <c r="O6" s="15">
        <f t="shared" si="3"/>
        <v>1.562368463707702</v>
      </c>
      <c r="P6" s="15">
        <f t="shared" si="3"/>
        <v>1.6039078548098034</v>
      </c>
      <c r="Q6" s="15">
        <f t="shared" si="3"/>
        <v>1.6462879010519738</v>
      </c>
      <c r="R6" s="15">
        <f t="shared" si="3"/>
        <v>1.6894196749579229</v>
      </c>
      <c r="S6" s="15">
        <f t="shared" si="3"/>
        <v>1.733212671675922</v>
      </c>
      <c r="T6" s="15">
        <f t="shared" si="3"/>
        <v>1.7775749988881788</v>
      </c>
      <c r="U6" s="15">
        <f t="shared" si="3"/>
        <v>1.8224135696315789</v>
      </c>
      <c r="V6" s="15">
        <f t="shared" si="3"/>
        <v>1.8676342976251887</v>
      </c>
      <c r="W6" s="15">
        <f t="shared" si="3"/>
        <v>1.9131422946946655</v>
      </c>
      <c r="X6" s="15">
        <f t="shared" si="3"/>
        <v>1.9588420698793034</v>
      </c>
      <c r="Y6" s="15">
        <f t="shared" si="3"/>
        <v>2.0046367298039325</v>
      </c>
      <c r="AA6" s="16">
        <v>1</v>
      </c>
      <c r="AB6" s="15"/>
      <c r="AC6" s="15"/>
      <c r="AD6" s="15"/>
      <c r="AE6" s="15"/>
      <c r="AF6" s="15"/>
      <c r="AG6" s="15"/>
      <c r="AI6" s="16">
        <v>1</v>
      </c>
      <c r="AJ6" s="63"/>
      <c r="AK6" s="63"/>
      <c r="AL6" s="63"/>
      <c r="AM6" s="63"/>
      <c r="AN6" s="63"/>
      <c r="AO6" s="63"/>
    </row>
    <row r="7" spans="1:41">
      <c r="A7" s="20" t="s">
        <v>20</v>
      </c>
      <c r="B7" s="95">
        <v>1.91</v>
      </c>
      <c r="C7" s="1" t="s">
        <v>22</v>
      </c>
      <c r="D7" s="31" t="s">
        <v>116</v>
      </c>
      <c r="E7" s="15">
        <f t="shared" ref="E7:Y7" si="4">POWER(TAN(E3/2),MR)</f>
        <v>7.5305039706168637</v>
      </c>
      <c r="F7" s="15">
        <f t="shared" si="4"/>
        <v>7.5281623401221518</v>
      </c>
      <c r="G7" s="15">
        <f t="shared" si="4"/>
        <v>6.5526798867099032</v>
      </c>
      <c r="H7" s="15">
        <f t="shared" si="4"/>
        <v>5.7420286697721981</v>
      </c>
      <c r="I7" s="15">
        <f t="shared" si="4"/>
        <v>5.0611486109800738</v>
      </c>
      <c r="J7" s="15">
        <f t="shared" si="4"/>
        <v>4.4838319927927364</v>
      </c>
      <c r="K7" s="15">
        <f t="shared" si="4"/>
        <v>3.9901711443895711</v>
      </c>
      <c r="L7" s="15">
        <f t="shared" si="4"/>
        <v>3.5648251013299435</v>
      </c>
      <c r="M7" s="15">
        <f t="shared" si="4"/>
        <v>3.1958181344992074</v>
      </c>
      <c r="N7" s="15">
        <f t="shared" si="4"/>
        <v>2.8736915006091412</v>
      </c>
      <c r="O7" s="15">
        <f t="shared" si="4"/>
        <v>2.5908945412066711</v>
      </c>
      <c r="P7" s="15">
        <f t="shared" si="4"/>
        <v>2.3413409505182887</v>
      </c>
      <c r="Q7" s="15">
        <f t="shared" si="4"/>
        <v>2.1200809277330475</v>
      </c>
      <c r="R7" s="15">
        <f t="shared" si="4"/>
        <v>1.923055876196891</v>
      </c>
      <c r="S7" s="15">
        <f t="shared" si="4"/>
        <v>1.7469127253436838</v>
      </c>
      <c r="T7" s="15">
        <f t="shared" si="4"/>
        <v>1.5888618720744967</v>
      </c>
      <c r="U7" s="15">
        <f t="shared" si="4"/>
        <v>1.4465674132118416</v>
      </c>
      <c r="V7" s="15">
        <f t="shared" si="4"/>
        <v>1.3180615460653531</v>
      </c>
      <c r="W7" s="15">
        <f t="shared" si="4"/>
        <v>1.2016772426275442</v>
      </c>
      <c r="X7" s="15">
        <f t="shared" si="4"/>
        <v>1.0959948722715913</v>
      </c>
      <c r="Y7" s="15">
        <f t="shared" si="4"/>
        <v>0.99980157045416795</v>
      </c>
      <c r="AA7" s="16">
        <v>1.5</v>
      </c>
      <c r="AB7" s="15"/>
      <c r="AC7" s="15"/>
      <c r="AD7" s="15"/>
      <c r="AE7" s="15"/>
      <c r="AF7" s="15"/>
      <c r="AG7" s="15"/>
      <c r="AI7" s="16">
        <v>1.5</v>
      </c>
      <c r="AJ7" s="63"/>
      <c r="AK7" s="63"/>
      <c r="AL7" s="63"/>
      <c r="AM7" s="63"/>
      <c r="AN7" s="63"/>
      <c r="AO7" s="63"/>
    </row>
    <row r="8" spans="1:41">
      <c r="A8" s="20" t="s">
        <v>118</v>
      </c>
      <c r="B8" s="18">
        <f>SQRT(vxupR*vxupR+vyupR*vyupR)</f>
        <v>2.4980392310770463</v>
      </c>
      <c r="C8" s="1" t="s">
        <v>22</v>
      </c>
      <c r="D8" s="31" t="s">
        <v>117</v>
      </c>
      <c r="E8" s="15">
        <f>SIN(E3)</f>
        <v>0.64450549053460537</v>
      </c>
      <c r="F8" s="15">
        <f t="shared" ref="F8:Y8" si="5">SIN(F3)</f>
        <v>0.64458194728008245</v>
      </c>
      <c r="G8" s="15">
        <f t="shared" si="5"/>
        <v>0.67891798850745322</v>
      </c>
      <c r="H8" s="15">
        <f t="shared" si="5"/>
        <v>0.71182943328721171</v>
      </c>
      <c r="I8" s="15">
        <f t="shared" si="5"/>
        <v>0.74324722242794961</v>
      </c>
      <c r="J8" s="15">
        <f t="shared" si="5"/>
        <v>0.77310543092611783</v>
      </c>
      <c r="K8" s="15">
        <f t="shared" si="5"/>
        <v>0.80134140629867945</v>
      </c>
      <c r="L8" s="15">
        <f t="shared" si="5"/>
        <v>0.82789590004892122</v>
      </c>
      <c r="M8" s="15">
        <f t="shared" si="5"/>
        <v>0.85271319198956708</v>
      </c>
      <c r="N8" s="15">
        <f t="shared" si="5"/>
        <v>0.87574120716232084</v>
      </c>
      <c r="O8" s="15">
        <f t="shared" si="5"/>
        <v>0.89693162510850266</v>
      </c>
      <c r="P8" s="15">
        <f t="shared" si="5"/>
        <v>0.91623998126149264</v>
      </c>
      <c r="Q8" s="15">
        <f t="shared" si="5"/>
        <v>0.93362576024822586</v>
      </c>
      <c r="R8" s="15">
        <f t="shared" si="5"/>
        <v>0.94905248090396266</v>
      </c>
      <c r="S8" s="15">
        <f t="shared" si="5"/>
        <v>0.96248777282194342</v>
      </c>
      <c r="T8" s="15">
        <f t="shared" si="5"/>
        <v>0.97390344427730136</v>
      </c>
      <c r="U8" s="15">
        <f t="shared" si="5"/>
        <v>0.98327554138270756</v>
      </c>
      <c r="V8" s="15">
        <f t="shared" si="5"/>
        <v>0.99058439835161771</v>
      </c>
      <c r="W8" s="15">
        <f t="shared" si="5"/>
        <v>0.99581467876365359</v>
      </c>
      <c r="X8" s="15">
        <f t="shared" si="5"/>
        <v>0.99895540774552993</v>
      </c>
      <c r="Y8" s="15">
        <f t="shared" si="5"/>
        <v>0.99999999509949999</v>
      </c>
      <c r="AA8" s="16">
        <v>2</v>
      </c>
      <c r="AB8" s="15"/>
      <c r="AC8" s="15"/>
      <c r="AD8" s="15"/>
      <c r="AE8" s="65">
        <v>0.372</v>
      </c>
      <c r="AF8" s="15"/>
      <c r="AG8" s="15"/>
      <c r="AI8" s="16">
        <v>2</v>
      </c>
      <c r="AJ8" s="63"/>
      <c r="AK8" s="63"/>
      <c r="AL8" s="63"/>
      <c r="AM8" s="86" t="s">
        <v>162</v>
      </c>
      <c r="AN8" s="63"/>
      <c r="AO8" s="63"/>
    </row>
    <row r="9" spans="1:41">
      <c r="A9" s="20" t="s">
        <v>110</v>
      </c>
      <c r="B9" s="60">
        <f>ATAN(vyupR/vxupR)+PI()</f>
        <v>2.441216302844563</v>
      </c>
      <c r="C9" s="1" t="s">
        <v>120</v>
      </c>
      <c r="D9" s="31" t="s">
        <v>119</v>
      </c>
      <c r="E9" s="15">
        <f>(E6*ZZ2null*E7/E8/N2null/N3null)</f>
        <v>0.99999999999999989</v>
      </c>
      <c r="F9" s="15">
        <f t="shared" ref="F9:Y9" si="6">(F6*ZZ2null*F7/F8/N2null/N3null)</f>
        <v>0.9996224293221222</v>
      </c>
      <c r="G9" s="15">
        <f t="shared" si="6"/>
        <v>0.84628881498838493</v>
      </c>
      <c r="H9" s="15">
        <f t="shared" si="6"/>
        <v>0.72504475399848756</v>
      </c>
      <c r="I9" s="15">
        <f t="shared" si="6"/>
        <v>0.62772447881185778</v>
      </c>
      <c r="J9" s="15">
        <f t="shared" si="6"/>
        <v>0.54855002807772579</v>
      </c>
      <c r="K9" s="15">
        <f t="shared" si="6"/>
        <v>0.483352436905854</v>
      </c>
      <c r="L9" s="15">
        <f t="shared" si="6"/>
        <v>0.42907063310676974</v>
      </c>
      <c r="M9" s="15">
        <f t="shared" si="6"/>
        <v>0.38342133405460327</v>
      </c>
      <c r="N9" s="15">
        <f t="shared" si="6"/>
        <v>0.34467693933537419</v>
      </c>
      <c r="O9" s="15">
        <f t="shared" si="6"/>
        <v>0.31151320115923758</v>
      </c>
      <c r="P9" s="15">
        <f t="shared" si="6"/>
        <v>0.28290291946084323</v>
      </c>
      <c r="Q9" s="15">
        <f t="shared" si="6"/>
        <v>0.25804056980947854</v>
      </c>
      <c r="R9" s="15">
        <f t="shared" si="6"/>
        <v>0.23628808080064503</v>
      </c>
      <c r="S9" s="15">
        <f t="shared" si="6"/>
        <v>0.21713530128965797</v>
      </c>
      <c r="T9" s="15">
        <f t="shared" si="6"/>
        <v>0.20017081977715001</v>
      </c>
      <c r="U9" s="15">
        <f t="shared" si="6"/>
        <v>0.18506017749238501</v>
      </c>
      <c r="V9" s="15">
        <f t="shared" si="6"/>
        <v>0.17152942816427766</v>
      </c>
      <c r="W9" s="15">
        <f t="shared" si="6"/>
        <v>0.15935260908179968</v>
      </c>
      <c r="X9" s="15">
        <f t="shared" si="6"/>
        <v>0.14834210434005207</v>
      </c>
      <c r="Y9" s="15">
        <f t="shared" si="6"/>
        <v>0.13834137658454829</v>
      </c>
      <c r="AA9" s="16">
        <v>2.5</v>
      </c>
      <c r="AB9" s="15"/>
      <c r="AC9" s="15"/>
      <c r="AD9" s="15"/>
      <c r="AE9" s="15"/>
      <c r="AF9" s="15"/>
      <c r="AG9" s="15"/>
      <c r="AI9" s="16">
        <v>2.5</v>
      </c>
      <c r="AJ9" s="63"/>
      <c r="AK9" s="63"/>
      <c r="AL9" s="63"/>
      <c r="AM9" s="63"/>
      <c r="AN9" s="63"/>
      <c r="AO9" s="63"/>
    </row>
    <row r="10" spans="1:41">
      <c r="A10" s="20" t="s">
        <v>110</v>
      </c>
      <c r="B10" s="84">
        <f>ATAN(vyupR/vxupR)/PI()*180+180</f>
        <v>139.87139103152407</v>
      </c>
      <c r="C10" s="1" t="s">
        <v>23</v>
      </c>
      <c r="D10" s="88" t="s">
        <v>9</v>
      </c>
      <c r="E10" s="17">
        <f>voR*(MR+unull)/9.81/SIN(ThetaR/180*PI())/(1-MR*MR)*(E9-1)</f>
        <v>3.3279545362397073E-16</v>
      </c>
      <c r="F10" s="17">
        <f>voR*(MR+unull)/9.81/SIN(ThetaR/180*PI())/(1-MR*MR)*(F9-1)</f>
        <v>1.1317888589265927E-3</v>
      </c>
      <c r="G10" s="17">
        <f t="shared" ref="G10:Y10" si="7">voR*(MR+unull)/9.81/SIN(ThetaR/180*PI())/(1-MR*MR)*(G9-1)</f>
        <v>0.46075772532541137</v>
      </c>
      <c r="H10" s="17">
        <f t="shared" si="7"/>
        <v>0.82419346194210075</v>
      </c>
      <c r="I10" s="17">
        <f t="shared" si="7"/>
        <v>1.1159163357176574</v>
      </c>
      <c r="J10" s="17">
        <f t="shared" si="7"/>
        <v>1.3532461033685339</v>
      </c>
      <c r="K10" s="17">
        <f t="shared" si="7"/>
        <v>1.5486794662872949</v>
      </c>
      <c r="L10" s="17">
        <f t="shared" si="7"/>
        <v>1.7113921566041148</v>
      </c>
      <c r="M10" s="17">
        <f t="shared" si="7"/>
        <v>1.8482284394835049</v>
      </c>
      <c r="N10" s="17">
        <f t="shared" si="7"/>
        <v>1.9643668921185098</v>
      </c>
      <c r="O10" s="17">
        <f t="shared" si="7"/>
        <v>2.063777020042314</v>
      </c>
      <c r="P10" s="17">
        <f t="shared" si="7"/>
        <v>2.1495379119076348</v>
      </c>
      <c r="Q10" s="17">
        <f t="shared" si="7"/>
        <v>2.2240641714686564</v>
      </c>
      <c r="R10" s="17">
        <f t="shared" si="7"/>
        <v>2.2892684528299561</v>
      </c>
      <c r="S10" s="17">
        <f t="shared" si="7"/>
        <v>2.3466799620865837</v>
      </c>
      <c r="T10" s="17">
        <f t="shared" si="7"/>
        <v>2.397531927819835</v>
      </c>
      <c r="U10" s="17">
        <f t="shared" si="7"/>
        <v>2.4428269085774699</v>
      </c>
      <c r="V10" s="17">
        <f t="shared" si="7"/>
        <v>2.4833860733636626</v>
      </c>
      <c r="W10" s="17">
        <f t="shared" si="7"/>
        <v>2.5198867578240529</v>
      </c>
      <c r="X10" s="17">
        <f t="shared" si="7"/>
        <v>2.5528913509452944</v>
      </c>
      <c r="Y10" s="17">
        <f t="shared" si="7"/>
        <v>2.5828690820510465</v>
      </c>
      <c r="AA10" s="16">
        <v>3</v>
      </c>
      <c r="AB10" s="15"/>
      <c r="AC10" s="15"/>
      <c r="AD10" s="15"/>
      <c r="AE10" s="15"/>
      <c r="AF10" s="15"/>
      <c r="AG10" s="15"/>
      <c r="AI10" s="16">
        <v>3</v>
      </c>
      <c r="AJ10" s="63"/>
      <c r="AK10" s="63"/>
      <c r="AL10" s="63"/>
      <c r="AM10" s="63"/>
      <c r="AN10" s="63"/>
      <c r="AO10" s="63"/>
    </row>
    <row r="11" spans="1:41">
      <c r="A11" s="20" t="s">
        <v>112</v>
      </c>
      <c r="B11" s="16">
        <f>COS(alphanull)</f>
        <v>-0.76459968131745104</v>
      </c>
      <c r="D11" s="68" t="s">
        <v>7</v>
      </c>
      <c r="E11" s="69">
        <f t="shared" ref="E11:Y11" si="8">-(-yupR+Konst*((POWER(TAN(E3/2),2*MR-1)/(2*MR-1))+(POWER(TAN(E3/2),2*MR+1)/(2*MR+1))-(POWER(TAN(alphanull/2),2*MR-1)/(2*MR-1))-(POWER(TAN(alphanull/2),2*MR+1)/(2*MR+1))))</f>
        <v>2</v>
      </c>
      <c r="F11" s="69">
        <f t="shared" si="8"/>
        <v>1.9981781032374279</v>
      </c>
      <c r="G11" s="69">
        <f t="shared" si="8"/>
        <v>1.3059248088942204</v>
      </c>
      <c r="H11" s="69">
        <f t="shared" si="8"/>
        <v>0.8280177113790077</v>
      </c>
      <c r="I11" s="69">
        <f t="shared" si="8"/>
        <v>0.4909704873049634</v>
      </c>
      <c r="J11" s="69">
        <f t="shared" si="8"/>
        <v>0.24871620337089961</v>
      </c>
      <c r="K11" s="69">
        <f t="shared" si="8"/>
        <v>7.1619540419048944E-2</v>
      </c>
      <c r="L11" s="69">
        <f t="shared" si="8"/>
        <v>-5.9830383577985202E-2</v>
      </c>
      <c r="M11" s="69">
        <f t="shared" si="8"/>
        <v>-0.15874894668523654</v>
      </c>
      <c r="N11" s="69">
        <f t="shared" si="8"/>
        <v>-0.23411987110794463</v>
      </c>
      <c r="O11" s="69">
        <f t="shared" si="8"/>
        <v>-0.29220290632075008</v>
      </c>
      <c r="P11" s="69">
        <f t="shared" si="8"/>
        <v>-0.3374283611564679</v>
      </c>
      <c r="Q11" s="69">
        <f t="shared" si="8"/>
        <v>-0.37297691585947002</v>
      </c>
      <c r="R11" s="69">
        <f t="shared" si="8"/>
        <v>-0.40116231649598966</v>
      </c>
      <c r="S11" s="69">
        <f t="shared" si="8"/>
        <v>-0.42368820906311999</v>
      </c>
      <c r="T11" s="69">
        <f t="shared" si="8"/>
        <v>-0.44182317491995526</v>
      </c>
      <c r="U11" s="69">
        <f t="shared" si="8"/>
        <v>-0.45652172717809458</v>
      </c>
      <c r="V11" s="69">
        <f t="shared" si="8"/>
        <v>-0.46850906208010379</v>
      </c>
      <c r="W11" s="69">
        <f t="shared" si="8"/>
        <v>-0.47834115566663549</v>
      </c>
      <c r="X11" s="69">
        <f t="shared" si="8"/>
        <v>-0.48644786850498134</v>
      </c>
      <c r="Y11" s="69">
        <f t="shared" si="8"/>
        <v>-0.49316406201616614</v>
      </c>
      <c r="Z11" s="170">
        <f>SQRT(Y11*Y11+Y12*Y12)</f>
        <v>0.55137812754403226</v>
      </c>
      <c r="AA11" s="16">
        <v>3.5</v>
      </c>
      <c r="AB11" s="15"/>
      <c r="AC11" s="15"/>
      <c r="AD11" s="15"/>
      <c r="AE11" s="15"/>
      <c r="AF11" s="15"/>
      <c r="AG11" s="15"/>
      <c r="AI11" s="16">
        <v>3.5</v>
      </c>
      <c r="AJ11" s="63"/>
      <c r="AK11" s="63"/>
      <c r="AL11" s="63"/>
      <c r="AM11" s="63"/>
      <c r="AN11" s="63"/>
      <c r="AO11" s="63"/>
    </row>
    <row r="12" spans="1:41">
      <c r="A12" s="20" t="s">
        <v>121</v>
      </c>
      <c r="B12" s="16">
        <f>SIN(alphanull)</f>
        <v>0.64450549053460537</v>
      </c>
      <c r="D12" s="85" t="s">
        <v>6</v>
      </c>
      <c r="E12" s="71">
        <f t="shared" ref="E12:Y12" si="9">-(-xupR+0.5*Konst*((POWER(TAN(E3/2),2*MR-2)/(2*MR-2))-(POWER(TAN(E3/2),2*MR+2)/(2*MR+2))-(POWER(TAN(alphanull/2),2*MR-2)/(2*MR-2))+(POWER(TAN(alphanull/2),2*MR+2)/(2*MR+2))))</f>
        <v>-2</v>
      </c>
      <c r="F12" s="71">
        <f t="shared" si="9"/>
        <v>-1.9978388386208366</v>
      </c>
      <c r="G12" s="71">
        <f t="shared" si="9"/>
        <v>-1.2113095714381847</v>
      </c>
      <c r="H12" s="71">
        <f t="shared" si="9"/>
        <v>-0.71612650110320697</v>
      </c>
      <c r="I12" s="71">
        <f t="shared" si="9"/>
        <v>-0.39754106673122225</v>
      </c>
      <c r="J12" s="71">
        <f t="shared" si="9"/>
        <v>-0.18874590539071257</v>
      </c>
      <c r="K12" s="71">
        <f t="shared" si="9"/>
        <v>-4.9742172147736463E-2</v>
      </c>
      <c r="L12" s="71">
        <f t="shared" si="9"/>
        <v>4.4019534966726503E-2</v>
      </c>
      <c r="M12" s="71">
        <f t="shared" si="9"/>
        <v>0.10794306582507218</v>
      </c>
      <c r="N12" s="71">
        <f t="shared" si="9"/>
        <v>0.15188661090226363</v>
      </c>
      <c r="O12" s="71">
        <f t="shared" si="9"/>
        <v>0.18227199508593639</v>
      </c>
      <c r="P12" s="71">
        <f t="shared" si="9"/>
        <v>0.20334963430049369</v>
      </c>
      <c r="Q12" s="71">
        <f t="shared" si="9"/>
        <v>0.21797330223881772</v>
      </c>
      <c r="R12" s="71">
        <f t="shared" si="9"/>
        <v>0.22808386309181561</v>
      </c>
      <c r="S12" s="71">
        <f t="shared" si="9"/>
        <v>0.23501663953119278</v>
      </c>
      <c r="T12" s="71">
        <f t="shared" si="9"/>
        <v>0.2396998810403983</v>
      </c>
      <c r="U12" s="71">
        <f t="shared" si="9"/>
        <v>0.24278482057096706</v>
      </c>
      <c r="V12" s="71">
        <f t="shared" si="9"/>
        <v>0.24473206586704954</v>
      </c>
      <c r="W12" s="71">
        <f t="shared" si="9"/>
        <v>0.24586970809577213</v>
      </c>
      <c r="X12" s="71">
        <f t="shared" si="9"/>
        <v>0.24643286060056813</v>
      </c>
      <c r="Y12" s="71">
        <f t="shared" si="9"/>
        <v>0.24659085033650019</v>
      </c>
      <c r="Z12" s="170"/>
      <c r="AA12" s="16">
        <v>4</v>
      </c>
      <c r="AB12" s="15"/>
      <c r="AC12" s="15"/>
      <c r="AD12" s="15"/>
      <c r="AE12" s="15"/>
      <c r="AF12" s="15"/>
      <c r="AG12" s="15"/>
      <c r="AI12" s="16">
        <v>4</v>
      </c>
      <c r="AJ12" s="63"/>
      <c r="AK12" s="63"/>
      <c r="AL12" s="63"/>
      <c r="AM12" s="63"/>
      <c r="AN12" s="63"/>
      <c r="AO12" s="63"/>
    </row>
    <row r="13" spans="1:41">
      <c r="A13" s="20" t="s">
        <v>114</v>
      </c>
      <c r="B13" s="16">
        <f>MR+unull</f>
        <v>1.2399380484866414</v>
      </c>
      <c r="D13" s="66" t="s">
        <v>10</v>
      </c>
      <c r="E13" s="67">
        <f t="shared" ref="E13:Y13" si="10">-voR*SIN(E3)*(MR+unull)/(MR+E5)*E9</f>
        <v>-1.6099999999999999</v>
      </c>
      <c r="F13" s="67">
        <f t="shared" si="10"/>
        <v>-1.6094993661631154</v>
      </c>
      <c r="G13" s="67">
        <f t="shared" si="10"/>
        <v>-1.4009440349234359</v>
      </c>
      <c r="H13" s="67">
        <f t="shared" si="10"/>
        <v>-1.2276291459914019</v>
      </c>
      <c r="I13" s="67">
        <f t="shared" si="10"/>
        <v>-1.0820589558776155</v>
      </c>
      <c r="J13" s="67">
        <f t="shared" si="10"/>
        <v>-0.95863033026260558</v>
      </c>
      <c r="K13" s="67">
        <f t="shared" si="10"/>
        <v>-0.85308706662045231</v>
      </c>
      <c r="L13" s="67">
        <f t="shared" si="10"/>
        <v>-0.76214931106012918</v>
      </c>
      <c r="M13" s="67">
        <f t="shared" si="10"/>
        <v>-0.68325668728413769</v>
      </c>
      <c r="N13" s="67">
        <f t="shared" si="10"/>
        <v>-0.61438694329534016</v>
      </c>
      <c r="O13" s="67">
        <f t="shared" si="10"/>
        <v>-0.55392577012359556</v>
      </c>
      <c r="P13" s="67">
        <f t="shared" si="10"/>
        <v>-0.50057193317244342</v>
      </c>
      <c r="Q13" s="67">
        <f t="shared" si="10"/>
        <v>-0.45326717932406879</v>
      </c>
      <c r="R13" s="67">
        <f t="shared" si="10"/>
        <v>-0.41114379233550491</v>
      </c>
      <c r="S13" s="67">
        <f t="shared" si="10"/>
        <v>-0.3734848954037458</v>
      </c>
      <c r="T13" s="67">
        <f t="shared" si="10"/>
        <v>-0.33969407944291874</v>
      </c>
      <c r="U13" s="67">
        <f t="shared" si="10"/>
        <v>-0.30927193510002049</v>
      </c>
      <c r="V13" s="67">
        <f t="shared" si="10"/>
        <v>-0.28179775184307987</v>
      </c>
      <c r="W13" s="67">
        <f t="shared" si="10"/>
        <v>-0.25691512389865517</v>
      </c>
      <c r="X13" s="67">
        <f t="shared" si="10"/>
        <v>-0.2343205383387798</v>
      </c>
      <c r="Y13" s="67">
        <f t="shared" si="10"/>
        <v>-0.21375468822697571</v>
      </c>
      <c r="AA13" s="16">
        <v>4.5</v>
      </c>
      <c r="AB13" s="15"/>
      <c r="AC13" s="15"/>
      <c r="AD13" s="15"/>
      <c r="AE13" s="15"/>
      <c r="AF13" s="15"/>
      <c r="AG13" s="15"/>
      <c r="AI13" s="16">
        <v>4.5</v>
      </c>
      <c r="AJ13" s="63"/>
      <c r="AK13" s="63"/>
      <c r="AL13" s="63"/>
      <c r="AM13" s="63"/>
      <c r="AN13" s="63"/>
      <c r="AO13" s="63"/>
    </row>
    <row r="14" spans="1:41">
      <c r="A14" s="20" t="s">
        <v>115</v>
      </c>
      <c r="B14" s="16">
        <f>POWER(TAN(alphanull/2),MR)</f>
        <v>7.5305039706168637</v>
      </c>
      <c r="D14" s="61" t="s">
        <v>11</v>
      </c>
      <c r="E14" s="15">
        <f t="shared" ref="E14:Y14" si="11">-voR*COS(E3)*(MR+unull)/(MR+E5)*E9</f>
        <v>1.91</v>
      </c>
      <c r="F14" s="15">
        <f t="shared" si="11"/>
        <v>1.9090186567752008</v>
      </c>
      <c r="G14" s="15">
        <f t="shared" si="11"/>
        <v>1.5150473260030668</v>
      </c>
      <c r="H14" s="15">
        <f t="shared" si="11"/>
        <v>1.2112849024217405</v>
      </c>
      <c r="I14" s="15">
        <f t="shared" si="11"/>
        <v>0.97399044238155064</v>
      </c>
      <c r="J14" s="15">
        <f t="shared" si="11"/>
        <v>0.78648740454995225</v>
      </c>
      <c r="K14" s="15">
        <f t="shared" si="11"/>
        <v>0.63683579834832116</v>
      </c>
      <c r="L14" s="15">
        <f t="shared" si="11"/>
        <v>0.51633987716930985</v>
      </c>
      <c r="M14" s="15">
        <f t="shared" si="11"/>
        <v>0.41856887536408893</v>
      </c>
      <c r="N14" s="15">
        <f t="shared" si="11"/>
        <v>0.33870079568800021</v>
      </c>
      <c r="O14" s="15">
        <f t="shared" si="11"/>
        <v>0.27307427276610829</v>
      </c>
      <c r="P14" s="15">
        <f t="shared" si="11"/>
        <v>0.21887723207233711</v>
      </c>
      <c r="Q14" s="15">
        <f t="shared" si="11"/>
        <v>0.17392717326975873</v>
      </c>
      <c r="R14" s="15">
        <f t="shared" si="11"/>
        <v>0.13651387537540424</v>
      </c>
      <c r="S14" s="15">
        <f t="shared" si="11"/>
        <v>0.10528529693245435</v>
      </c>
      <c r="T14" s="15">
        <f t="shared" si="11"/>
        <v>7.9163798423100992E-2</v>
      </c>
      <c r="U14" s="15">
        <f t="shared" si="11"/>
        <v>5.7283934232526916E-2</v>
      </c>
      <c r="V14" s="15">
        <f t="shared" si="11"/>
        <v>3.8945777332869476E-2</v>
      </c>
      <c r="W14" s="15">
        <f t="shared" si="11"/>
        <v>2.3579557557900598E-2</v>
      </c>
      <c r="X14" s="15">
        <f t="shared" si="11"/>
        <v>1.0718628229349263E-2</v>
      </c>
      <c r="Y14" s="15">
        <f t="shared" si="11"/>
        <v>-2.116171420406141E-5</v>
      </c>
      <c r="AA14" s="16">
        <v>5</v>
      </c>
      <c r="AB14" s="15"/>
      <c r="AC14" s="15"/>
      <c r="AD14" s="15"/>
      <c r="AE14" s="15"/>
      <c r="AF14" s="15"/>
      <c r="AG14" s="15"/>
      <c r="AI14" s="16">
        <v>5</v>
      </c>
      <c r="AJ14" s="63"/>
      <c r="AK14" s="63"/>
      <c r="AL14" s="63"/>
      <c r="AM14" s="63"/>
      <c r="AN14" s="63"/>
      <c r="AO14" s="63"/>
    </row>
    <row r="15" spans="1:41">
      <c r="A15" s="20" t="s">
        <v>123</v>
      </c>
      <c r="B15" s="16">
        <f>-voR*voR*SIN(alphanull)*SIN(alphanull)/(2*9.81*SIN(ThetaR/180*PI())*POWER(TAN(alphanull/2),2*MR))</f>
        <v>-6.6755261488069956E-2</v>
      </c>
      <c r="D15" s="40" t="s">
        <v>15</v>
      </c>
      <c r="E15" s="19">
        <f>SQRT(E13*E13+E14*E14)</f>
        <v>2.4980392310770463</v>
      </c>
      <c r="F15" s="19">
        <f t="shared" ref="F15:Y15" si="12">SQRT(F13*F13+F14*F14)</f>
        <v>2.4969662475883134</v>
      </c>
      <c r="G15" s="19">
        <f t="shared" si="12"/>
        <v>2.0634952360053074</v>
      </c>
      <c r="H15" s="19">
        <f t="shared" si="12"/>
        <v>1.7246113866382839</v>
      </c>
      <c r="I15" s="19">
        <f t="shared" si="12"/>
        <v>1.4558533462700025</v>
      </c>
      <c r="J15" s="19">
        <f t="shared" si="12"/>
        <v>1.2399736076284498</v>
      </c>
      <c r="K15" s="19">
        <f t="shared" si="12"/>
        <v>1.0645738007733572</v>
      </c>
      <c r="L15" s="19">
        <f t="shared" si="12"/>
        <v>0.92058592271696593</v>
      </c>
      <c r="M15" s="19">
        <f t="shared" si="12"/>
        <v>0.80127373858254713</v>
      </c>
      <c r="N15" s="19">
        <f t="shared" si="12"/>
        <v>0.70156221754843384</v>
      </c>
      <c r="O15" s="19">
        <f t="shared" si="12"/>
        <v>0.61757859196523102</v>
      </c>
      <c r="P15" s="19">
        <f t="shared" si="12"/>
        <v>0.54633277679418513</v>
      </c>
      <c r="Q15" s="19">
        <f t="shared" si="12"/>
        <v>0.48549129493123377</v>
      </c>
      <c r="R15" s="19">
        <f t="shared" si="12"/>
        <v>0.43321502299208436</v>
      </c>
      <c r="S15" s="19">
        <f t="shared" si="12"/>
        <v>0.38804118447002761</v>
      </c>
      <c r="T15" s="19">
        <f t="shared" si="12"/>
        <v>0.34879646584984969</v>
      </c>
      <c r="U15" s="19">
        <f t="shared" si="12"/>
        <v>0.31453231783342672</v>
      </c>
      <c r="V15" s="19">
        <f t="shared" si="12"/>
        <v>0.28447626705206092</v>
      </c>
      <c r="W15" s="19">
        <f t="shared" si="12"/>
        <v>0.25799491549735565</v>
      </c>
      <c r="X15" s="19">
        <f t="shared" si="12"/>
        <v>0.23456556370979645</v>
      </c>
      <c r="Y15" s="19">
        <f t="shared" si="12"/>
        <v>0.21375468927448057</v>
      </c>
      <c r="AB15" s="157" t="s">
        <v>139</v>
      </c>
      <c r="AC15" s="157"/>
      <c r="AD15" s="157"/>
      <c r="AE15" s="157"/>
      <c r="AF15" s="157"/>
      <c r="AG15" s="157"/>
      <c r="AL15" s="164" t="s">
        <v>124</v>
      </c>
      <c r="AM15" s="164"/>
    </row>
    <row r="16" spans="1:41">
      <c r="D16" s="92" t="s">
        <v>164</v>
      </c>
      <c r="E16" s="29">
        <f>-E14/E13*E11+E12</f>
        <v>0.37267080745341641</v>
      </c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</row>
    <row r="17" spans="5:8">
      <c r="E17" s="29">
        <f>-((E12-F12)/(E11-F11)*E11-E12)</f>
        <v>0.3724301217950905</v>
      </c>
    </row>
    <row r="19" spans="5:8">
      <c r="H19" t="s">
        <v>42</v>
      </c>
    </row>
  </sheetData>
  <mergeCells count="6">
    <mergeCell ref="AL15:AM15"/>
    <mergeCell ref="A2:C2"/>
    <mergeCell ref="AB2:AG2"/>
    <mergeCell ref="AB3:AG3"/>
    <mergeCell ref="Z11:Z12"/>
    <mergeCell ref="AB15:AG15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15</vt:i4>
      </vt:variant>
      <vt:variant>
        <vt:lpstr>Benannte Bereiche</vt:lpstr>
      </vt:variant>
      <vt:variant>
        <vt:i4>157</vt:i4>
      </vt:variant>
    </vt:vector>
  </HeadingPairs>
  <TitlesOfParts>
    <vt:vector size="172" baseType="lpstr">
      <vt:lpstr>ohneReibung</vt:lpstr>
      <vt:lpstr>KonstReibung</vt:lpstr>
      <vt:lpstr>StokesReibung</vt:lpstr>
      <vt:lpstr>Down_00</vt:lpstr>
      <vt:lpstr>Down_05</vt:lpstr>
      <vt:lpstr>Down_10</vt:lpstr>
      <vt:lpstr>Up_00</vt:lpstr>
      <vt:lpstr>Up_05</vt:lpstr>
      <vt:lpstr>Up_10</vt:lpstr>
      <vt:lpstr>Gröber</vt:lpstr>
      <vt:lpstr>Aimpoint</vt:lpstr>
      <vt:lpstr>Auswertung</vt:lpstr>
      <vt:lpstr>Vergleich</vt:lpstr>
      <vt:lpstr>Down_Opt</vt:lpstr>
      <vt:lpstr>Up_Opt</vt:lpstr>
      <vt:lpstr>AEins</vt:lpstr>
      <vt:lpstr>Down_05!alphanull</vt:lpstr>
      <vt:lpstr>Down_10!alphanull</vt:lpstr>
      <vt:lpstr>Down_Opt!alphanull</vt:lpstr>
      <vt:lpstr>Up_00!alphanull</vt:lpstr>
      <vt:lpstr>Up_05!alphanull</vt:lpstr>
      <vt:lpstr>Up_10!alphanull</vt:lpstr>
      <vt:lpstr>Up_Opt!alphanull</vt:lpstr>
      <vt:lpstr>alphanull</vt:lpstr>
      <vt:lpstr>ANull</vt:lpstr>
      <vt:lpstr>Beta</vt:lpstr>
      <vt:lpstr>Down_05!deltaalpha</vt:lpstr>
      <vt:lpstr>Down_10!deltaalpha</vt:lpstr>
      <vt:lpstr>Down_Opt!deltaalpha</vt:lpstr>
      <vt:lpstr>Up_00!deltaalpha</vt:lpstr>
      <vt:lpstr>Up_05!deltaalpha</vt:lpstr>
      <vt:lpstr>Up_10!deltaalpha</vt:lpstr>
      <vt:lpstr>Up_Opt!deltaalpha</vt:lpstr>
      <vt:lpstr>deltaalpha</vt:lpstr>
      <vt:lpstr>deltat</vt:lpstr>
      <vt:lpstr>deltattt</vt:lpstr>
      <vt:lpstr>deltaX</vt:lpstr>
      <vt:lpstr>Down_05!Konst</vt:lpstr>
      <vt:lpstr>Down_10!Konst</vt:lpstr>
      <vt:lpstr>Down_Opt!Konst</vt:lpstr>
      <vt:lpstr>Up_00!Konst</vt:lpstr>
      <vt:lpstr>Up_05!Konst</vt:lpstr>
      <vt:lpstr>Up_10!Konst</vt:lpstr>
      <vt:lpstr>Up_Opt!Konst</vt:lpstr>
      <vt:lpstr>Konst</vt:lpstr>
      <vt:lpstr>Masse</vt:lpstr>
      <vt:lpstr>Down_05!MR</vt:lpstr>
      <vt:lpstr>Down_10!MR</vt:lpstr>
      <vt:lpstr>Down_Opt!MR</vt:lpstr>
      <vt:lpstr>Up_00!MR</vt:lpstr>
      <vt:lpstr>Up_05!MR</vt:lpstr>
      <vt:lpstr>Up_10!MR</vt:lpstr>
      <vt:lpstr>Up_Opt!MR</vt:lpstr>
      <vt:lpstr>MR</vt:lpstr>
      <vt:lpstr>MüR</vt:lpstr>
      <vt:lpstr>Down_05!MüRR</vt:lpstr>
      <vt:lpstr>Down_10!MüRR</vt:lpstr>
      <vt:lpstr>Down_Opt!MüRR</vt:lpstr>
      <vt:lpstr>Up_00!MüRR</vt:lpstr>
      <vt:lpstr>Up_05!MüRR</vt:lpstr>
      <vt:lpstr>Up_10!MüRR</vt:lpstr>
      <vt:lpstr>Up_Opt!MüRR</vt:lpstr>
      <vt:lpstr>MüRR</vt:lpstr>
      <vt:lpstr>Down_05!N2null</vt:lpstr>
      <vt:lpstr>Down_10!N2null</vt:lpstr>
      <vt:lpstr>Down_Opt!N2null</vt:lpstr>
      <vt:lpstr>Up_00!N2null</vt:lpstr>
      <vt:lpstr>Up_05!N2null</vt:lpstr>
      <vt:lpstr>Up_10!N2null</vt:lpstr>
      <vt:lpstr>Up_Opt!N2null</vt:lpstr>
      <vt:lpstr>N2null</vt:lpstr>
      <vt:lpstr>Down_05!N3null</vt:lpstr>
      <vt:lpstr>Down_10!N3null</vt:lpstr>
      <vt:lpstr>Down_Opt!N3null</vt:lpstr>
      <vt:lpstr>Up_00!N3null</vt:lpstr>
      <vt:lpstr>Up_05!N3null</vt:lpstr>
      <vt:lpstr>Up_10!N3null</vt:lpstr>
      <vt:lpstr>Up_Opt!N3null</vt:lpstr>
      <vt:lpstr>N3null</vt:lpstr>
      <vt:lpstr>Down_Opt!ooo</vt:lpstr>
      <vt:lpstr>ooo</vt:lpstr>
      <vt:lpstr>Phi</vt:lpstr>
      <vt:lpstr>Tau</vt:lpstr>
      <vt:lpstr>Theta</vt:lpstr>
      <vt:lpstr>ThetaKR</vt:lpstr>
      <vt:lpstr>Down_05!ThetaR</vt:lpstr>
      <vt:lpstr>Down_10!ThetaR</vt:lpstr>
      <vt:lpstr>Down_Opt!ThetaR</vt:lpstr>
      <vt:lpstr>Up_00!ThetaR</vt:lpstr>
      <vt:lpstr>Up_05!ThetaR</vt:lpstr>
      <vt:lpstr>Up_10!ThetaR</vt:lpstr>
      <vt:lpstr>Up_Opt!ThetaR</vt:lpstr>
      <vt:lpstr>ThetaR</vt:lpstr>
      <vt:lpstr>ThetaS</vt:lpstr>
      <vt:lpstr>tmaxx</vt:lpstr>
      <vt:lpstr>tmaxy</vt:lpstr>
      <vt:lpstr>Down_05!unull</vt:lpstr>
      <vt:lpstr>Down_10!unull</vt:lpstr>
      <vt:lpstr>Down_Opt!unull</vt:lpstr>
      <vt:lpstr>Up_00!unull</vt:lpstr>
      <vt:lpstr>Up_05!unull</vt:lpstr>
      <vt:lpstr>Up_10!unull</vt:lpstr>
      <vt:lpstr>Up_Opt!unull</vt:lpstr>
      <vt:lpstr>unull</vt:lpstr>
      <vt:lpstr>Down_05!voR</vt:lpstr>
      <vt:lpstr>Down_10!voR</vt:lpstr>
      <vt:lpstr>Down_Opt!voR</vt:lpstr>
      <vt:lpstr>Up_00!voR</vt:lpstr>
      <vt:lpstr>Up_05!voR</vt:lpstr>
      <vt:lpstr>Up_10!voR</vt:lpstr>
      <vt:lpstr>Up_Opt!voR</vt:lpstr>
      <vt:lpstr>voR</vt:lpstr>
      <vt:lpstr>vx0</vt:lpstr>
      <vt:lpstr>vxd</vt:lpstr>
      <vt:lpstr>vxds</vt:lpstr>
      <vt:lpstr>vxup</vt:lpstr>
      <vt:lpstr>Down_05!vxupR</vt:lpstr>
      <vt:lpstr>Down_10!vxupR</vt:lpstr>
      <vt:lpstr>Down_Opt!vxupR</vt:lpstr>
      <vt:lpstr>Up_00!vxupR</vt:lpstr>
      <vt:lpstr>Up_05!vxupR</vt:lpstr>
      <vt:lpstr>Up_10!vxupR</vt:lpstr>
      <vt:lpstr>Up_Opt!vxupR</vt:lpstr>
      <vt:lpstr>vxupR</vt:lpstr>
      <vt:lpstr>vxups</vt:lpstr>
      <vt:lpstr>vy0</vt:lpstr>
      <vt:lpstr>vyd</vt:lpstr>
      <vt:lpstr>vyds</vt:lpstr>
      <vt:lpstr>vyup</vt:lpstr>
      <vt:lpstr>Down_05!vyupR</vt:lpstr>
      <vt:lpstr>Down_10!vyupR</vt:lpstr>
      <vt:lpstr>Down_Opt!vyupR</vt:lpstr>
      <vt:lpstr>Up_00!vyupR</vt:lpstr>
      <vt:lpstr>Up_05!vyupR</vt:lpstr>
      <vt:lpstr>Up_10!vyupR</vt:lpstr>
      <vt:lpstr>Up_Opt!vyupR</vt:lpstr>
      <vt:lpstr>vyupR</vt:lpstr>
      <vt:lpstr>vyups</vt:lpstr>
      <vt:lpstr>x0Meter</vt:lpstr>
      <vt:lpstr>xd</vt:lpstr>
      <vt:lpstr>xds</vt:lpstr>
      <vt:lpstr>xup</vt:lpstr>
      <vt:lpstr>Down_05!xupR</vt:lpstr>
      <vt:lpstr>Down_10!xupR</vt:lpstr>
      <vt:lpstr>Down_Opt!xupR</vt:lpstr>
      <vt:lpstr>Up_00!xupR</vt:lpstr>
      <vt:lpstr>Up_05!xupR</vt:lpstr>
      <vt:lpstr>Up_10!xupR</vt:lpstr>
      <vt:lpstr>Up_Opt!xupR</vt:lpstr>
      <vt:lpstr>xupR</vt:lpstr>
      <vt:lpstr>xups</vt:lpstr>
      <vt:lpstr>y0Meter</vt:lpstr>
      <vt:lpstr>yd</vt:lpstr>
      <vt:lpstr>yds</vt:lpstr>
      <vt:lpstr>yup</vt:lpstr>
      <vt:lpstr>Down_05!yupR</vt:lpstr>
      <vt:lpstr>Down_10!yupR</vt:lpstr>
      <vt:lpstr>Down_Opt!yupR</vt:lpstr>
      <vt:lpstr>Up_00!yupR</vt:lpstr>
      <vt:lpstr>Up_05!yupR</vt:lpstr>
      <vt:lpstr>Up_10!yupR</vt:lpstr>
      <vt:lpstr>Up_Opt!yupR</vt:lpstr>
      <vt:lpstr>yupR</vt:lpstr>
      <vt:lpstr>yups</vt:lpstr>
      <vt:lpstr>Down_05!ZZ2null</vt:lpstr>
      <vt:lpstr>Down_10!ZZ2null</vt:lpstr>
      <vt:lpstr>Down_Opt!ZZ2null</vt:lpstr>
      <vt:lpstr>Up_00!ZZ2null</vt:lpstr>
      <vt:lpstr>Up_05!ZZ2null</vt:lpstr>
      <vt:lpstr>Up_10!ZZ2null</vt:lpstr>
      <vt:lpstr>Up_Opt!ZZ2null</vt:lpstr>
      <vt:lpstr>ZZ2null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Michael_2</dc:creator>
  <cp:lastModifiedBy>Michael_2</cp:lastModifiedBy>
  <cp:lastPrinted>2015-09-06T16:04:29Z</cp:lastPrinted>
  <dcterms:created xsi:type="dcterms:W3CDTF">2015-08-19T15:29:45Z</dcterms:created>
  <dcterms:modified xsi:type="dcterms:W3CDTF">2016-02-11T16:56:22Z</dcterms:modified>
</cp:coreProperties>
</file>