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29.xml" ContentType="application/vnd.openxmlformats-officedocument.drawingml.chart+xml"/>
  <Override PartName="/xl/drawings/drawing15.xml" ContentType="application/vnd.openxmlformats-officedocument.drawing+xml"/>
  <Override PartName="/xl/charts/chart49.xml" ContentType="application/vnd.openxmlformats-officedocument.drawingml.chart+xml"/>
  <Override PartName="/xl/worksheets/sheet3.xml" ContentType="application/vnd.openxmlformats-officedocument.spreadsheetml.worksheet+xml"/>
  <Override PartName="/xl/charts/chart18.xml" ContentType="application/vnd.openxmlformats-officedocument.drawingml.chart+xml"/>
  <Override PartName="/xl/charts/chart27.xml" ContentType="application/vnd.openxmlformats-officedocument.drawingml.chart+xml"/>
  <Override PartName="/xl/charts/chart36.xml" ContentType="application/vnd.openxmlformats-officedocument.drawingml.chart+xml"/>
  <Override PartName="/xl/charts/chart38.xml" ContentType="application/vnd.openxmlformats-officedocument.drawingml.chart+xml"/>
  <Override PartName="/xl/drawings/drawing13.xml" ContentType="application/vnd.openxmlformats-officedocument.drawing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25.xml" ContentType="application/vnd.openxmlformats-officedocument.drawingml.chart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4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52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hart50.xml" ContentType="application/vnd.openxmlformats-officedocument.drawingml.char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charts/chart48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14.xml" ContentType="application/vnd.openxmlformats-officedocument.drawing+xml"/>
  <Override PartName="/xl/charts/chart46.xml" ContentType="application/vnd.openxmlformats-officedocument.drawingml.chart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drawings/drawing12.xml" ContentType="application/vnd.openxmlformats-officedocument.drawing+xml"/>
  <Override PartName="/xl/charts/chart44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3635" yWindow="-15" windowWidth="24810" windowHeight="18195" activeTab="13"/>
  </bookViews>
  <sheets>
    <sheet name="Stufengrün" sheetId="26" r:id="rId1"/>
    <sheet name="Do-1" sheetId="37" r:id="rId2"/>
    <sheet name="Do-3" sheetId="32" r:id="rId3"/>
    <sheet name="Do-5" sheetId="33" r:id="rId4"/>
    <sheet name="Do-9" sheetId="34" r:id="rId5"/>
    <sheet name="Do-17" sheetId="35" r:id="rId6"/>
    <sheet name="Up-1" sheetId="16" r:id="rId7"/>
    <sheet name="Up-3" sheetId="27" r:id="rId8"/>
    <sheet name="Up-5" sheetId="28" r:id="rId9"/>
    <sheet name="Up-9" sheetId="29" r:id="rId10"/>
    <sheet name="Up-17" sheetId="30" r:id="rId11"/>
    <sheet name="Alpha-Up" sheetId="36" r:id="rId12"/>
    <sheet name="Alpha-Down" sheetId="31" r:id="rId13"/>
    <sheet name="Down-Auswert" sheetId="39" r:id="rId14"/>
    <sheet name="Up-Auswert" sheetId="38" r:id="rId15"/>
  </sheets>
  <definedNames>
    <definedName name="delYL">Stufengrün!$G$8</definedName>
    <definedName name="delYS">Stufengrün!$C$8</definedName>
    <definedName name="eps" localSheetId="11">'Alpha-Up'!#REF!</definedName>
    <definedName name="eps" localSheetId="5">'Do-17'!$M$9</definedName>
    <definedName name="eps" localSheetId="2">'Do-3'!$M$9</definedName>
    <definedName name="eps" localSheetId="3">'Do-5'!$M$9</definedName>
    <definedName name="eps" localSheetId="4">'Do-9'!$M$9</definedName>
    <definedName name="eps" localSheetId="13">'Down-Auswert'!#REF!</definedName>
    <definedName name="eps" localSheetId="10">'Up-17'!$M$9</definedName>
    <definedName name="eps" localSheetId="7">'Up-3'!$M$9</definedName>
    <definedName name="eps" localSheetId="8">'Up-5'!$M$9</definedName>
    <definedName name="eps" localSheetId="9">'Up-9'!$M$9</definedName>
    <definedName name="eps" localSheetId="14">'Up-Auswert'!#REF!</definedName>
    <definedName name="eps">'Up-1'!$M$9</definedName>
    <definedName name="eps0">'Alpha-Down'!$M$48</definedName>
    <definedName name="Höhe">Stufengrün!$C$2</definedName>
    <definedName name="HSteigung">Stufengrün!$G$2</definedName>
    <definedName name="Mü">Stufengrün!$Q$8</definedName>
    <definedName name="Yloch">Stufengrün!$G$5</definedName>
    <definedName name="Ystart">Stufengrün!$C$5</definedName>
    <definedName name="Yzieldown" localSheetId="1">'Do-1'!$M$3</definedName>
    <definedName name="Yzieldown">'Alpha-Down'!$M$3</definedName>
    <definedName name="Yzielup" localSheetId="11">'Alpha-Up'!#REF!</definedName>
    <definedName name="Yzielup">'Up-1'!$M$3</definedName>
    <definedName name="Zloch">Stufengrün!$AB$11</definedName>
    <definedName name="Zstart">Stufengrün!$H$11</definedName>
  </definedNames>
  <calcPr calcId="125725"/>
</workbook>
</file>

<file path=xl/calcChain.xml><?xml version="1.0" encoding="utf-8"?>
<calcChain xmlns="http://schemas.openxmlformats.org/spreadsheetml/2006/main">
  <c r="BA3" i="39"/>
  <c r="AX3"/>
  <c r="K3" i="34"/>
  <c r="J3"/>
  <c r="K3" i="33"/>
  <c r="A39" i="31"/>
  <c r="K3"/>
  <c r="J3"/>
  <c r="I3"/>
  <c r="H3"/>
  <c r="C3"/>
  <c r="AU3" i="39"/>
  <c r="AR3"/>
  <c r="AO3"/>
  <c r="AL3"/>
  <c r="H3"/>
  <c r="A493" i="35"/>
  <c r="N3" i="39"/>
  <c r="K3"/>
  <c r="E3"/>
  <c r="F1"/>
  <c r="AY57" i="38"/>
  <c r="AZ57"/>
  <c r="BA57"/>
  <c r="BB57"/>
  <c r="AY58"/>
  <c r="AZ58"/>
  <c r="BA58"/>
  <c r="BB58"/>
  <c r="AY59"/>
  <c r="AZ59"/>
  <c r="BA59"/>
  <c r="BB59"/>
  <c r="AY60"/>
  <c r="AZ60"/>
  <c r="BA60"/>
  <c r="BB60"/>
  <c r="AZ56"/>
  <c r="BA56"/>
  <c r="BB56"/>
  <c r="AY56"/>
  <c r="N3"/>
  <c r="BP24"/>
  <c r="BP25"/>
  <c r="BP26"/>
  <c r="BP27"/>
  <c r="BP28"/>
  <c r="BP29"/>
  <c r="BP30"/>
  <c r="BP23"/>
  <c r="BJ24"/>
  <c r="BJ25"/>
  <c r="BJ26"/>
  <c r="BJ27"/>
  <c r="BJ28"/>
  <c r="BJ29"/>
  <c r="BJ30"/>
  <c r="BJ23"/>
  <c r="BM12"/>
  <c r="BI12"/>
  <c r="AY12"/>
  <c r="BC12"/>
  <c r="AP5"/>
  <c r="AL5"/>
  <c r="BW12"/>
  <c r="BS12"/>
  <c r="BX7"/>
  <c r="BR7"/>
  <c r="R2" i="26"/>
  <c r="BH7" i="38" l="1"/>
  <c r="BZ7"/>
  <c r="BY7"/>
  <c r="BU7"/>
  <c r="BF7"/>
  <c r="BE7"/>
  <c r="BD7"/>
  <c r="BA7"/>
  <c r="AX7"/>
  <c r="AV7"/>
  <c r="AU7"/>
  <c r="AT7"/>
  <c r="AS7"/>
  <c r="AR7"/>
  <c r="AQ7"/>
  <c r="AP7"/>
  <c r="AO7"/>
  <c r="AN7"/>
  <c r="AM7"/>
  <c r="AL7"/>
  <c r="AK7"/>
  <c r="K3"/>
  <c r="H3"/>
  <c r="E3"/>
  <c r="F1"/>
  <c r="I3" i="30"/>
  <c r="G169" i="26"/>
  <c r="K3" i="16" l="1"/>
  <c r="J3"/>
  <c r="K3" i="27"/>
  <c r="J3"/>
  <c r="K3" i="28"/>
  <c r="J3"/>
  <c r="K3" i="29"/>
  <c r="J3"/>
  <c r="E44" i="31" l="1"/>
  <c r="F44" s="1"/>
  <c r="D44"/>
  <c r="C44"/>
  <c r="E35"/>
  <c r="B35"/>
  <c r="X34"/>
  <c r="E34"/>
  <c r="B34"/>
  <c r="X33"/>
  <c r="A48" l="1"/>
  <c r="H44"/>
  <c r="G44" s="1"/>
  <c r="I44" s="1"/>
  <c r="J44"/>
  <c r="K44"/>
  <c r="E33"/>
  <c r="B33"/>
  <c r="X32"/>
  <c r="A49" l="1"/>
  <c r="E48"/>
  <c r="B48"/>
  <c r="D48"/>
  <c r="E32"/>
  <c r="B32"/>
  <c r="C48" l="1"/>
  <c r="F48" s="1"/>
  <c r="G48" s="1"/>
  <c r="A50"/>
  <c r="E49"/>
  <c r="B49"/>
  <c r="D49"/>
  <c r="E31"/>
  <c r="B31"/>
  <c r="E30"/>
  <c r="K48" l="1"/>
  <c r="J48" s="1"/>
  <c r="L48" s="1"/>
  <c r="A51"/>
  <c r="B50"/>
  <c r="E50"/>
  <c r="D50"/>
  <c r="C49"/>
  <c r="F49" s="1"/>
  <c r="K49" s="1"/>
  <c r="B30"/>
  <c r="C50" l="1"/>
  <c r="F50" s="1"/>
  <c r="K50" s="1"/>
  <c r="E51"/>
  <c r="B51"/>
  <c r="A52"/>
  <c r="D51"/>
  <c r="G49"/>
  <c r="J49"/>
  <c r="L49" s="1"/>
  <c r="E29"/>
  <c r="B29"/>
  <c r="E28"/>
  <c r="C51" l="1"/>
  <c r="F51" s="1"/>
  <c r="J51" s="1"/>
  <c r="J50"/>
  <c r="L50" s="1"/>
  <c r="E52"/>
  <c r="B52"/>
  <c r="A53"/>
  <c r="D52"/>
  <c r="B28"/>
  <c r="E27"/>
  <c r="C52" l="1"/>
  <c r="F52" s="1"/>
  <c r="G52" s="1"/>
  <c r="E53"/>
  <c r="B53"/>
  <c r="A54"/>
  <c r="D53"/>
  <c r="K51"/>
  <c r="L51" s="1"/>
  <c r="G51"/>
  <c r="B27"/>
  <c r="J52" l="1"/>
  <c r="K52"/>
  <c r="E54"/>
  <c r="B54"/>
  <c r="A55"/>
  <c r="D54"/>
  <c r="C53"/>
  <c r="F53" s="1"/>
  <c r="J53" s="1"/>
  <c r="E26"/>
  <c r="B26"/>
  <c r="L52" l="1"/>
  <c r="C54"/>
  <c r="F54" s="1"/>
  <c r="G54" s="1"/>
  <c r="B55"/>
  <c r="C55" s="1"/>
  <c r="D55"/>
  <c r="E55"/>
  <c r="A56"/>
  <c r="G53"/>
  <c r="K53"/>
  <c r="L53" s="1"/>
  <c r="E25"/>
  <c r="B25"/>
  <c r="E24"/>
  <c r="K54" l="1"/>
  <c r="F55"/>
  <c r="G55" s="1"/>
  <c r="J54"/>
  <c r="D56"/>
  <c r="E56"/>
  <c r="B56"/>
  <c r="C56" s="1"/>
  <c r="A57"/>
  <c r="B24"/>
  <c r="L54" l="1"/>
  <c r="J55"/>
  <c r="K55"/>
  <c r="F56"/>
  <c r="B57"/>
  <c r="A58"/>
  <c r="E57"/>
  <c r="D57"/>
  <c r="E23"/>
  <c r="B23"/>
  <c r="L55" l="1"/>
  <c r="J56"/>
  <c r="G56"/>
  <c r="D58"/>
  <c r="B58"/>
  <c r="C58" s="1"/>
  <c r="A59"/>
  <c r="E58"/>
  <c r="C57"/>
  <c r="F57" s="1"/>
  <c r="J57" s="1"/>
  <c r="K56"/>
  <c r="E22"/>
  <c r="B22"/>
  <c r="E21"/>
  <c r="B21"/>
  <c r="E20"/>
  <c r="B20"/>
  <c r="E19"/>
  <c r="B19"/>
  <c r="E18"/>
  <c r="B18"/>
  <c r="E17"/>
  <c r="B17"/>
  <c r="E16"/>
  <c r="B16"/>
  <c r="E15"/>
  <c r="B15"/>
  <c r="E14"/>
  <c r="B14"/>
  <c r="E13"/>
  <c r="B13"/>
  <c r="E12"/>
  <c r="B12"/>
  <c r="X11"/>
  <c r="X12" s="1"/>
  <c r="X13" s="1"/>
  <c r="E11"/>
  <c r="B11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E6"/>
  <c r="F6" s="1"/>
  <c r="D6"/>
  <c r="C6"/>
  <c r="C22" s="1"/>
  <c r="E55" i="36"/>
  <c r="B55"/>
  <c r="A55"/>
  <c r="E54"/>
  <c r="X14" i="31" l="1"/>
  <c r="X15"/>
  <c r="X16" s="1"/>
  <c r="X17" s="1"/>
  <c r="X18" s="1"/>
  <c r="X19" s="1"/>
  <c r="X20" s="1"/>
  <c r="X21" s="1"/>
  <c r="X22" s="1"/>
  <c r="X23" s="1"/>
  <c r="X24" s="1"/>
  <c r="X25" s="1"/>
  <c r="X26" s="1"/>
  <c r="X27" s="1"/>
  <c r="X28" s="1"/>
  <c r="X29" s="1"/>
  <c r="X30" s="1"/>
  <c r="L56"/>
  <c r="K57"/>
  <c r="L57" s="1"/>
  <c r="F58"/>
  <c r="J58" s="1"/>
  <c r="D59"/>
  <c r="A60"/>
  <c r="E59"/>
  <c r="B59"/>
  <c r="C59" s="1"/>
  <c r="H6"/>
  <c r="G6" s="1"/>
  <c r="I6" s="1"/>
  <c r="D17"/>
  <c r="C20"/>
  <c r="D12"/>
  <c r="C12"/>
  <c r="C14"/>
  <c r="D19"/>
  <c r="C34"/>
  <c r="D34"/>
  <c r="C35"/>
  <c r="D35"/>
  <c r="C33"/>
  <c r="D33"/>
  <c r="D32"/>
  <c r="C32"/>
  <c r="D31"/>
  <c r="C30"/>
  <c r="C31"/>
  <c r="D30"/>
  <c r="D29"/>
  <c r="C28"/>
  <c r="C29"/>
  <c r="D28"/>
  <c r="D27"/>
  <c r="C27"/>
  <c r="C26"/>
  <c r="D26"/>
  <c r="C24"/>
  <c r="D24"/>
  <c r="D25"/>
  <c r="C25"/>
  <c r="C23"/>
  <c r="D23"/>
  <c r="D16"/>
  <c r="C19"/>
  <c r="D22"/>
  <c r="K6"/>
  <c r="C16"/>
  <c r="D21"/>
  <c r="D14"/>
  <c r="C17"/>
  <c r="J6"/>
  <c r="D11"/>
  <c r="D13"/>
  <c r="D18"/>
  <c r="C21"/>
  <c r="C11"/>
  <c r="C13"/>
  <c r="D15"/>
  <c r="C18"/>
  <c r="C15"/>
  <c r="D20"/>
  <c r="B54" i="36"/>
  <c r="A54"/>
  <c r="K58" i="31" l="1"/>
  <c r="L58" s="1"/>
  <c r="G58"/>
  <c r="F59"/>
  <c r="J59" s="1"/>
  <c r="E60"/>
  <c r="B60"/>
  <c r="D60"/>
  <c r="A61"/>
  <c r="H61" s="1"/>
  <c r="F21"/>
  <c r="J21" s="1"/>
  <c r="F20"/>
  <c r="J20" s="1"/>
  <c r="F25"/>
  <c r="J25" s="1"/>
  <c r="F17"/>
  <c r="K17" s="1"/>
  <c r="F27"/>
  <c r="K27" s="1"/>
  <c r="F15"/>
  <c r="J15" s="1"/>
  <c r="F22"/>
  <c r="J22" s="1"/>
  <c r="F28"/>
  <c r="K28" s="1"/>
  <c r="F14"/>
  <c r="K14" s="1"/>
  <c r="F32"/>
  <c r="K32" s="1"/>
  <c r="F16"/>
  <c r="F29"/>
  <c r="F33"/>
  <c r="G15"/>
  <c r="F24"/>
  <c r="F18"/>
  <c r="F11"/>
  <c r="F35"/>
  <c r="H59"/>
  <c r="H58"/>
  <c r="H60"/>
  <c r="I60"/>
  <c r="I58"/>
  <c r="I59"/>
  <c r="H57"/>
  <c r="G57" s="1"/>
  <c r="I57"/>
  <c r="H56"/>
  <c r="I56"/>
  <c r="H55"/>
  <c r="I55"/>
  <c r="H54"/>
  <c r="I54"/>
  <c r="H53"/>
  <c r="I53"/>
  <c r="I52"/>
  <c r="H52"/>
  <c r="I51"/>
  <c r="H51"/>
  <c r="H50"/>
  <c r="G50" s="1"/>
  <c r="I50"/>
  <c r="I49"/>
  <c r="H49"/>
  <c r="H48"/>
  <c r="I48"/>
  <c r="N48" s="1"/>
  <c r="H34"/>
  <c r="I34"/>
  <c r="H35"/>
  <c r="H33"/>
  <c r="I35"/>
  <c r="I33"/>
  <c r="H32"/>
  <c r="I32"/>
  <c r="H31"/>
  <c r="I31"/>
  <c r="I30"/>
  <c r="H30"/>
  <c r="H29"/>
  <c r="I29"/>
  <c r="I28"/>
  <c r="H28"/>
  <c r="H27"/>
  <c r="I27"/>
  <c r="H26"/>
  <c r="I26"/>
  <c r="I25"/>
  <c r="H25"/>
  <c r="I24"/>
  <c r="H24"/>
  <c r="H23"/>
  <c r="I23"/>
  <c r="I22"/>
  <c r="H22"/>
  <c r="I21"/>
  <c r="H16"/>
  <c r="H13"/>
  <c r="I11"/>
  <c r="H19"/>
  <c r="I16"/>
  <c r="H18"/>
  <c r="H11"/>
  <c r="I18"/>
  <c r="I19"/>
  <c r="H14"/>
  <c r="H12"/>
  <c r="H21"/>
  <c r="H17"/>
  <c r="I14"/>
  <c r="I12"/>
  <c r="H20"/>
  <c r="I17"/>
  <c r="I20"/>
  <c r="H15"/>
  <c r="I15"/>
  <c r="I13"/>
  <c r="G25"/>
  <c r="G20"/>
  <c r="F19"/>
  <c r="F23"/>
  <c r="K25"/>
  <c r="L25" s="1"/>
  <c r="G27"/>
  <c r="F12"/>
  <c r="G17"/>
  <c r="F30"/>
  <c r="F13"/>
  <c r="F26"/>
  <c r="F31"/>
  <c r="F34"/>
  <c r="E53" i="36"/>
  <c r="B53"/>
  <c r="A53"/>
  <c r="E52"/>
  <c r="B52"/>
  <c r="A52"/>
  <c r="E51"/>
  <c r="B51"/>
  <c r="A51"/>
  <c r="N50"/>
  <c r="E50"/>
  <c r="B50"/>
  <c r="A50" s="1"/>
  <c r="J27" i="31" l="1"/>
  <c r="L27" s="1"/>
  <c r="K15"/>
  <c r="L15" s="1"/>
  <c r="I61"/>
  <c r="C60"/>
  <c r="F60" s="1"/>
  <c r="G59"/>
  <c r="K59"/>
  <c r="L59" s="1"/>
  <c r="D61"/>
  <c r="A62"/>
  <c r="E61"/>
  <c r="B61"/>
  <c r="C61" s="1"/>
  <c r="G21"/>
  <c r="J17"/>
  <c r="L17" s="1"/>
  <c r="K22"/>
  <c r="L22" s="1"/>
  <c r="K21"/>
  <c r="L21" s="1"/>
  <c r="G22"/>
  <c r="K20"/>
  <c r="L20" s="1"/>
  <c r="J32"/>
  <c r="L32" s="1"/>
  <c r="J28"/>
  <c r="L28" s="1"/>
  <c r="G28"/>
  <c r="G32"/>
  <c r="J14"/>
  <c r="L14" s="1"/>
  <c r="G14"/>
  <c r="G13"/>
  <c r="J13"/>
  <c r="K13"/>
  <c r="G33"/>
  <c r="K33"/>
  <c r="J33"/>
  <c r="K26"/>
  <c r="J26"/>
  <c r="G26"/>
  <c r="K18"/>
  <c r="G18"/>
  <c r="J18"/>
  <c r="K23"/>
  <c r="G23"/>
  <c r="J23"/>
  <c r="K29"/>
  <c r="J29"/>
  <c r="G29"/>
  <c r="K31"/>
  <c r="G31"/>
  <c r="J31"/>
  <c r="K12"/>
  <c r="G12"/>
  <c r="J12"/>
  <c r="J11"/>
  <c r="K11"/>
  <c r="G11"/>
  <c r="K34"/>
  <c r="G34"/>
  <c r="J34"/>
  <c r="G35"/>
  <c r="J35"/>
  <c r="K35"/>
  <c r="G24"/>
  <c r="K24"/>
  <c r="J24"/>
  <c r="G30"/>
  <c r="K30"/>
  <c r="J30"/>
  <c r="K19"/>
  <c r="J19"/>
  <c r="G19"/>
  <c r="G16"/>
  <c r="J16"/>
  <c r="K16"/>
  <c r="N49" i="36"/>
  <c r="E49"/>
  <c r="F61" i="31" l="1"/>
  <c r="K61" s="1"/>
  <c r="E62"/>
  <c r="B62"/>
  <c r="C62" s="1"/>
  <c r="A63"/>
  <c r="D62"/>
  <c r="H62"/>
  <c r="I62"/>
  <c r="G60"/>
  <c r="J60"/>
  <c r="K60"/>
  <c r="L16"/>
  <c r="L11"/>
  <c r="L13"/>
  <c r="L34"/>
  <c r="L30"/>
  <c r="L23"/>
  <c r="L26"/>
  <c r="L35"/>
  <c r="L12"/>
  <c r="L18"/>
  <c r="L19"/>
  <c r="L29"/>
  <c r="L24"/>
  <c r="L31"/>
  <c r="L33"/>
  <c r="B49" i="36"/>
  <c r="G61" i="31" l="1"/>
  <c r="L60"/>
  <c r="F62"/>
  <c r="G62" s="1"/>
  <c r="J61"/>
  <c r="L61" s="1"/>
  <c r="E63"/>
  <c r="D63"/>
  <c r="A64"/>
  <c r="B63"/>
  <c r="H63"/>
  <c r="I63"/>
  <c r="A49" i="36"/>
  <c r="N48"/>
  <c r="E48"/>
  <c r="B48"/>
  <c r="A48"/>
  <c r="N47" s="1"/>
  <c r="E47"/>
  <c r="B47"/>
  <c r="K62" i="31" l="1"/>
  <c r="J62"/>
  <c r="C63"/>
  <c r="F63" s="1"/>
  <c r="G63" s="1"/>
  <c r="D64"/>
  <c r="E64"/>
  <c r="B64"/>
  <c r="C64" s="1"/>
  <c r="A65"/>
  <c r="I64"/>
  <c r="H64"/>
  <c r="A47" i="36"/>
  <c r="N46"/>
  <c r="E46"/>
  <c r="B46"/>
  <c r="A46"/>
  <c r="N45"/>
  <c r="E45"/>
  <c r="B45"/>
  <c r="A45"/>
  <c r="N44"/>
  <c r="E44"/>
  <c r="L62" i="31" l="1"/>
  <c r="J63"/>
  <c r="F64"/>
  <c r="K64" s="1"/>
  <c r="D65"/>
  <c r="E65"/>
  <c r="B65"/>
  <c r="H65"/>
  <c r="I65"/>
  <c r="B44" i="36"/>
  <c r="A44"/>
  <c r="N43"/>
  <c r="C65" i="31" l="1"/>
  <c r="F65" s="1"/>
  <c r="G65" s="1"/>
  <c r="J64"/>
  <c r="L64" s="1"/>
  <c r="G64"/>
  <c r="E43" i="36"/>
  <c r="B43"/>
  <c r="A43"/>
  <c r="N42"/>
  <c r="K65" i="31" l="1"/>
  <c r="J65"/>
  <c r="E42" i="36"/>
  <c r="B42"/>
  <c r="A42"/>
  <c r="N41"/>
  <c r="L65" i="31" l="1"/>
  <c r="E41" i="36"/>
  <c r="B41"/>
  <c r="A41"/>
  <c r="N40"/>
  <c r="E40" l="1"/>
  <c r="B40"/>
  <c r="A40"/>
  <c r="N39"/>
  <c r="E39" l="1"/>
  <c r="B39"/>
  <c r="A39"/>
  <c r="N38"/>
  <c r="E38" l="1"/>
  <c r="B38"/>
  <c r="A38"/>
  <c r="N37"/>
  <c r="E37" l="1"/>
  <c r="B37"/>
  <c r="A37"/>
  <c r="N36"/>
  <c r="E36" l="1"/>
  <c r="B36"/>
  <c r="A36"/>
  <c r="N35"/>
  <c r="E35"/>
  <c r="B35" l="1"/>
  <c r="A35"/>
  <c r="N34"/>
  <c r="E34" l="1"/>
  <c r="B34"/>
  <c r="A34"/>
  <c r="N33"/>
  <c r="E33"/>
  <c r="B33" l="1"/>
  <c r="A33"/>
  <c r="N32"/>
  <c r="E32"/>
  <c r="B32"/>
  <c r="A32"/>
  <c r="N31"/>
  <c r="E31"/>
  <c r="B31"/>
  <c r="A31"/>
  <c r="N30"/>
  <c r="E30"/>
  <c r="B30"/>
  <c r="A30"/>
  <c r="N29"/>
  <c r="E29"/>
  <c r="B29"/>
  <c r="A29"/>
  <c r="N28"/>
  <c r="E28"/>
  <c r="B28"/>
  <c r="A28"/>
  <c r="N27"/>
  <c r="E27"/>
  <c r="B27"/>
  <c r="A27"/>
  <c r="N26"/>
  <c r="E26"/>
  <c r="B26"/>
  <c r="A26"/>
  <c r="N25"/>
  <c r="E25"/>
  <c r="B25"/>
  <c r="A25"/>
  <c r="N24"/>
  <c r="E24"/>
  <c r="B24"/>
  <c r="A24"/>
  <c r="N23"/>
  <c r="E23"/>
  <c r="B23"/>
  <c r="A23"/>
  <c r="N22"/>
  <c r="E22"/>
  <c r="B22"/>
  <c r="A22"/>
  <c r="N21"/>
  <c r="E21"/>
  <c r="B21"/>
  <c r="A21"/>
  <c r="N20"/>
  <c r="E20"/>
  <c r="B20"/>
  <c r="A20"/>
  <c r="N19"/>
  <c r="E19"/>
  <c r="B19"/>
  <c r="A19"/>
  <c r="N18"/>
  <c r="E18"/>
  <c r="B18"/>
  <c r="A18"/>
  <c r="N17"/>
  <c r="E17"/>
  <c r="B17"/>
  <c r="A17"/>
  <c r="N16"/>
  <c r="E16"/>
  <c r="B16"/>
  <c r="A16"/>
  <c r="N15"/>
  <c r="E15"/>
  <c r="B15"/>
  <c r="A15"/>
  <c r="N14"/>
  <c r="E14"/>
  <c r="B14"/>
  <c r="A14"/>
  <c r="N13"/>
  <c r="E13"/>
  <c r="B13"/>
  <c r="A13"/>
  <c r="N12" s="1"/>
  <c r="E12"/>
  <c r="B12"/>
  <c r="A12"/>
  <c r="N11"/>
  <c r="E11"/>
  <c r="A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H6"/>
  <c r="G6"/>
  <c r="F6" s="1"/>
  <c r="E6"/>
  <c r="D6"/>
  <c r="C6"/>
  <c r="D15" s="1"/>
  <c r="K6" l="1"/>
  <c r="D13"/>
  <c r="C18"/>
  <c r="D21"/>
  <c r="C26"/>
  <c r="D29"/>
  <c r="C31"/>
  <c r="J6"/>
  <c r="D11"/>
  <c r="C13"/>
  <c r="D16"/>
  <c r="C21"/>
  <c r="D24"/>
  <c r="C29"/>
  <c r="D32"/>
  <c r="C28"/>
  <c r="C15"/>
  <c r="D26"/>
  <c r="I6"/>
  <c r="C11"/>
  <c r="C16"/>
  <c r="D19"/>
  <c r="C24"/>
  <c r="D27"/>
  <c r="C32"/>
  <c r="C20"/>
  <c r="D23"/>
  <c r="D18"/>
  <c r="D14"/>
  <c r="C19"/>
  <c r="D22"/>
  <c r="C27"/>
  <c r="D30"/>
  <c r="C55"/>
  <c r="D55"/>
  <c r="C54"/>
  <c r="D54"/>
  <c r="D53"/>
  <c r="D51"/>
  <c r="C50"/>
  <c r="D50"/>
  <c r="D52"/>
  <c r="C51"/>
  <c r="C52"/>
  <c r="C53"/>
  <c r="C49"/>
  <c r="D49"/>
  <c r="D47"/>
  <c r="C47"/>
  <c r="C48"/>
  <c r="D48"/>
  <c r="C46"/>
  <c r="D46"/>
  <c r="C44"/>
  <c r="D44"/>
  <c r="C45"/>
  <c r="D45"/>
  <c r="D43"/>
  <c r="C43"/>
  <c r="C42"/>
  <c r="D42"/>
  <c r="C41"/>
  <c r="D41"/>
  <c r="C40"/>
  <c r="D40"/>
  <c r="C39"/>
  <c r="D39"/>
  <c r="C38"/>
  <c r="D38"/>
  <c r="C37"/>
  <c r="D37"/>
  <c r="C35"/>
  <c r="D35"/>
  <c r="C36"/>
  <c r="D36"/>
  <c r="C33"/>
  <c r="D33"/>
  <c r="C34"/>
  <c r="D34"/>
  <c r="C23"/>
  <c r="D12"/>
  <c r="C14"/>
  <c r="D17"/>
  <c r="C22"/>
  <c r="D25"/>
  <c r="C30"/>
  <c r="D31"/>
  <c r="C12"/>
  <c r="C17"/>
  <c r="D20"/>
  <c r="C25"/>
  <c r="D28"/>
  <c r="F48" l="1"/>
  <c r="K48" s="1"/>
  <c r="F20"/>
  <c r="G20" s="1"/>
  <c r="F46"/>
  <c r="B11"/>
  <c r="F11"/>
  <c r="F14"/>
  <c r="F24"/>
  <c r="F38"/>
  <c r="F41"/>
  <c r="F45"/>
  <c r="F12"/>
  <c r="F40"/>
  <c r="F51"/>
  <c r="F35"/>
  <c r="F44"/>
  <c r="F52"/>
  <c r="F55"/>
  <c r="F31"/>
  <c r="F29"/>
  <c r="F30"/>
  <c r="F39"/>
  <c r="F47"/>
  <c r="F53"/>
  <c r="F27"/>
  <c r="F16"/>
  <c r="F21"/>
  <c r="I55"/>
  <c r="I54"/>
  <c r="H54"/>
  <c r="H55"/>
  <c r="H53"/>
  <c r="I53"/>
  <c r="H52"/>
  <c r="I50"/>
  <c r="H50"/>
  <c r="I52"/>
  <c r="H51"/>
  <c r="I51"/>
  <c r="H49"/>
  <c r="I49"/>
  <c r="H48"/>
  <c r="I48"/>
  <c r="I47"/>
  <c r="H47"/>
  <c r="H46"/>
  <c r="I46"/>
  <c r="H45"/>
  <c r="H44"/>
  <c r="I44"/>
  <c r="I45"/>
  <c r="I43"/>
  <c r="H43"/>
  <c r="H42"/>
  <c r="I42"/>
  <c r="I41"/>
  <c r="H41"/>
  <c r="I40"/>
  <c r="H40"/>
  <c r="H39"/>
  <c r="I39"/>
  <c r="H38"/>
  <c r="I38"/>
  <c r="H37"/>
  <c r="I37"/>
  <c r="H36"/>
  <c r="I36"/>
  <c r="I35"/>
  <c r="H35"/>
  <c r="H34"/>
  <c r="I34"/>
  <c r="H33"/>
  <c r="I33"/>
  <c r="H32"/>
  <c r="I27"/>
  <c r="H24"/>
  <c r="I19"/>
  <c r="H16"/>
  <c r="H11"/>
  <c r="H22"/>
  <c r="I17"/>
  <c r="H19"/>
  <c r="I32"/>
  <c r="H29"/>
  <c r="I24"/>
  <c r="H21"/>
  <c r="I16"/>
  <c r="H13"/>
  <c r="I11"/>
  <c r="I29"/>
  <c r="H26"/>
  <c r="I21"/>
  <c r="H18"/>
  <c r="I13"/>
  <c r="I12"/>
  <c r="I30"/>
  <c r="I14"/>
  <c r="H31"/>
  <c r="I26"/>
  <c r="H23"/>
  <c r="I18"/>
  <c r="H15"/>
  <c r="H30"/>
  <c r="I31"/>
  <c r="H28"/>
  <c r="I23"/>
  <c r="H20"/>
  <c r="I15"/>
  <c r="I25"/>
  <c r="H27"/>
  <c r="I22"/>
  <c r="I28"/>
  <c r="H25"/>
  <c r="I20"/>
  <c r="H17"/>
  <c r="H12"/>
  <c r="H14"/>
  <c r="F18"/>
  <c r="F17"/>
  <c r="F23"/>
  <c r="F42"/>
  <c r="F28"/>
  <c r="F25"/>
  <c r="F22"/>
  <c r="F36"/>
  <c r="F37"/>
  <c r="F49"/>
  <c r="F50"/>
  <c r="F54"/>
  <c r="F32"/>
  <c r="F15"/>
  <c r="F26"/>
  <c r="F43"/>
  <c r="F33"/>
  <c r="F34"/>
  <c r="G46"/>
  <c r="F19"/>
  <c r="F13"/>
  <c r="J48" l="1"/>
  <c r="L48" s="1"/>
  <c r="G48"/>
  <c r="J20"/>
  <c r="L20" s="1"/>
  <c r="J46"/>
  <c r="L46" s="1"/>
  <c r="K46"/>
  <c r="K20"/>
  <c r="J12"/>
  <c r="G12"/>
  <c r="K12"/>
  <c r="G29"/>
  <c r="J29"/>
  <c r="K29"/>
  <c r="G51"/>
  <c r="K51"/>
  <c r="J51"/>
  <c r="G14"/>
  <c r="J14"/>
  <c r="K14"/>
  <c r="J19"/>
  <c r="K19"/>
  <c r="G19"/>
  <c r="J54"/>
  <c r="G54"/>
  <c r="K54"/>
  <c r="G11"/>
  <c r="J11"/>
  <c r="K11"/>
  <c r="K22"/>
  <c r="J22"/>
  <c r="G22"/>
  <c r="J30"/>
  <c r="G30"/>
  <c r="K30"/>
  <c r="G24"/>
  <c r="J24"/>
  <c r="L24" s="1"/>
  <c r="K24"/>
  <c r="G31"/>
  <c r="K31"/>
  <c r="J31"/>
  <c r="K43"/>
  <c r="G43"/>
  <c r="J43"/>
  <c r="G36"/>
  <c r="K36"/>
  <c r="J36"/>
  <c r="G18"/>
  <c r="J18"/>
  <c r="K18"/>
  <c r="G39"/>
  <c r="K39"/>
  <c r="J39"/>
  <c r="G35"/>
  <c r="J35"/>
  <c r="K35"/>
  <c r="K38"/>
  <c r="J38"/>
  <c r="G38"/>
  <c r="J40"/>
  <c r="G40"/>
  <c r="K40"/>
  <c r="G37"/>
  <c r="K37"/>
  <c r="J37"/>
  <c r="K47"/>
  <c r="G47"/>
  <c r="J47"/>
  <c r="K44"/>
  <c r="G44"/>
  <c r="J44"/>
  <c r="J41"/>
  <c r="G41"/>
  <c r="K41"/>
  <c r="J13"/>
  <c r="G13"/>
  <c r="K13"/>
  <c r="K32"/>
  <c r="J32"/>
  <c r="G32"/>
  <c r="J28"/>
  <c r="K28"/>
  <c r="G28"/>
  <c r="G15"/>
  <c r="K15"/>
  <c r="J15"/>
  <c r="G33"/>
  <c r="K33"/>
  <c r="J33"/>
  <c r="J17"/>
  <c r="K17"/>
  <c r="G17"/>
  <c r="K34"/>
  <c r="J34"/>
  <c r="G34"/>
  <c r="G49"/>
  <c r="K49"/>
  <c r="J49"/>
  <c r="J23"/>
  <c r="K23"/>
  <c r="G23"/>
  <c r="K53"/>
  <c r="J53"/>
  <c r="G53"/>
  <c r="J52"/>
  <c r="G52"/>
  <c r="K52"/>
  <c r="J45"/>
  <c r="G45"/>
  <c r="K45"/>
  <c r="G16"/>
  <c r="J16"/>
  <c r="K16"/>
  <c r="J21"/>
  <c r="G21"/>
  <c r="K21"/>
  <c r="G25"/>
  <c r="J25"/>
  <c r="K25"/>
  <c r="K26"/>
  <c r="G26"/>
  <c r="J26"/>
  <c r="J50"/>
  <c r="L50" s="1"/>
  <c r="K50"/>
  <c r="G50"/>
  <c r="G42"/>
  <c r="K42"/>
  <c r="J42"/>
  <c r="K27"/>
  <c r="J27"/>
  <c r="G27"/>
  <c r="G55"/>
  <c r="J55"/>
  <c r="L55" s="1"/>
  <c r="K55"/>
  <c r="L19" l="1"/>
  <c r="L35"/>
  <c r="L29"/>
  <c r="L14"/>
  <c r="L33"/>
  <c r="L37"/>
  <c r="L31"/>
  <c r="L51"/>
  <c r="L26"/>
  <c r="L21"/>
  <c r="L17"/>
  <c r="L52"/>
  <c r="L28"/>
  <c r="L18"/>
  <c r="L30"/>
  <c r="L12"/>
  <c r="L25"/>
  <c r="L13"/>
  <c r="L45"/>
  <c r="L40"/>
  <c r="L11"/>
  <c r="L23"/>
  <c r="L47"/>
  <c r="L43"/>
  <c r="L38"/>
  <c r="L39"/>
  <c r="L49"/>
  <c r="L34"/>
  <c r="L15"/>
  <c r="L53"/>
  <c r="L32"/>
  <c r="L44"/>
  <c r="L36"/>
  <c r="L22"/>
  <c r="L27"/>
  <c r="L42"/>
  <c r="L16"/>
  <c r="L41"/>
  <c r="L54"/>
  <c r="E6" i="30" l="1"/>
  <c r="G6" s="1"/>
  <c r="D6"/>
  <c r="M3"/>
  <c r="H6" l="1"/>
  <c r="A9"/>
  <c r="F1"/>
  <c r="E9" l="1"/>
  <c r="B9"/>
  <c r="E6" i="29" l="1"/>
  <c r="A22" s="1"/>
  <c r="D6"/>
  <c r="M3"/>
  <c r="I3"/>
  <c r="F1"/>
  <c r="A9" l="1"/>
  <c r="H6"/>
  <c r="G6" s="1"/>
  <c r="B22"/>
  <c r="E22"/>
  <c r="E9" l="1"/>
  <c r="B9"/>
  <c r="E6" i="28"/>
  <c r="G6" s="1"/>
  <c r="D6"/>
  <c r="M3"/>
  <c r="I3"/>
  <c r="F1"/>
  <c r="A9" l="1"/>
  <c r="H6"/>
  <c r="B9" l="1"/>
  <c r="E9"/>
  <c r="E6" i="27" l="1"/>
  <c r="A22" s="1"/>
  <c r="D6"/>
  <c r="M3"/>
  <c r="I3"/>
  <c r="F1"/>
  <c r="E31" i="16"/>
  <c r="B31"/>
  <c r="A31"/>
  <c r="E30"/>
  <c r="B30"/>
  <c r="A30" s="1"/>
  <c r="E29"/>
  <c r="B29"/>
  <c r="A29"/>
  <c r="E28"/>
  <c r="B28"/>
  <c r="A28" s="1"/>
  <c r="E27"/>
  <c r="B27"/>
  <c r="A27" s="1"/>
  <c r="E26"/>
  <c r="B26"/>
  <c r="A26" s="1"/>
  <c r="E25"/>
  <c r="B25"/>
  <c r="A25" s="1"/>
  <c r="E24"/>
  <c r="B24"/>
  <c r="A24" s="1"/>
  <c r="E23"/>
  <c r="B23"/>
  <c r="A23" s="1"/>
  <c r="E22"/>
  <c r="B22"/>
  <c r="A22"/>
  <c r="B21"/>
  <c r="A21"/>
  <c r="E6"/>
  <c r="A11" s="1"/>
  <c r="D6"/>
  <c r="M3"/>
  <c r="I3"/>
  <c r="F1"/>
  <c r="E22" i="27" l="1"/>
  <c r="B22"/>
  <c r="H6"/>
  <c r="G6" s="1"/>
  <c r="A9"/>
  <c r="B11" i="16"/>
  <c r="E11"/>
  <c r="H6"/>
  <c r="F6"/>
  <c r="G6"/>
  <c r="B9" i="27" l="1"/>
  <c r="E9"/>
  <c r="E6" i="35" l="1"/>
  <c r="G6" s="1"/>
  <c r="D6"/>
  <c r="M3"/>
  <c r="A9" l="1"/>
  <c r="E9" s="1"/>
  <c r="H6"/>
  <c r="F1"/>
  <c r="M3" i="34" l="1"/>
  <c r="F1"/>
  <c r="D6" l="1"/>
  <c r="E6"/>
  <c r="A9" l="1"/>
  <c r="G6"/>
  <c r="H6"/>
  <c r="E9" l="1"/>
  <c r="M3" i="33" l="1"/>
  <c r="J3"/>
  <c r="F1"/>
  <c r="D6" l="1"/>
  <c r="E6"/>
  <c r="A22" l="1"/>
  <c r="H6"/>
  <c r="G6" s="1"/>
  <c r="A9"/>
  <c r="B9" l="1"/>
  <c r="E9"/>
  <c r="B22"/>
  <c r="K3" i="32" l="1"/>
  <c r="J3"/>
  <c r="F1"/>
  <c r="D6" l="1"/>
  <c r="E6"/>
  <c r="A22" l="1"/>
  <c r="A9"/>
  <c r="G6"/>
  <c r="H6"/>
  <c r="B22" l="1"/>
  <c r="E9"/>
  <c r="K3" i="37"/>
  <c r="J3"/>
  <c r="F1"/>
  <c r="F186" i="26"/>
  <c r="E186"/>
  <c r="D186"/>
  <c r="C186"/>
  <c r="D183"/>
  <c r="F169"/>
  <c r="E169"/>
  <c r="D169"/>
  <c r="C169"/>
  <c r="F152"/>
  <c r="E152"/>
  <c r="D152"/>
  <c r="C152"/>
  <c r="D149"/>
  <c r="B114"/>
  <c r="C114" s="1"/>
  <c r="AE101"/>
  <c r="D6" i="37" l="1"/>
  <c r="E6"/>
  <c r="A11" l="1"/>
  <c r="H6"/>
  <c r="F6"/>
  <c r="G6"/>
  <c r="T93" i="26"/>
  <c r="B11" i="37" l="1"/>
  <c r="E11"/>
  <c r="A12"/>
  <c r="M89" i="26"/>
  <c r="B12" i="37" l="1"/>
  <c r="A13"/>
  <c r="E12"/>
  <c r="B13" l="1"/>
  <c r="E13"/>
  <c r="A14"/>
  <c r="H87" i="26"/>
  <c r="A15" i="37" l="1"/>
  <c r="E14"/>
  <c r="B14"/>
  <c r="B15" l="1"/>
  <c r="A16"/>
  <c r="E15"/>
  <c r="E85" i="26"/>
  <c r="B16" i="37" l="1"/>
  <c r="A17"/>
  <c r="E16"/>
  <c r="AE84" i="26"/>
  <c r="T84"/>
  <c r="M84"/>
  <c r="H84"/>
  <c r="E84"/>
  <c r="C84"/>
  <c r="B84"/>
  <c r="AE82"/>
  <c r="T82"/>
  <c r="M82"/>
  <c r="H82"/>
  <c r="E82"/>
  <c r="B17" i="37" l="1"/>
  <c r="A18"/>
  <c r="E17"/>
  <c r="T48" i="26"/>
  <c r="B48"/>
  <c r="R47"/>
  <c r="R48" s="1"/>
  <c r="J47"/>
  <c r="R46"/>
  <c r="Z44"/>
  <c r="AH40"/>
  <c r="AP32"/>
  <c r="AX16"/>
  <c r="AB11"/>
  <c r="AB10"/>
  <c r="AB12" s="1"/>
  <c r="H10"/>
  <c r="H12" s="1"/>
  <c r="T8"/>
  <c r="G8"/>
  <c r="B113" s="1"/>
  <c r="C113" s="1"/>
  <c r="C8"/>
  <c r="B85" s="1"/>
  <c r="C85" s="1"/>
  <c r="C56" i="28" l="1"/>
  <c r="AD35" s="1"/>
  <c r="C56" i="33"/>
  <c r="AD35" s="1"/>
  <c r="R49" i="26"/>
  <c r="C2" i="29"/>
  <c r="C218" i="34"/>
  <c r="C2" i="30"/>
  <c r="C434" i="35"/>
  <c r="C2" i="27"/>
  <c r="AB35" s="1"/>
  <c r="C2" i="28"/>
  <c r="AB35" s="1"/>
  <c r="C110" i="33"/>
  <c r="AF35" s="1"/>
  <c r="C2" i="37"/>
  <c r="F82" i="26"/>
  <c r="C29" i="28"/>
  <c r="AC35" s="1"/>
  <c r="C83" i="33"/>
  <c r="AE35" s="1"/>
  <c r="AH41" i="26"/>
  <c r="Z45"/>
  <c r="AC10"/>
  <c r="G10"/>
  <c r="A19" i="37"/>
  <c r="E18"/>
  <c r="B18"/>
  <c r="AA10" i="26"/>
  <c r="AA12" s="1"/>
  <c r="H11"/>
  <c r="I10"/>
  <c r="I12" s="1"/>
  <c r="AC11" l="1"/>
  <c r="AC12"/>
  <c r="R13"/>
  <c r="F10"/>
  <c r="F11" s="1"/>
  <c r="G12"/>
  <c r="C83" i="28"/>
  <c r="AE35" s="1"/>
  <c r="C29" i="33"/>
  <c r="AC35" s="1"/>
  <c r="R50" i="26"/>
  <c r="C29" i="30"/>
  <c r="C407" i="35"/>
  <c r="AH42" i="26"/>
  <c r="C29" i="29"/>
  <c r="C191" i="34"/>
  <c r="Z46" i="26"/>
  <c r="G11"/>
  <c r="B19" i="37"/>
  <c r="A20"/>
  <c r="E19"/>
  <c r="Z10" i="26"/>
  <c r="Z12" s="1"/>
  <c r="AA11"/>
  <c r="I11"/>
  <c r="C48"/>
  <c r="D48"/>
  <c r="E10" l="1"/>
  <c r="F12"/>
  <c r="C110" i="28"/>
  <c r="AF35" s="1"/>
  <c r="C2" i="33"/>
  <c r="AB35" s="1"/>
  <c r="C56" i="29"/>
  <c r="C164" i="34"/>
  <c r="Z47" i="26"/>
  <c r="C56" i="30"/>
  <c r="C380" i="35"/>
  <c r="AH43" i="26"/>
  <c r="C3" i="16"/>
  <c r="C3" i="37"/>
  <c r="C6" s="1"/>
  <c r="F85" i="26"/>
  <c r="F84"/>
  <c r="A21" i="37"/>
  <c r="E20"/>
  <c r="B20"/>
  <c r="Y10" i="26"/>
  <c r="Y12" s="1"/>
  <c r="Z11"/>
  <c r="D10" l="1"/>
  <c r="E12"/>
  <c r="E11"/>
  <c r="C83" i="30"/>
  <c r="C353" i="35"/>
  <c r="AH44" i="26"/>
  <c r="C83" i="29"/>
  <c r="C137" i="34"/>
  <c r="Z48" i="26"/>
  <c r="C2" i="16"/>
  <c r="C6"/>
  <c r="K6" s="1"/>
  <c r="X10" i="26"/>
  <c r="X12" s="1"/>
  <c r="Y11"/>
  <c r="C20" i="37"/>
  <c r="C18"/>
  <c r="I6"/>
  <c r="C12"/>
  <c r="C11"/>
  <c r="C16"/>
  <c r="C19"/>
  <c r="C17"/>
  <c r="C15"/>
  <c r="C13"/>
  <c r="C14"/>
  <c r="J6"/>
  <c r="D11"/>
  <c r="D12"/>
  <c r="D13"/>
  <c r="D14"/>
  <c r="D15"/>
  <c r="D16"/>
  <c r="D17"/>
  <c r="D18"/>
  <c r="D19"/>
  <c r="B21"/>
  <c r="D21"/>
  <c r="A22"/>
  <c r="E21"/>
  <c r="D20"/>
  <c r="C10" i="26" l="1"/>
  <c r="D12"/>
  <c r="D11"/>
  <c r="C110" i="30"/>
  <c r="C326" i="35"/>
  <c r="AH45" i="26"/>
  <c r="C110" i="29"/>
  <c r="C110" i="34"/>
  <c r="Z49" i="26"/>
  <c r="F13" i="37"/>
  <c r="G13" s="1"/>
  <c r="D22"/>
  <c r="A23"/>
  <c r="E22"/>
  <c r="B22"/>
  <c r="C22" s="1"/>
  <c r="H28" i="16"/>
  <c r="I31"/>
  <c r="U23" s="1"/>
  <c r="H23"/>
  <c r="I27"/>
  <c r="U19" s="1"/>
  <c r="H24"/>
  <c r="H11"/>
  <c r="I26"/>
  <c r="U18" s="1"/>
  <c r="H29"/>
  <c r="H21"/>
  <c r="I22"/>
  <c r="U14" s="1"/>
  <c r="H30"/>
  <c r="H25"/>
  <c r="H26"/>
  <c r="H22"/>
  <c r="H31"/>
  <c r="H27"/>
  <c r="I24"/>
  <c r="U16" s="1"/>
  <c r="I28"/>
  <c r="U20" s="1"/>
  <c r="I30"/>
  <c r="U22" s="1"/>
  <c r="I25"/>
  <c r="U17" s="1"/>
  <c r="I11"/>
  <c r="I29"/>
  <c r="U21" s="1"/>
  <c r="I21"/>
  <c r="U13" s="1"/>
  <c r="I23"/>
  <c r="U15" s="1"/>
  <c r="F12" i="37"/>
  <c r="F11"/>
  <c r="F14"/>
  <c r="F16"/>
  <c r="F18"/>
  <c r="D25" i="16"/>
  <c r="C25" s="1"/>
  <c r="D21"/>
  <c r="I6"/>
  <c r="D29"/>
  <c r="C29" s="1"/>
  <c r="D30"/>
  <c r="C30" s="1"/>
  <c r="J6"/>
  <c r="C21"/>
  <c r="D26"/>
  <c r="C26" s="1"/>
  <c r="D22"/>
  <c r="C22" s="1"/>
  <c r="D11"/>
  <c r="D31"/>
  <c r="C31" s="1"/>
  <c r="D27"/>
  <c r="C27" s="1"/>
  <c r="D23"/>
  <c r="C23" s="1"/>
  <c r="D24"/>
  <c r="C24" s="1"/>
  <c r="D28"/>
  <c r="C28" s="1"/>
  <c r="C11"/>
  <c r="F20" i="37"/>
  <c r="W10" i="26"/>
  <c r="W12" s="1"/>
  <c r="X11"/>
  <c r="C21" i="37"/>
  <c r="F21" s="1"/>
  <c r="G21" s="1"/>
  <c r="F19"/>
  <c r="F17"/>
  <c r="F15"/>
  <c r="T17" i="16" l="1"/>
  <c r="T21"/>
  <c r="T13"/>
  <c r="T22"/>
  <c r="T15"/>
  <c r="C11" i="26"/>
  <c r="C12"/>
  <c r="C137" i="30"/>
  <c r="C299" i="35"/>
  <c r="AH46" i="26"/>
  <c r="C137" i="29"/>
  <c r="C83" i="34"/>
  <c r="Z50" i="26"/>
  <c r="J13" i="37"/>
  <c r="K13"/>
  <c r="K21"/>
  <c r="F11" i="16"/>
  <c r="G11" s="1"/>
  <c r="F24"/>
  <c r="K24" s="1"/>
  <c r="F21"/>
  <c r="J21" i="37"/>
  <c r="F28" i="16"/>
  <c r="F31"/>
  <c r="G31" s="1"/>
  <c r="F26"/>
  <c r="J26" s="1"/>
  <c r="F29"/>
  <c r="F27"/>
  <c r="J27" s="1"/>
  <c r="F22"/>
  <c r="G22" s="1"/>
  <c r="F30"/>
  <c r="G30" s="1"/>
  <c r="F23"/>
  <c r="K23" s="1"/>
  <c r="T19"/>
  <c r="G12" i="37"/>
  <c r="J12"/>
  <c r="K12"/>
  <c r="T16" i="16"/>
  <c r="K19" i="37"/>
  <c r="J19"/>
  <c r="G19"/>
  <c r="K20"/>
  <c r="J20"/>
  <c r="G20"/>
  <c r="J11"/>
  <c r="G11"/>
  <c r="K11"/>
  <c r="A24"/>
  <c r="B23"/>
  <c r="C23" s="1"/>
  <c r="D23"/>
  <c r="E23"/>
  <c r="F25" i="16"/>
  <c r="T18"/>
  <c r="H32"/>
  <c r="T23"/>
  <c r="J17" i="37"/>
  <c r="K17"/>
  <c r="G17"/>
  <c r="J14"/>
  <c r="G14"/>
  <c r="K14"/>
  <c r="V10" i="26"/>
  <c r="V12" s="1"/>
  <c r="W11"/>
  <c r="G16" i="37"/>
  <c r="J16"/>
  <c r="K16"/>
  <c r="T20" i="16"/>
  <c r="F22" i="37"/>
  <c r="G22" s="1"/>
  <c r="K18"/>
  <c r="G18"/>
  <c r="J18"/>
  <c r="K15"/>
  <c r="G15"/>
  <c r="J15"/>
  <c r="U3" i="16"/>
  <c r="T3" s="1"/>
  <c r="T14"/>
  <c r="L13" i="37" l="1"/>
  <c r="G26" i="16"/>
  <c r="C164" i="30"/>
  <c r="C272" i="35"/>
  <c r="AH47" i="26"/>
  <c r="C164" i="29"/>
  <c r="C56" i="34"/>
  <c r="Z51" i="26"/>
  <c r="K22" i="37"/>
  <c r="L17"/>
  <c r="K26" i="16"/>
  <c r="L26" s="1"/>
  <c r="L14" i="37"/>
  <c r="L21"/>
  <c r="L15"/>
  <c r="L11"/>
  <c r="F23"/>
  <c r="G23" s="1"/>
  <c r="K11" i="16"/>
  <c r="J24"/>
  <c r="L24" s="1"/>
  <c r="G24"/>
  <c r="J11"/>
  <c r="K27"/>
  <c r="L27" s="1"/>
  <c r="K22"/>
  <c r="J22"/>
  <c r="E21"/>
  <c r="G21"/>
  <c r="J21"/>
  <c r="K21"/>
  <c r="K30"/>
  <c r="J30"/>
  <c r="K28"/>
  <c r="J28"/>
  <c r="G28"/>
  <c r="G27"/>
  <c r="J23"/>
  <c r="L23" s="1"/>
  <c r="G23"/>
  <c r="K31"/>
  <c r="J31"/>
  <c r="G29"/>
  <c r="J29"/>
  <c r="K29"/>
  <c r="J22" i="37"/>
  <c r="L16"/>
  <c r="L19"/>
  <c r="U10" i="26"/>
  <c r="U12" s="1"/>
  <c r="V11"/>
  <c r="J25" i="16"/>
  <c r="K25"/>
  <c r="G25"/>
  <c r="B24" i="37"/>
  <c r="C24" s="1"/>
  <c r="D24"/>
  <c r="A25"/>
  <c r="E24"/>
  <c r="L20"/>
  <c r="L18"/>
  <c r="L12"/>
  <c r="L22" l="1"/>
  <c r="J23"/>
  <c r="C191" i="30"/>
  <c r="C245" i="35"/>
  <c r="AH48" i="26"/>
  <c r="C191" i="29"/>
  <c r="C29" i="34"/>
  <c r="Z52" i="26"/>
  <c r="M11" i="16"/>
  <c r="K23" i="37"/>
  <c r="L25" i="16"/>
  <c r="L11"/>
  <c r="L21"/>
  <c r="L31"/>
  <c r="L22"/>
  <c r="L30"/>
  <c r="L28"/>
  <c r="F24" i="37"/>
  <c r="G24" s="1"/>
  <c r="L29" i="16"/>
  <c r="A26" i="37"/>
  <c r="D25"/>
  <c r="B25"/>
  <c r="C25" s="1"/>
  <c r="E25"/>
  <c r="T10" i="26"/>
  <c r="T12" s="1"/>
  <c r="U11"/>
  <c r="L23" i="37" l="1"/>
  <c r="C218" i="29"/>
  <c r="C2" i="34"/>
  <c r="C218" i="30"/>
  <c r="C218" i="35"/>
  <c r="AH49" i="26"/>
  <c r="J24" i="37"/>
  <c r="K24"/>
  <c r="B26"/>
  <c r="C26" s="1"/>
  <c r="D26"/>
  <c r="A27"/>
  <c r="E26"/>
  <c r="S10" i="26"/>
  <c r="S12" s="1"/>
  <c r="T11"/>
  <c r="F25" i="37"/>
  <c r="C245" i="30" l="1"/>
  <c r="C191" i="35"/>
  <c r="AH50" i="26"/>
  <c r="L24" i="37"/>
  <c r="F26"/>
  <c r="G26" s="1"/>
  <c r="G25"/>
  <c r="K25"/>
  <c r="S11" i="26"/>
  <c r="D27" i="37"/>
  <c r="E27"/>
  <c r="B27"/>
  <c r="C27" s="1"/>
  <c r="A28"/>
  <c r="J25"/>
  <c r="C272" i="30" l="1"/>
  <c r="C164" i="35"/>
  <c r="AH51" i="26"/>
  <c r="F27" i="37"/>
  <c r="G27" s="1"/>
  <c r="J26"/>
  <c r="K26"/>
  <c r="B28"/>
  <c r="C28" s="1"/>
  <c r="D28"/>
  <c r="A29"/>
  <c r="E28"/>
  <c r="L25"/>
  <c r="C299" i="30" l="1"/>
  <c r="C137" i="35"/>
  <c r="AH52" i="26"/>
  <c r="K27" i="37"/>
  <c r="J27"/>
  <c r="L26"/>
  <c r="F28"/>
  <c r="G28" s="1"/>
  <c r="A30"/>
  <c r="D29"/>
  <c r="E29"/>
  <c r="B29"/>
  <c r="C29" s="1"/>
  <c r="C326" i="30" l="1"/>
  <c r="C110" i="35"/>
  <c r="AH53" i="26"/>
  <c r="L27" i="37"/>
  <c r="J28"/>
  <c r="K28"/>
  <c r="B30"/>
  <c r="C30" s="1"/>
  <c r="D30"/>
  <c r="A31"/>
  <c r="E30"/>
  <c r="F29"/>
  <c r="L28" l="1"/>
  <c r="C353" i="30"/>
  <c r="C83" i="35"/>
  <c r="AH54" i="26"/>
  <c r="F30" i="37"/>
  <c r="G30" s="1"/>
  <c r="G29"/>
  <c r="K29"/>
  <c r="D31"/>
  <c r="E31"/>
  <c r="B31"/>
  <c r="C31" s="1"/>
  <c r="J29"/>
  <c r="C380" i="30" l="1"/>
  <c r="C56" i="35"/>
  <c r="AH55" i="26"/>
  <c r="L29" i="37"/>
  <c r="K30"/>
  <c r="J30"/>
  <c r="F31"/>
  <c r="C407" i="30" l="1"/>
  <c r="AQ35" s="1"/>
  <c r="C29" i="35"/>
  <c r="AC35" s="1"/>
  <c r="AH56" i="26"/>
  <c r="L30" i="37"/>
  <c r="G31"/>
  <c r="J31"/>
  <c r="K31"/>
  <c r="K6"/>
  <c r="I11" s="1"/>
  <c r="U3" s="1"/>
  <c r="K47" i="26"/>
  <c r="L47" s="1"/>
  <c r="J10"/>
  <c r="K49"/>
  <c r="L49" s="1"/>
  <c r="AD10"/>
  <c r="AP33"/>
  <c r="AP34" s="1"/>
  <c r="B86"/>
  <c r="C86" s="1"/>
  <c r="B112"/>
  <c r="C112" s="1"/>
  <c r="B9" i="32"/>
  <c r="E22"/>
  <c r="E22" i="33"/>
  <c r="A22" i="34"/>
  <c r="B22" s="1"/>
  <c r="B9"/>
  <c r="AJ35"/>
  <c r="AI35"/>
  <c r="AH35"/>
  <c r="AG35"/>
  <c r="AF35"/>
  <c r="AE35"/>
  <c r="AD35"/>
  <c r="AC35"/>
  <c r="AB35"/>
  <c r="A22" i="35"/>
  <c r="E22" s="1"/>
  <c r="B9"/>
  <c r="AR35"/>
  <c r="AQ35"/>
  <c r="AP35"/>
  <c r="AO35"/>
  <c r="AN35"/>
  <c r="AM35"/>
  <c r="AL35"/>
  <c r="AK35"/>
  <c r="AJ35"/>
  <c r="AI35"/>
  <c r="AH35"/>
  <c r="AG35"/>
  <c r="AF35"/>
  <c r="AE35"/>
  <c r="AD35"/>
  <c r="AU35" i="16"/>
  <c r="AV35"/>
  <c r="J48" i="26"/>
  <c r="C29" i="32" s="1"/>
  <c r="AC35" s="1"/>
  <c r="AJ35" i="29"/>
  <c r="AI35"/>
  <c r="AH35"/>
  <c r="AG35"/>
  <c r="AF35"/>
  <c r="AE35"/>
  <c r="AD35"/>
  <c r="AC35"/>
  <c r="AB35"/>
  <c r="AB48" i="26"/>
  <c r="AJ48" s="1"/>
  <c r="AR48" s="1"/>
  <c r="AZ48" s="1"/>
  <c r="AP35" i="30"/>
  <c r="AO35"/>
  <c r="AN35"/>
  <c r="AM35"/>
  <c r="AL35"/>
  <c r="AK35"/>
  <c r="AJ35"/>
  <c r="AI35"/>
  <c r="AH35"/>
  <c r="AG35"/>
  <c r="AF35"/>
  <c r="AE35"/>
  <c r="AD35"/>
  <c r="AC35"/>
  <c r="AB35"/>
  <c r="O48" i="31"/>
  <c r="N49" s="1"/>
  <c r="O49" s="1"/>
  <c r="K63"/>
  <c r="L63" s="1"/>
  <c r="H31" i="37" l="1"/>
  <c r="AU35" s="1"/>
  <c r="I31"/>
  <c r="U23" s="1"/>
  <c r="E22" i="34"/>
  <c r="I16" i="37"/>
  <c r="U8" s="1"/>
  <c r="AD11" i="26"/>
  <c r="AD12"/>
  <c r="B22" i="35"/>
  <c r="H17" i="37"/>
  <c r="T9" s="1"/>
  <c r="I18"/>
  <c r="U10" s="1"/>
  <c r="K10" i="26"/>
  <c r="K12" s="1"/>
  <c r="J12"/>
  <c r="I84"/>
  <c r="K87"/>
  <c r="C57" i="27"/>
  <c r="C60" s="1"/>
  <c r="C434" i="30"/>
  <c r="AR35" s="1"/>
  <c r="C2" i="35"/>
  <c r="AB35" s="1"/>
  <c r="I15" i="37"/>
  <c r="U7" s="1"/>
  <c r="H14"/>
  <c r="T6" s="1"/>
  <c r="I24"/>
  <c r="U16" s="1"/>
  <c r="C29" i="27"/>
  <c r="AC35" s="1"/>
  <c r="J49" i="26"/>
  <c r="H24" i="37"/>
  <c r="T16" s="1"/>
  <c r="AP35" i="26"/>
  <c r="C3" i="32"/>
  <c r="C6" s="1"/>
  <c r="C9" s="1"/>
  <c r="B87" i="26"/>
  <c r="C87" s="1"/>
  <c r="C3" i="27"/>
  <c r="C6" s="1"/>
  <c r="C9" s="1"/>
  <c r="C57" i="32"/>
  <c r="C60" s="1"/>
  <c r="I19" i="37"/>
  <c r="U11" s="1"/>
  <c r="I21"/>
  <c r="U13" s="1"/>
  <c r="I23"/>
  <c r="U15" s="1"/>
  <c r="B111" i="26"/>
  <c r="C111" s="1"/>
  <c r="L31" i="37"/>
  <c r="AE10" i="26"/>
  <c r="AE12" s="1"/>
  <c r="H22" i="37"/>
  <c r="T14" s="1"/>
  <c r="H12"/>
  <c r="T4" s="1"/>
  <c r="AW35" i="16"/>
  <c r="I14" i="37"/>
  <c r="U6" s="1"/>
  <c r="L10" i="26"/>
  <c r="L12" s="1"/>
  <c r="J11"/>
  <c r="S50"/>
  <c r="I28" i="37"/>
  <c r="U20" s="1"/>
  <c r="H18"/>
  <c r="T10" s="1"/>
  <c r="I20"/>
  <c r="U12" s="1"/>
  <c r="S46" i="26"/>
  <c r="H28" i="37"/>
  <c r="T20" s="1"/>
  <c r="Q48" i="31"/>
  <c r="I17" i="37"/>
  <c r="U9" s="1"/>
  <c r="H20"/>
  <c r="T12" s="1"/>
  <c r="I22"/>
  <c r="U14" s="1"/>
  <c r="I13"/>
  <c r="U5" s="1"/>
  <c r="I12"/>
  <c r="U4" s="1"/>
  <c r="H16"/>
  <c r="T8" s="1"/>
  <c r="H19"/>
  <c r="T11" s="1"/>
  <c r="H21"/>
  <c r="T13" s="1"/>
  <c r="H23"/>
  <c r="T15" s="1"/>
  <c r="H25"/>
  <c r="T17" s="1"/>
  <c r="H27"/>
  <c r="T19" s="1"/>
  <c r="I30"/>
  <c r="U22" s="1"/>
  <c r="I26"/>
  <c r="U18" s="1"/>
  <c r="H30"/>
  <c r="T22" s="1"/>
  <c r="AV35"/>
  <c r="AW35" s="1"/>
  <c r="H15"/>
  <c r="T7" s="1"/>
  <c r="H26"/>
  <c r="T18" s="1"/>
  <c r="I29"/>
  <c r="U21" s="1"/>
  <c r="K6" i="27"/>
  <c r="T46" i="26"/>
  <c r="T50"/>
  <c r="T23" i="37"/>
  <c r="H32"/>
  <c r="H11"/>
  <c r="I25"/>
  <c r="U17" s="1"/>
  <c r="I27"/>
  <c r="U19" s="1"/>
  <c r="H13"/>
  <c r="T5" s="1"/>
  <c r="H29"/>
  <c r="T21" s="1"/>
  <c r="N50" i="31"/>
  <c r="O50" s="1"/>
  <c r="Q49"/>
  <c r="J6" i="27" l="1"/>
  <c r="B88" i="26"/>
  <c r="C88" s="1"/>
  <c r="K11"/>
  <c r="C22" i="27"/>
  <c r="J6" i="32"/>
  <c r="D22" i="27"/>
  <c r="C22" i="32"/>
  <c r="I6"/>
  <c r="D9" i="27"/>
  <c r="K6" i="32"/>
  <c r="H22" s="1"/>
  <c r="T3" s="1"/>
  <c r="D9"/>
  <c r="D22"/>
  <c r="I6" i="27"/>
  <c r="AP36" i="26"/>
  <c r="C56" i="27"/>
  <c r="AD35" s="1"/>
  <c r="C56" i="32"/>
  <c r="AD35" s="1"/>
  <c r="C2"/>
  <c r="AB35" s="1"/>
  <c r="AF10" i="26"/>
  <c r="AF12" s="1"/>
  <c r="AE11"/>
  <c r="B110"/>
  <c r="B109" s="1"/>
  <c r="AA52"/>
  <c r="C3" i="33"/>
  <c r="C111" i="28"/>
  <c r="C114" s="1"/>
  <c r="M10" i="26"/>
  <c r="M12" s="1"/>
  <c r="L11"/>
  <c r="S48" i="31"/>
  <c r="AA44" i="26"/>
  <c r="C111" i="33"/>
  <c r="C114" s="1"/>
  <c r="C3" i="28"/>
  <c r="R48" i="31"/>
  <c r="H9" i="27"/>
  <c r="I22"/>
  <c r="U3" s="1"/>
  <c r="I9"/>
  <c r="H22"/>
  <c r="T3" s="1"/>
  <c r="M11" i="37"/>
  <c r="T3"/>
  <c r="AB44" i="26"/>
  <c r="N84"/>
  <c r="AB52"/>
  <c r="R89"/>
  <c r="S49" i="31"/>
  <c r="N51"/>
  <c r="O51" s="1"/>
  <c r="R49"/>
  <c r="B89" i="26" l="1"/>
  <c r="C89" s="1"/>
  <c r="F22" i="32"/>
  <c r="K22" s="1"/>
  <c r="C110" i="26"/>
  <c r="F22" i="27"/>
  <c r="K22" s="1"/>
  <c r="T48" i="31"/>
  <c r="I9" i="32"/>
  <c r="I22"/>
  <c r="U3" s="1"/>
  <c r="H9"/>
  <c r="F9"/>
  <c r="K9" s="1"/>
  <c r="F9" i="27"/>
  <c r="J9" s="1"/>
  <c r="AP37" i="26"/>
  <c r="AG10"/>
  <c r="AG12" s="1"/>
  <c r="AF11"/>
  <c r="AI56"/>
  <c r="C219" i="29"/>
  <c r="C222" s="1"/>
  <c r="C3" i="34"/>
  <c r="B108" i="26"/>
  <c r="C109"/>
  <c r="C6" i="33"/>
  <c r="K6" s="1"/>
  <c r="AI40" i="26"/>
  <c r="C219" i="34"/>
  <c r="C222" s="1"/>
  <c r="C3" i="29"/>
  <c r="N10" i="26"/>
  <c r="N12" s="1"/>
  <c r="M11"/>
  <c r="C6" i="28"/>
  <c r="T49" i="31"/>
  <c r="Q50" s="1"/>
  <c r="R50" s="1"/>
  <c r="AJ40" i="26"/>
  <c r="U84"/>
  <c r="AJ56"/>
  <c r="AC93"/>
  <c r="N52" i="31"/>
  <c r="O52" s="1"/>
  <c r="S50" l="1"/>
  <c r="T50" s="1"/>
  <c r="Q51" s="1"/>
  <c r="B90" i="26"/>
  <c r="B91" s="1"/>
  <c r="J9" i="32"/>
  <c r="L9" s="1"/>
  <c r="G9"/>
  <c r="J22"/>
  <c r="L22" s="1"/>
  <c r="G22"/>
  <c r="G22" i="27"/>
  <c r="J22"/>
  <c r="L22" s="1"/>
  <c r="K9"/>
  <c r="L9" s="1"/>
  <c r="G9"/>
  <c r="AP38" i="26"/>
  <c r="AG11"/>
  <c r="I22" i="33"/>
  <c r="U3" s="1"/>
  <c r="I9"/>
  <c r="H9"/>
  <c r="H22"/>
  <c r="T3" s="1"/>
  <c r="AQ64" i="26"/>
  <c r="C3" i="35"/>
  <c r="C435" i="30"/>
  <c r="C438" s="1"/>
  <c r="J6" i="28"/>
  <c r="I6"/>
  <c r="D9"/>
  <c r="C9"/>
  <c r="AQ32" i="26"/>
  <c r="C3" i="30"/>
  <c r="C435" i="35"/>
  <c r="C438" s="1"/>
  <c r="C6" i="34"/>
  <c r="K6" i="28"/>
  <c r="C6" i="29"/>
  <c r="K6" s="1"/>
  <c r="B107" i="26"/>
  <c r="C108"/>
  <c r="O10"/>
  <c r="O12" s="1"/>
  <c r="N11"/>
  <c r="C22" i="33"/>
  <c r="D9"/>
  <c r="C9"/>
  <c r="D22"/>
  <c r="I6"/>
  <c r="J6"/>
  <c r="AR32" i="26"/>
  <c r="AF84"/>
  <c r="AR64"/>
  <c r="AV101"/>
  <c r="N53" i="31"/>
  <c r="O53" s="1"/>
  <c r="S51" l="1"/>
  <c r="R51"/>
  <c r="M22" i="32"/>
  <c r="C90" i="26"/>
  <c r="M22" i="27"/>
  <c r="AP39" i="26"/>
  <c r="I9" i="28"/>
  <c r="H9"/>
  <c r="F9" i="33"/>
  <c r="C91" i="26"/>
  <c r="B92"/>
  <c r="C22" i="34"/>
  <c r="D22"/>
  <c r="C9"/>
  <c r="I6"/>
  <c r="D9"/>
  <c r="J6"/>
  <c r="K6"/>
  <c r="F9" i="28"/>
  <c r="D22" i="29"/>
  <c r="I6"/>
  <c r="J6"/>
  <c r="D9"/>
  <c r="C9"/>
  <c r="C22"/>
  <c r="F22" i="33"/>
  <c r="P10" i="26"/>
  <c r="P12" s="1"/>
  <c r="O11"/>
  <c r="I9" i="29"/>
  <c r="I22"/>
  <c r="U3" s="1"/>
  <c r="H9"/>
  <c r="H22"/>
  <c r="T3" s="1"/>
  <c r="C6" i="35"/>
  <c r="K6" s="1"/>
  <c r="B106" i="26"/>
  <c r="C107"/>
  <c r="C6" i="30"/>
  <c r="K6" s="1"/>
  <c r="N54" i="31"/>
  <c r="O54" s="1"/>
  <c r="T51" l="1"/>
  <c r="Q52" s="1"/>
  <c r="S52" s="1"/>
  <c r="AP40" i="26"/>
  <c r="AP41" s="1"/>
  <c r="AP42" s="1"/>
  <c r="AP43" s="1"/>
  <c r="AP44" s="1"/>
  <c r="AP45" s="1"/>
  <c r="AP46" s="1"/>
  <c r="AP47" s="1"/>
  <c r="AP48" s="1"/>
  <c r="AP49" s="1"/>
  <c r="AP50" s="1"/>
  <c r="AP51" s="1"/>
  <c r="AP52" s="1"/>
  <c r="AP53" s="1"/>
  <c r="AP54" s="1"/>
  <c r="AP55" s="1"/>
  <c r="AP56" s="1"/>
  <c r="AP57" s="1"/>
  <c r="F22" i="29"/>
  <c r="G22" s="1"/>
  <c r="F22" i="34"/>
  <c r="G22" s="1"/>
  <c r="H22" i="35"/>
  <c r="T3" s="1"/>
  <c r="I22"/>
  <c r="U3" s="1"/>
  <c r="H9"/>
  <c r="I9"/>
  <c r="I9" i="30"/>
  <c r="H9"/>
  <c r="C9"/>
  <c r="I6"/>
  <c r="J6"/>
  <c r="D9"/>
  <c r="J9" i="33"/>
  <c r="G9"/>
  <c r="K9"/>
  <c r="F9" i="29"/>
  <c r="I9" i="34"/>
  <c r="H9"/>
  <c r="H22"/>
  <c r="T3" s="1"/>
  <c r="I22"/>
  <c r="U3" s="1"/>
  <c r="B93" i="26"/>
  <c r="C92"/>
  <c r="I6" i="35"/>
  <c r="J6"/>
  <c r="C9"/>
  <c r="C22"/>
  <c r="D9"/>
  <c r="D22"/>
  <c r="J22" i="33"/>
  <c r="G22"/>
  <c r="K22"/>
  <c r="J9" i="28"/>
  <c r="G9"/>
  <c r="K9"/>
  <c r="C106" i="26"/>
  <c r="B105"/>
  <c r="P11"/>
  <c r="Q10"/>
  <c r="Q12" s="1"/>
  <c r="F9" i="34"/>
  <c r="N55" i="31"/>
  <c r="O55" s="1"/>
  <c r="R52" l="1"/>
  <c r="T52" s="1"/>
  <c r="Q53" s="1"/>
  <c r="S53" s="1"/>
  <c r="K22" i="34"/>
  <c r="K22" i="29"/>
  <c r="AP58" i="26"/>
  <c r="L9" i="33"/>
  <c r="M22"/>
  <c r="J22" i="34"/>
  <c r="J22" i="29"/>
  <c r="C105" i="26"/>
  <c r="B104"/>
  <c r="C93"/>
  <c r="B94"/>
  <c r="K9" i="29"/>
  <c r="J9"/>
  <c r="G9"/>
  <c r="L9" i="28"/>
  <c r="R10" i="26"/>
  <c r="R12" s="1"/>
  <c r="Q11"/>
  <c r="F9" i="35"/>
  <c r="L22" i="33"/>
  <c r="F9" i="30"/>
  <c r="J9" i="34"/>
  <c r="G9"/>
  <c r="K9"/>
  <c r="F22" i="35"/>
  <c r="N56" i="31"/>
  <c r="O56" s="1"/>
  <c r="R53" l="1"/>
  <c r="T53" s="1"/>
  <c r="Q54" s="1"/>
  <c r="S54" s="1"/>
  <c r="L22" i="34"/>
  <c r="M22" i="29"/>
  <c r="M22" i="34"/>
  <c r="AP59" i="26"/>
  <c r="L22" i="29"/>
  <c r="L9"/>
  <c r="G9" i="30"/>
  <c r="K9"/>
  <c r="J9"/>
  <c r="C104" i="26"/>
  <c r="B103"/>
  <c r="L9" i="34"/>
  <c r="R11" i="26"/>
  <c r="K48"/>
  <c r="J22" i="35"/>
  <c r="K22"/>
  <c r="G22"/>
  <c r="B95" i="26"/>
  <c r="C94"/>
  <c r="G9" i="35"/>
  <c r="J9"/>
  <c r="K9"/>
  <c r="N57" i="31"/>
  <c r="O57" s="1"/>
  <c r="N58" s="1"/>
  <c r="O58" s="1"/>
  <c r="N59" s="1"/>
  <c r="O59" s="1"/>
  <c r="N60" s="1"/>
  <c r="O60" s="1"/>
  <c r="N61" s="1"/>
  <c r="O61" s="1"/>
  <c r="N62" s="1"/>
  <c r="O62" s="1"/>
  <c r="N63" s="1"/>
  <c r="O63" s="1"/>
  <c r="N64" s="1"/>
  <c r="O64" s="1"/>
  <c r="N65" s="1"/>
  <c r="O65" s="1"/>
  <c r="R54" l="1"/>
  <c r="T54" s="1"/>
  <c r="Q55" s="1"/>
  <c r="S55" s="1"/>
  <c r="L22" i="35"/>
  <c r="L9"/>
  <c r="AP60" i="26"/>
  <c r="M22" i="35"/>
  <c r="L9" i="30"/>
  <c r="C95" i="26"/>
  <c r="B96"/>
  <c r="B102"/>
  <c r="C103"/>
  <c r="C30" i="27"/>
  <c r="C33" s="1"/>
  <c r="S48" i="26"/>
  <c r="C30" i="32"/>
  <c r="C33" s="1"/>
  <c r="M48" i="26"/>
  <c r="M47"/>
  <c r="R55" i="31" l="1"/>
  <c r="T55" s="1"/>
  <c r="Q56" s="1"/>
  <c r="S56" s="1"/>
  <c r="AP61" i="26"/>
  <c r="D30" i="27"/>
  <c r="D3" i="32"/>
  <c r="H86" i="26"/>
  <c r="N48"/>
  <c r="O48"/>
  <c r="S49" s="1"/>
  <c r="D3" i="27"/>
  <c r="N47" i="26"/>
  <c r="O47"/>
  <c r="S47" s="1"/>
  <c r="D30" i="32"/>
  <c r="H85" i="26"/>
  <c r="B97"/>
  <c r="C96"/>
  <c r="B101"/>
  <c r="C102"/>
  <c r="AA48"/>
  <c r="C57" i="28"/>
  <c r="C60" s="1"/>
  <c r="C57" i="33"/>
  <c r="C60" s="1"/>
  <c r="R56" i="31" l="1"/>
  <c r="T56" s="1"/>
  <c r="Q57" s="1"/>
  <c r="AP62" i="26"/>
  <c r="AP63" s="1"/>
  <c r="AP64" s="1"/>
  <c r="P47"/>
  <c r="T47" s="1"/>
  <c r="AB46" s="1"/>
  <c r="C84" i="28"/>
  <c r="C87" s="1"/>
  <c r="C30" i="33"/>
  <c r="C33" s="1"/>
  <c r="AA50" i="26"/>
  <c r="AI48"/>
  <c r="C111" i="34"/>
  <c r="C114" s="1"/>
  <c r="C111" i="29"/>
  <c r="C114" s="1"/>
  <c r="I85" i="26"/>
  <c r="J85"/>
  <c r="N9" i="32"/>
  <c r="O9"/>
  <c r="C101" i="26"/>
  <c r="B100"/>
  <c r="C100" s="1"/>
  <c r="C97"/>
  <c r="B98"/>
  <c r="K86"/>
  <c r="J86"/>
  <c r="P48"/>
  <c r="T49" s="1"/>
  <c r="O9" i="27"/>
  <c r="N9"/>
  <c r="C30" i="28"/>
  <c r="C33" s="1"/>
  <c r="AA46" i="26"/>
  <c r="C84" i="33"/>
  <c r="C87" s="1"/>
  <c r="P9" i="32" l="1"/>
  <c r="A10" s="1"/>
  <c r="P9" i="27"/>
  <c r="A10" s="1"/>
  <c r="O10" s="1"/>
  <c r="U46" i="26"/>
  <c r="M85" s="1"/>
  <c r="U47"/>
  <c r="W47" s="1"/>
  <c r="AA47" s="1"/>
  <c r="C165" i="34"/>
  <c r="C168" s="1"/>
  <c r="AI44" i="26"/>
  <c r="C57" i="29"/>
  <c r="C60" s="1"/>
  <c r="AJ44" i="26"/>
  <c r="B99"/>
  <c r="C99" s="1"/>
  <c r="C98"/>
  <c r="C165" i="29"/>
  <c r="C168" s="1"/>
  <c r="C57" i="34"/>
  <c r="C60" s="1"/>
  <c r="AI52" i="26"/>
  <c r="U48"/>
  <c r="AB50"/>
  <c r="U49"/>
  <c r="C219" i="35"/>
  <c r="C222" s="1"/>
  <c r="C219" i="30"/>
  <c r="C222" s="1"/>
  <c r="AQ48" i="26"/>
  <c r="AY48" s="1"/>
  <c r="S57" i="31"/>
  <c r="R57"/>
  <c r="D30" i="28" l="1"/>
  <c r="D10" i="27"/>
  <c r="M86" i="26"/>
  <c r="O86" s="1"/>
  <c r="D57" i="33"/>
  <c r="B10" i="27"/>
  <c r="C10" s="1"/>
  <c r="E10"/>
  <c r="N10"/>
  <c r="P10" s="1"/>
  <c r="A11" s="1"/>
  <c r="H11" s="1"/>
  <c r="H10"/>
  <c r="I10"/>
  <c r="D3" i="28"/>
  <c r="N9" s="1"/>
  <c r="D84" i="33"/>
  <c r="V47" i="26"/>
  <c r="V46"/>
  <c r="W46"/>
  <c r="AA45" s="1"/>
  <c r="C30" i="29" s="1"/>
  <c r="C33" s="1"/>
  <c r="C111" i="30"/>
  <c r="C114" s="1"/>
  <c r="C327" i="35"/>
  <c r="C330" s="1"/>
  <c r="AQ40" i="26"/>
  <c r="C327" i="30"/>
  <c r="C330" s="1"/>
  <c r="C111" i="35"/>
  <c r="C114" s="1"/>
  <c r="AQ56" i="26"/>
  <c r="AR40"/>
  <c r="N10" i="32"/>
  <c r="H10"/>
  <c r="I10"/>
  <c r="E10"/>
  <c r="B10"/>
  <c r="C10" s="1"/>
  <c r="O10"/>
  <c r="D10"/>
  <c r="N85" i="26"/>
  <c r="O85"/>
  <c r="D57" i="28"/>
  <c r="D30" i="33"/>
  <c r="V48" i="26"/>
  <c r="W48"/>
  <c r="AA49" s="1"/>
  <c r="M87"/>
  <c r="AJ52"/>
  <c r="C84" i="29"/>
  <c r="C87" s="1"/>
  <c r="C138" i="34"/>
  <c r="C141" s="1"/>
  <c r="AI46" i="26"/>
  <c r="D84" i="28"/>
  <c r="D3" i="33"/>
  <c r="V49" i="26"/>
  <c r="W49"/>
  <c r="AA51" s="1"/>
  <c r="M88"/>
  <c r="X47"/>
  <c r="AB47" s="1"/>
  <c r="T57" i="31"/>
  <c r="Q58" s="1"/>
  <c r="S58" s="1"/>
  <c r="P10" i="32" l="1"/>
  <c r="A11" s="1"/>
  <c r="O9" i="28"/>
  <c r="P9" s="1"/>
  <c r="A10" s="1"/>
  <c r="P86" i="26"/>
  <c r="X46"/>
  <c r="AB45" s="1"/>
  <c r="AJ42" s="1"/>
  <c r="AR36" s="1"/>
  <c r="F10" i="27"/>
  <c r="G10" s="1"/>
  <c r="AI42" i="26"/>
  <c r="C192" i="34"/>
  <c r="C195" s="1"/>
  <c r="E11" i="27"/>
  <c r="D11"/>
  <c r="B11"/>
  <c r="C11" s="1"/>
  <c r="O11"/>
  <c r="I11"/>
  <c r="N11"/>
  <c r="C165" i="30"/>
  <c r="C168" s="1"/>
  <c r="C273" i="35"/>
  <c r="C276" s="1"/>
  <c r="AQ44" i="26"/>
  <c r="O9" i="33"/>
  <c r="N9"/>
  <c r="AR56" i="26"/>
  <c r="F10" i="32"/>
  <c r="J10" s="1"/>
  <c r="X49" i="26"/>
  <c r="AB51" s="1"/>
  <c r="X48"/>
  <c r="AB49" s="1"/>
  <c r="C30" i="34"/>
  <c r="C33" s="1"/>
  <c r="C192" i="29"/>
  <c r="C195" s="1"/>
  <c r="AI54" i="26"/>
  <c r="AI50"/>
  <c r="C138" i="29"/>
  <c r="C141" s="1"/>
  <c r="C84" i="34"/>
  <c r="C87" s="1"/>
  <c r="R88" i="26"/>
  <c r="Q88"/>
  <c r="P87"/>
  <c r="Q87"/>
  <c r="AJ46"/>
  <c r="AC47"/>
  <c r="AC46"/>
  <c r="R58" i="31"/>
  <c r="T58" s="1"/>
  <c r="Q59" s="1"/>
  <c r="P9" i="33" l="1"/>
  <c r="A10" s="1"/>
  <c r="E11" i="32"/>
  <c r="AQ36" i="26"/>
  <c r="J10" i="27"/>
  <c r="D11" i="32"/>
  <c r="B11"/>
  <c r="C11" s="1"/>
  <c r="K10" i="27"/>
  <c r="C381" i="35"/>
  <c r="C384" s="1"/>
  <c r="C57" i="30"/>
  <c r="C60" s="1"/>
  <c r="O11" i="32"/>
  <c r="N11"/>
  <c r="AC44" i="26"/>
  <c r="D3" i="29" s="1"/>
  <c r="N9" s="1"/>
  <c r="AC45" i="26"/>
  <c r="I11" i="32"/>
  <c r="H11"/>
  <c r="F11" i="27"/>
  <c r="P11"/>
  <c r="A12" s="1"/>
  <c r="C57" i="35"/>
  <c r="C60" s="1"/>
  <c r="C381" i="30"/>
  <c r="C384" s="1"/>
  <c r="AQ60" i="26"/>
  <c r="G10" i="32"/>
  <c r="K10"/>
  <c r="L10" s="1"/>
  <c r="AD46" i="26"/>
  <c r="AE46"/>
  <c r="AI45" s="1"/>
  <c r="D57" i="29"/>
  <c r="T87" i="26"/>
  <c r="D138" i="34"/>
  <c r="O10" i="28"/>
  <c r="E10"/>
  <c r="D10"/>
  <c r="H10"/>
  <c r="N10"/>
  <c r="B10"/>
  <c r="C10" s="1"/>
  <c r="I10"/>
  <c r="AQ52" i="26"/>
  <c r="C273" i="30"/>
  <c r="C276" s="1"/>
  <c r="C165" i="35"/>
  <c r="C168" s="1"/>
  <c r="AJ54" i="26"/>
  <c r="AC51"/>
  <c r="AC50"/>
  <c r="AR44"/>
  <c r="AC48"/>
  <c r="AJ50"/>
  <c r="AC49"/>
  <c r="AD47"/>
  <c r="AE47"/>
  <c r="AI47" s="1"/>
  <c r="D84" i="29"/>
  <c r="T88" i="26"/>
  <c r="D111" i="34"/>
  <c r="S59" i="31"/>
  <c r="R59"/>
  <c r="P11" i="32" l="1"/>
  <c r="A12" s="1"/>
  <c r="F11"/>
  <c r="J11" s="1"/>
  <c r="L10" i="27"/>
  <c r="O9" i="29"/>
  <c r="P9" s="1"/>
  <c r="A10" s="1"/>
  <c r="D10" s="1"/>
  <c r="T85" i="26"/>
  <c r="AD44"/>
  <c r="AF44" s="1"/>
  <c r="AJ41" s="1"/>
  <c r="AK41" s="1"/>
  <c r="AE44"/>
  <c r="AI41" s="1"/>
  <c r="D192" i="34"/>
  <c r="AD45" i="26"/>
  <c r="D165" i="34"/>
  <c r="T86" i="26"/>
  <c r="D30" i="29"/>
  <c r="AE45" i="26"/>
  <c r="AI43" s="1"/>
  <c r="G11" i="27"/>
  <c r="J11"/>
  <c r="K11"/>
  <c r="I12"/>
  <c r="O12"/>
  <c r="N12"/>
  <c r="H12"/>
  <c r="E12"/>
  <c r="B12"/>
  <c r="D12"/>
  <c r="P10" i="28"/>
  <c r="A11" s="1"/>
  <c r="B11" s="1"/>
  <c r="C11" s="1"/>
  <c r="W87" i="26"/>
  <c r="X87"/>
  <c r="Y88"/>
  <c r="X88"/>
  <c r="D30" i="34"/>
  <c r="T91" i="26"/>
  <c r="AD50"/>
  <c r="AE50"/>
  <c r="AI53" s="1"/>
  <c r="D165" i="29"/>
  <c r="I10" i="33"/>
  <c r="B10"/>
  <c r="C10" s="1"/>
  <c r="O10"/>
  <c r="D10"/>
  <c r="H10"/>
  <c r="E10"/>
  <c r="N10"/>
  <c r="AR52" i="26"/>
  <c r="T59" i="31"/>
  <c r="Q60" s="1"/>
  <c r="S60" s="1"/>
  <c r="AF46" i="26"/>
  <c r="AJ45" s="1"/>
  <c r="AR60"/>
  <c r="AD48"/>
  <c r="AE48"/>
  <c r="AI49" s="1"/>
  <c r="T89"/>
  <c r="D111" i="29"/>
  <c r="D84" i="34"/>
  <c r="T90" i="26"/>
  <c r="AD49"/>
  <c r="D57" i="34"/>
  <c r="AE49" i="26"/>
  <c r="AI51" s="1"/>
  <c r="D138" i="29"/>
  <c r="C138" i="30"/>
  <c r="C141" s="1"/>
  <c r="C300" i="35"/>
  <c r="C303" s="1"/>
  <c r="AQ42" i="26"/>
  <c r="AF47"/>
  <c r="AJ47" s="1"/>
  <c r="F10" i="28"/>
  <c r="C192" i="30"/>
  <c r="C195" s="1"/>
  <c r="C246" i="35"/>
  <c r="C249" s="1"/>
  <c r="AQ46" i="26"/>
  <c r="AD51"/>
  <c r="AE51"/>
  <c r="AI55" s="1"/>
  <c r="T92"/>
  <c r="D192" i="29"/>
  <c r="D3" i="34"/>
  <c r="P10" i="33" l="1"/>
  <c r="A11" s="1"/>
  <c r="I12" i="32"/>
  <c r="AF49" i="26"/>
  <c r="AJ51" s="1"/>
  <c r="AR54" s="1"/>
  <c r="R60" i="31"/>
  <c r="T60" s="1"/>
  <c r="Q61" s="1"/>
  <c r="K11" i="32"/>
  <c r="L11" s="1"/>
  <c r="G11"/>
  <c r="B12"/>
  <c r="C12" s="1"/>
  <c r="N12"/>
  <c r="D12"/>
  <c r="O12"/>
  <c r="P12" s="1"/>
  <c r="E12"/>
  <c r="H12"/>
  <c r="AK40" i="26"/>
  <c r="H10" i="29"/>
  <c r="O10"/>
  <c r="E10"/>
  <c r="AR34" i="26"/>
  <c r="L11" i="27"/>
  <c r="AF48" i="26"/>
  <c r="AJ49" s="1"/>
  <c r="AK49" s="1"/>
  <c r="AQ38"/>
  <c r="C354" i="35"/>
  <c r="C357" s="1"/>
  <c r="C84" i="30"/>
  <c r="C87" s="1"/>
  <c r="V85" i="26"/>
  <c r="U85"/>
  <c r="P12" i="27"/>
  <c r="A13" s="1"/>
  <c r="I13" s="1"/>
  <c r="C30" i="30"/>
  <c r="C33" s="1"/>
  <c r="AQ34" i="26"/>
  <c r="C408" i="35"/>
  <c r="C411" s="1"/>
  <c r="I10" i="29"/>
  <c r="E11" i="28"/>
  <c r="N10" i="29"/>
  <c r="F10" i="33"/>
  <c r="J10" s="1"/>
  <c r="O11" i="28"/>
  <c r="AF45" i="26"/>
  <c r="AJ43" s="1"/>
  <c r="D11" i="28"/>
  <c r="W86" i="26"/>
  <c r="V86"/>
  <c r="B10" i="29"/>
  <c r="C10" s="1"/>
  <c r="I11" i="28"/>
  <c r="C12" i="27"/>
  <c r="F12" s="1"/>
  <c r="AF51" i="26"/>
  <c r="AJ55" s="1"/>
  <c r="AK55" s="1"/>
  <c r="AF50"/>
  <c r="AJ53" s="1"/>
  <c r="AK53" s="1"/>
  <c r="N11" i="28"/>
  <c r="H11"/>
  <c r="AA90" i="26"/>
  <c r="Z90"/>
  <c r="AE86"/>
  <c r="D30" i="30"/>
  <c r="D381" i="35"/>
  <c r="AL41" i="26"/>
  <c r="AM41"/>
  <c r="AQ35" s="1"/>
  <c r="C354" i="30"/>
  <c r="C357" s="1"/>
  <c r="C84" i="35"/>
  <c r="C87" s="1"/>
  <c r="AQ58" i="26"/>
  <c r="C300" i="30"/>
  <c r="C303" s="1"/>
  <c r="C138" i="35"/>
  <c r="C141" s="1"/>
  <c r="AQ54" i="26"/>
  <c r="AK45"/>
  <c r="AR42"/>
  <c r="AK44"/>
  <c r="C30" i="35"/>
  <c r="C33" s="1"/>
  <c r="C408" i="30"/>
  <c r="C411" s="1"/>
  <c r="AQ62" i="26"/>
  <c r="G10" i="28"/>
  <c r="K10"/>
  <c r="J10"/>
  <c r="O9" i="34"/>
  <c r="N9"/>
  <c r="Y89" i="26"/>
  <c r="Z89"/>
  <c r="AA91"/>
  <c r="AB91"/>
  <c r="AR46"/>
  <c r="AK47"/>
  <c r="AK46"/>
  <c r="AC92"/>
  <c r="AB92"/>
  <c r="C192" i="35"/>
  <c r="C195" s="1"/>
  <c r="AQ50" i="26"/>
  <c r="C246" i="30"/>
  <c r="C249" s="1"/>
  <c r="P9" i="34" l="1"/>
  <c r="A10" s="1"/>
  <c r="N11" i="33"/>
  <c r="AK48" i="26"/>
  <c r="D192" i="35" s="1"/>
  <c r="AR50" i="26"/>
  <c r="AK51"/>
  <c r="AM51" s="1"/>
  <c r="AQ55" s="1"/>
  <c r="AK50"/>
  <c r="AE95" s="1"/>
  <c r="F10" i="29"/>
  <c r="G10" s="1"/>
  <c r="B11" i="33"/>
  <c r="C11" s="1"/>
  <c r="E11"/>
  <c r="I11"/>
  <c r="O11"/>
  <c r="D408" i="35"/>
  <c r="AK54" i="26"/>
  <c r="AE99" s="1"/>
  <c r="AL40"/>
  <c r="AM40"/>
  <c r="AQ33" s="1"/>
  <c r="AE85"/>
  <c r="AG85" s="1"/>
  <c r="D3" i="30"/>
  <c r="N9" s="1"/>
  <c r="AR62" i="26"/>
  <c r="P10" i="29"/>
  <c r="A11" s="1"/>
  <c r="D11" s="1"/>
  <c r="E13" i="27"/>
  <c r="O13"/>
  <c r="N13"/>
  <c r="B13"/>
  <c r="C13" s="1"/>
  <c r="D13"/>
  <c r="H13"/>
  <c r="F12" i="32"/>
  <c r="J12" s="1"/>
  <c r="A13"/>
  <c r="K10" i="33"/>
  <c r="L10" s="1"/>
  <c r="H11"/>
  <c r="G10"/>
  <c r="D11"/>
  <c r="AR58" i="26"/>
  <c r="AK52"/>
  <c r="AM52" s="1"/>
  <c r="AQ57" s="1"/>
  <c r="P11" i="28"/>
  <c r="A12" s="1"/>
  <c r="D12" s="1"/>
  <c r="F11"/>
  <c r="J11" s="1"/>
  <c r="AK42" i="26"/>
  <c r="AK43"/>
  <c r="AR38"/>
  <c r="L10" i="28"/>
  <c r="K12" i="27"/>
  <c r="G12"/>
  <c r="J12"/>
  <c r="D273" i="30"/>
  <c r="AN41" i="26"/>
  <c r="AR35" s="1"/>
  <c r="D246" i="35"/>
  <c r="AE91" i="26"/>
  <c r="AM46"/>
  <c r="AQ45" s="1"/>
  <c r="AL46"/>
  <c r="D165" i="30"/>
  <c r="D408"/>
  <c r="D3" i="35"/>
  <c r="AE100" i="26"/>
  <c r="AM55"/>
  <c r="AQ63" s="1"/>
  <c r="AL55"/>
  <c r="D354" i="30"/>
  <c r="D57" i="35"/>
  <c r="AE98" i="26"/>
  <c r="AL53"/>
  <c r="AM53"/>
  <c r="AQ59" s="1"/>
  <c r="O9" i="30"/>
  <c r="D219" i="35"/>
  <c r="AE92" i="26"/>
  <c r="AM47"/>
  <c r="AQ47" s="1"/>
  <c r="D192" i="30"/>
  <c r="AL47" i="26"/>
  <c r="AE94"/>
  <c r="D165" i="35"/>
  <c r="AL49" i="26"/>
  <c r="AM49"/>
  <c r="AQ51" s="1"/>
  <c r="D246" i="30"/>
  <c r="AM45" i="26"/>
  <c r="AQ43" s="1"/>
  <c r="AE90"/>
  <c r="D138" i="30"/>
  <c r="D273" i="35"/>
  <c r="AL45" i="26"/>
  <c r="AL51"/>
  <c r="D300" i="30"/>
  <c r="AE96" i="26"/>
  <c r="AH86"/>
  <c r="AG86"/>
  <c r="AL44"/>
  <c r="AM44"/>
  <c r="AQ41" s="1"/>
  <c r="D111" i="30"/>
  <c r="AE89" i="26"/>
  <c r="D300" i="35"/>
  <c r="AM54" i="26"/>
  <c r="AQ61" s="1"/>
  <c r="D381" i="30"/>
  <c r="D30" i="35"/>
  <c r="S61" i="31"/>
  <c r="R61"/>
  <c r="P11" i="33" l="1"/>
  <c r="A12" s="1"/>
  <c r="D13" i="32"/>
  <c r="AL48" i="26"/>
  <c r="AE93"/>
  <c r="AL54"/>
  <c r="AN54" s="1"/>
  <c r="AR61" s="1"/>
  <c r="AS61" s="1"/>
  <c r="D111" i="35"/>
  <c r="AL50" i="26"/>
  <c r="D138" i="35"/>
  <c r="AM50" i="26"/>
  <c r="AQ53" s="1"/>
  <c r="AM48"/>
  <c r="AQ49" s="1"/>
  <c r="D219" i="30"/>
  <c r="K10" i="29"/>
  <c r="J10"/>
  <c r="AE97" i="26"/>
  <c r="AR97" s="1"/>
  <c r="D84" i="35"/>
  <c r="D327" i="30"/>
  <c r="AL52" i="26"/>
  <c r="AN52" s="1"/>
  <c r="AR57" s="1"/>
  <c r="AS57" s="1"/>
  <c r="F11" i="33"/>
  <c r="J11" s="1"/>
  <c r="AN40" i="26"/>
  <c r="AR33" s="1"/>
  <c r="AS33" s="1"/>
  <c r="AT33" s="1"/>
  <c r="AF85"/>
  <c r="O13" i="32"/>
  <c r="I13"/>
  <c r="B13"/>
  <c r="C13" s="1"/>
  <c r="I11" i="29"/>
  <c r="K11" i="28"/>
  <c r="L11" s="1"/>
  <c r="G11"/>
  <c r="N11" i="29"/>
  <c r="O11"/>
  <c r="B11"/>
  <c r="C11" s="1"/>
  <c r="H11"/>
  <c r="E11"/>
  <c r="N12" i="28"/>
  <c r="P13" i="27"/>
  <c r="A14" s="1"/>
  <c r="E14" s="1"/>
  <c r="F13"/>
  <c r="K13" s="1"/>
  <c r="E13" i="32"/>
  <c r="K12"/>
  <c r="L12" s="1"/>
  <c r="H13"/>
  <c r="G12"/>
  <c r="N13"/>
  <c r="H12" i="28"/>
  <c r="E12"/>
  <c r="O12"/>
  <c r="AS32" i="26"/>
  <c r="AU32" s="1"/>
  <c r="B12" i="28"/>
  <c r="C12" s="1"/>
  <c r="I12"/>
  <c r="D57" i="30"/>
  <c r="D354" i="35"/>
  <c r="AE87" i="26"/>
  <c r="AM42"/>
  <c r="AQ37" s="1"/>
  <c r="AL42"/>
  <c r="AE88"/>
  <c r="D84" i="30"/>
  <c r="AL43" i="26"/>
  <c r="AM43"/>
  <c r="AQ39" s="1"/>
  <c r="D327" i="35"/>
  <c r="AN55" i="26"/>
  <c r="AR63" s="1"/>
  <c r="AS63" s="1"/>
  <c r="AU63" s="1"/>
  <c r="L12" i="27"/>
  <c r="AN53" i="26"/>
  <c r="AR59" s="1"/>
  <c r="AN45"/>
  <c r="AR43" s="1"/>
  <c r="AS43" s="1"/>
  <c r="AT43" s="1"/>
  <c r="I10" i="34"/>
  <c r="E10"/>
  <c r="B10"/>
  <c r="C10" s="1"/>
  <c r="N10"/>
  <c r="H10"/>
  <c r="O10"/>
  <c r="D10"/>
  <c r="AU33" i="26"/>
  <c r="AS35"/>
  <c r="AS34"/>
  <c r="AR96"/>
  <c r="AQ96"/>
  <c r="AN44"/>
  <c r="AR41" s="1"/>
  <c r="AN49"/>
  <c r="AR51" s="1"/>
  <c r="AN47"/>
  <c r="AR47" s="1"/>
  <c r="AL91"/>
  <c r="AM91"/>
  <c r="AT99"/>
  <c r="AU99"/>
  <c r="AJ89"/>
  <c r="AK89"/>
  <c r="N9" i="35"/>
  <c r="O9"/>
  <c r="AL90" i="26"/>
  <c r="AK90"/>
  <c r="AV100"/>
  <c r="AU100"/>
  <c r="AN46"/>
  <c r="AR45" s="1"/>
  <c r="AT98"/>
  <c r="AS98"/>
  <c r="AP95"/>
  <c r="AQ95"/>
  <c r="AN92"/>
  <c r="AM92"/>
  <c r="AN51"/>
  <c r="AR55" s="1"/>
  <c r="P9" i="30"/>
  <c r="A10" s="1"/>
  <c r="AN93" i="26"/>
  <c r="AO93"/>
  <c r="AP94"/>
  <c r="AO94"/>
  <c r="T61" i="31"/>
  <c r="Q62"/>
  <c r="P10" i="34" l="1"/>
  <c r="A11" s="1"/>
  <c r="P13" i="32"/>
  <c r="A14" s="1"/>
  <c r="E12" i="33"/>
  <c r="I12"/>
  <c r="B12"/>
  <c r="C12" s="1"/>
  <c r="H12"/>
  <c r="O12"/>
  <c r="N12"/>
  <c r="D12"/>
  <c r="AN50" i="26"/>
  <c r="AR53" s="1"/>
  <c r="AS52" s="1"/>
  <c r="K11" i="33"/>
  <c r="L11" s="1"/>
  <c r="AN48" i="26"/>
  <c r="AR49" s="1"/>
  <c r="AS48" s="1"/>
  <c r="G11" i="33"/>
  <c r="L10" i="29"/>
  <c r="AS97" i="26"/>
  <c r="AS60"/>
  <c r="AT60" s="1"/>
  <c r="F11" i="29"/>
  <c r="G11" s="1"/>
  <c r="AT32" i="26"/>
  <c r="AV32" s="1"/>
  <c r="AS53"/>
  <c r="AT53" s="1"/>
  <c r="F13" i="32"/>
  <c r="K13" s="1"/>
  <c r="AU43" i="26"/>
  <c r="AV43" s="1"/>
  <c r="AT63"/>
  <c r="AV63" s="1"/>
  <c r="F12" i="28"/>
  <c r="G12" s="1"/>
  <c r="J13" i="27"/>
  <c r="L13" s="1"/>
  <c r="G13"/>
  <c r="P11" i="29"/>
  <c r="A12" s="1"/>
  <c r="H12" s="1"/>
  <c r="O14" i="27"/>
  <c r="N14"/>
  <c r="H14"/>
  <c r="P12" i="28"/>
  <c r="A13" s="1"/>
  <c r="O13" s="1"/>
  <c r="I14" i="27"/>
  <c r="B14"/>
  <c r="C14" s="1"/>
  <c r="D14"/>
  <c r="AS56" i="26"/>
  <c r="AU56" s="1"/>
  <c r="AS42"/>
  <c r="AU42" s="1"/>
  <c r="AS62"/>
  <c r="AT62" s="1"/>
  <c r="AH87"/>
  <c r="AI87"/>
  <c r="AN42"/>
  <c r="AR37" s="1"/>
  <c r="AJ88"/>
  <c r="AI88"/>
  <c r="AN43"/>
  <c r="AR39" s="1"/>
  <c r="AV33"/>
  <c r="AS59"/>
  <c r="AS58"/>
  <c r="AS47"/>
  <c r="AS46"/>
  <c r="AT57"/>
  <c r="AU57"/>
  <c r="AS51"/>
  <c r="AS50"/>
  <c r="AS55"/>
  <c r="AS54"/>
  <c r="AT34"/>
  <c r="AU34"/>
  <c r="F10" i="34"/>
  <c r="AU52" i="26"/>
  <c r="AT52"/>
  <c r="AT35"/>
  <c r="AU35"/>
  <c r="P9" i="35"/>
  <c r="A10" s="1"/>
  <c r="N10" i="30"/>
  <c r="E10"/>
  <c r="B10"/>
  <c r="C10" s="1"/>
  <c r="I10"/>
  <c r="H10"/>
  <c r="O10"/>
  <c r="D10"/>
  <c r="AS45" i="26"/>
  <c r="AS44"/>
  <c r="AS41"/>
  <c r="AS40"/>
  <c r="AU61"/>
  <c r="AT61"/>
  <c r="R62" i="31"/>
  <c r="S62"/>
  <c r="P12" i="33" l="1"/>
  <c r="A13" s="1"/>
  <c r="N13" s="1"/>
  <c r="F12"/>
  <c r="G12" s="1"/>
  <c r="N14" i="32"/>
  <c r="AS49" i="26"/>
  <c r="AU49" s="1"/>
  <c r="AU53"/>
  <c r="AV53" s="1"/>
  <c r="AU60"/>
  <c r="AV60" s="1"/>
  <c r="J13" i="32"/>
  <c r="L13" s="1"/>
  <c r="G13"/>
  <c r="AT42" i="26"/>
  <c r="AV42" s="1"/>
  <c r="K12" i="33"/>
  <c r="J11" i="29"/>
  <c r="K11"/>
  <c r="AU62" i="26"/>
  <c r="AV62" s="1"/>
  <c r="O14" i="32"/>
  <c r="D14"/>
  <c r="I14"/>
  <c r="E14"/>
  <c r="H14"/>
  <c r="B14"/>
  <c r="C14" s="1"/>
  <c r="AT56" i="26"/>
  <c r="AV56" s="1"/>
  <c r="K12" i="28"/>
  <c r="J12"/>
  <c r="B13"/>
  <c r="C13" s="1"/>
  <c r="N13"/>
  <c r="P13" s="1"/>
  <c r="A14" s="1"/>
  <c r="O14" s="1"/>
  <c r="P14" i="27"/>
  <c r="A15" s="1"/>
  <c r="B15" s="1"/>
  <c r="C15" s="1"/>
  <c r="D12" i="29"/>
  <c r="H13" i="28"/>
  <c r="I12" i="29"/>
  <c r="I13" i="28"/>
  <c r="E12" i="29"/>
  <c r="B12"/>
  <c r="C12" s="1"/>
  <c r="O12"/>
  <c r="E13" i="28"/>
  <c r="N12" i="29"/>
  <c r="D13" i="28"/>
  <c r="F14" i="27"/>
  <c r="K14" s="1"/>
  <c r="AV57" i="26"/>
  <c r="AS39"/>
  <c r="AS38"/>
  <c r="AS36"/>
  <c r="AS37"/>
  <c r="T62" i="31"/>
  <c r="Q63" s="1"/>
  <c r="AV35" i="26"/>
  <c r="AT59"/>
  <c r="AU59"/>
  <c r="F10" i="30"/>
  <c r="G10" s="1"/>
  <c r="AT58" i="26"/>
  <c r="AU58"/>
  <c r="AU50"/>
  <c r="AT50"/>
  <c r="AU45"/>
  <c r="AT45"/>
  <c r="AT47"/>
  <c r="AU47"/>
  <c r="AV61"/>
  <c r="AV34"/>
  <c r="AT46"/>
  <c r="AU46"/>
  <c r="AU55"/>
  <c r="AT55"/>
  <c r="AT44"/>
  <c r="AU44"/>
  <c r="AU48"/>
  <c r="AT48"/>
  <c r="G10" i="34"/>
  <c r="K10"/>
  <c r="J10"/>
  <c r="AT54" i="26"/>
  <c r="AU54"/>
  <c r="AU41"/>
  <c r="AT41"/>
  <c r="D11" i="34"/>
  <c r="E11"/>
  <c r="H11"/>
  <c r="O11"/>
  <c r="B11"/>
  <c r="C11" s="1"/>
  <c r="I11"/>
  <c r="N11"/>
  <c r="P10" i="30"/>
  <c r="A11" s="1"/>
  <c r="O10" i="35"/>
  <c r="N10"/>
  <c r="E10"/>
  <c r="H10"/>
  <c r="I10"/>
  <c r="D10"/>
  <c r="B10"/>
  <c r="C10" s="1"/>
  <c r="AU51" i="26"/>
  <c r="AT51"/>
  <c r="AV52"/>
  <c r="AT40"/>
  <c r="AU40"/>
  <c r="P14" i="32" l="1"/>
  <c r="A15" s="1"/>
  <c r="H13" i="33"/>
  <c r="B13"/>
  <c r="C13" s="1"/>
  <c r="D13"/>
  <c r="I13"/>
  <c r="E13"/>
  <c r="O13"/>
  <c r="P13" s="1"/>
  <c r="A14" s="1"/>
  <c r="J12"/>
  <c r="L12" s="1"/>
  <c r="P11" i="34"/>
  <c r="A12" s="1"/>
  <c r="AT49" i="26"/>
  <c r="L11" i="29"/>
  <c r="F14" i="32"/>
  <c r="J14" s="1"/>
  <c r="N15" i="27"/>
  <c r="L12" i="28"/>
  <c r="B14"/>
  <c r="C14" s="1"/>
  <c r="D14"/>
  <c r="E14"/>
  <c r="I14"/>
  <c r="I15" i="27"/>
  <c r="N14" i="28"/>
  <c r="P14" s="1"/>
  <c r="A15" s="1"/>
  <c r="H15" s="1"/>
  <c r="H14"/>
  <c r="H15" i="27"/>
  <c r="O15"/>
  <c r="D15"/>
  <c r="F12" i="29"/>
  <c r="J12" s="1"/>
  <c r="E15" i="27"/>
  <c r="F13" i="28"/>
  <c r="K13" s="1"/>
  <c r="P12" i="29"/>
  <c r="A13" s="1"/>
  <c r="G14" i="27"/>
  <c r="J14"/>
  <c r="L14" s="1"/>
  <c r="J10" i="30"/>
  <c r="K10"/>
  <c r="AV47" i="26"/>
  <c r="AV44"/>
  <c r="AV48"/>
  <c r="AU39"/>
  <c r="AT39"/>
  <c r="AT38"/>
  <c r="AU38"/>
  <c r="AT36"/>
  <c r="AU36"/>
  <c r="AT37"/>
  <c r="AU37"/>
  <c r="AV41"/>
  <c r="AV58"/>
  <c r="AV59"/>
  <c r="AV49"/>
  <c r="AV45"/>
  <c r="AV51"/>
  <c r="AV40"/>
  <c r="L10" i="34"/>
  <c r="AV54" i="26"/>
  <c r="O11" i="30"/>
  <c r="D11"/>
  <c r="N11"/>
  <c r="H11"/>
  <c r="E11"/>
  <c r="I11"/>
  <c r="B11"/>
  <c r="C11" s="1"/>
  <c r="AV50" i="26"/>
  <c r="F10" i="35"/>
  <c r="G10" s="1"/>
  <c r="AV55" i="26"/>
  <c r="F11" i="34"/>
  <c r="P10" i="35"/>
  <c r="A11" s="1"/>
  <c r="AV46" i="26"/>
  <c r="S63" i="31"/>
  <c r="R63"/>
  <c r="F13" i="33" l="1"/>
  <c r="G13" s="1"/>
  <c r="H15" i="32"/>
  <c r="E15"/>
  <c r="B15"/>
  <c r="C15" s="1"/>
  <c r="O15"/>
  <c r="P15" s="1"/>
  <c r="A16" s="1"/>
  <c r="D15"/>
  <c r="N15"/>
  <c r="I15"/>
  <c r="E14" i="33"/>
  <c r="G14" i="32"/>
  <c r="K14"/>
  <c r="L14" s="1"/>
  <c r="P15" i="27"/>
  <c r="A16" s="1"/>
  <c r="B16" s="1"/>
  <c r="C16" s="1"/>
  <c r="D14" i="33"/>
  <c r="H14"/>
  <c r="I14"/>
  <c r="O14"/>
  <c r="B14"/>
  <c r="C14" s="1"/>
  <c r="N14"/>
  <c r="O15" i="28"/>
  <c r="E15"/>
  <c r="B15"/>
  <c r="C15" s="1"/>
  <c r="F14"/>
  <c r="K14" s="1"/>
  <c r="D15"/>
  <c r="F15" i="27"/>
  <c r="G15" s="1"/>
  <c r="I15" i="28"/>
  <c r="N15"/>
  <c r="J13"/>
  <c r="L13" s="1"/>
  <c r="G12" i="29"/>
  <c r="K12"/>
  <c r="L12" s="1"/>
  <c r="G13" i="28"/>
  <c r="L10" i="30"/>
  <c r="H13" i="29"/>
  <c r="N13"/>
  <c r="O13"/>
  <c r="B13"/>
  <c r="C13" s="1"/>
  <c r="E13"/>
  <c r="D13"/>
  <c r="I13"/>
  <c r="AV36" i="26"/>
  <c r="AV37"/>
  <c r="AV38"/>
  <c r="AV39"/>
  <c r="P11" i="30"/>
  <c r="A12" s="1"/>
  <c r="D12" s="1"/>
  <c r="F11"/>
  <c r="G11" s="1"/>
  <c r="G11" i="34"/>
  <c r="J11"/>
  <c r="J10" i="35"/>
  <c r="N11"/>
  <c r="B11"/>
  <c r="C11" s="1"/>
  <c r="H11"/>
  <c r="D11"/>
  <c r="E11"/>
  <c r="O11"/>
  <c r="I11"/>
  <c r="K10"/>
  <c r="I12" i="34"/>
  <c r="E12"/>
  <c r="O12"/>
  <c r="H12"/>
  <c r="D12"/>
  <c r="N12"/>
  <c r="B12"/>
  <c r="C12" s="1"/>
  <c r="K11"/>
  <c r="T63" i="31"/>
  <c r="Q64" s="1"/>
  <c r="K13" i="33" l="1"/>
  <c r="J13"/>
  <c r="P14"/>
  <c r="A15" s="1"/>
  <c r="F15" i="32"/>
  <c r="G15" s="1"/>
  <c r="P12" i="34"/>
  <c r="A13" s="1"/>
  <c r="B16" i="32"/>
  <c r="C16" s="1"/>
  <c r="F14" i="33"/>
  <c r="J14" s="1"/>
  <c r="H16" i="32"/>
  <c r="N16"/>
  <c r="D16"/>
  <c r="I16"/>
  <c r="O16"/>
  <c r="E16"/>
  <c r="N16" i="27"/>
  <c r="I16"/>
  <c r="O16"/>
  <c r="H16"/>
  <c r="E16"/>
  <c r="D16"/>
  <c r="J15"/>
  <c r="K15"/>
  <c r="P15" i="28"/>
  <c r="A16" s="1"/>
  <c r="B16" s="1"/>
  <c r="C16" s="1"/>
  <c r="F15"/>
  <c r="J15" s="1"/>
  <c r="G14"/>
  <c r="J14"/>
  <c r="L14" s="1"/>
  <c r="P13" i="29"/>
  <c r="A14" s="1"/>
  <c r="H14" s="1"/>
  <c r="F13"/>
  <c r="B12" i="30"/>
  <c r="C12" s="1"/>
  <c r="E12"/>
  <c r="N12"/>
  <c r="H12"/>
  <c r="O12"/>
  <c r="I12"/>
  <c r="J11"/>
  <c r="K11"/>
  <c r="L10" i="35"/>
  <c r="L11" i="34"/>
  <c r="F12"/>
  <c r="P11" i="35"/>
  <c r="A12" s="1"/>
  <c r="F11"/>
  <c r="G11" s="1"/>
  <c r="R64" i="31"/>
  <c r="S64"/>
  <c r="L13" i="33" l="1"/>
  <c r="J15" i="32"/>
  <c r="K15"/>
  <c r="P16"/>
  <c r="A17" s="1"/>
  <c r="N15" i="33"/>
  <c r="K14"/>
  <c r="L14" s="1"/>
  <c r="G14"/>
  <c r="F16" i="32"/>
  <c r="G16" s="1"/>
  <c r="P16" i="27"/>
  <c r="A17" s="1"/>
  <c r="D17" s="1"/>
  <c r="L15"/>
  <c r="F16"/>
  <c r="G16" s="1"/>
  <c r="B15" i="33"/>
  <c r="C15" s="1"/>
  <c r="E15"/>
  <c r="I15"/>
  <c r="O15"/>
  <c r="H15"/>
  <c r="D15"/>
  <c r="I16" i="28"/>
  <c r="O16"/>
  <c r="D16"/>
  <c r="H16"/>
  <c r="N16"/>
  <c r="E16"/>
  <c r="T64" i="31"/>
  <c r="Q65" s="1"/>
  <c r="R65" s="1"/>
  <c r="K15" i="28"/>
  <c r="L15" s="1"/>
  <c r="G15"/>
  <c r="F12" i="30"/>
  <c r="G12" s="1"/>
  <c r="B14" i="29"/>
  <c r="C14" s="1"/>
  <c r="K13"/>
  <c r="J13"/>
  <c r="G13"/>
  <c r="O14"/>
  <c r="E14"/>
  <c r="N14"/>
  <c r="D14"/>
  <c r="I14"/>
  <c r="L11" i="30"/>
  <c r="P12"/>
  <c r="A13" s="1"/>
  <c r="O13" s="1"/>
  <c r="K11" i="35"/>
  <c r="J11"/>
  <c r="I12"/>
  <c r="D12"/>
  <c r="E12"/>
  <c r="O12"/>
  <c r="N12"/>
  <c r="B12"/>
  <c r="C12" s="1"/>
  <c r="H12"/>
  <c r="G12" i="34"/>
  <c r="J12"/>
  <c r="K12"/>
  <c r="N13"/>
  <c r="H13"/>
  <c r="D13"/>
  <c r="B13"/>
  <c r="C13" s="1"/>
  <c r="E13"/>
  <c r="I13"/>
  <c r="O13"/>
  <c r="L15" i="32" l="1"/>
  <c r="P15" i="33"/>
  <c r="A16" s="1"/>
  <c r="N16" s="1"/>
  <c r="P13" i="34"/>
  <c r="A14" s="1"/>
  <c r="B17" i="32"/>
  <c r="C17" s="1"/>
  <c r="S65" i="31"/>
  <c r="T65" s="1"/>
  <c r="K16" i="32"/>
  <c r="J16"/>
  <c r="O17"/>
  <c r="I17"/>
  <c r="N17"/>
  <c r="D17"/>
  <c r="E17"/>
  <c r="H17"/>
  <c r="I17" i="27"/>
  <c r="E17"/>
  <c r="H17"/>
  <c r="O17"/>
  <c r="B17"/>
  <c r="C17" s="1"/>
  <c r="N17"/>
  <c r="K16"/>
  <c r="J16"/>
  <c r="F15" i="33"/>
  <c r="G15" s="1"/>
  <c r="F16" i="28"/>
  <c r="G16" s="1"/>
  <c r="P16"/>
  <c r="A17" s="1"/>
  <c r="E17" s="1"/>
  <c r="K12" i="30"/>
  <c r="J12"/>
  <c r="F14" i="29"/>
  <c r="G14" s="1"/>
  <c r="L13"/>
  <c r="P14"/>
  <c r="A15" s="1"/>
  <c r="N13" i="30"/>
  <c r="P13" s="1"/>
  <c r="A14" s="1"/>
  <c r="H14" s="1"/>
  <c r="B13"/>
  <c r="C13" s="1"/>
  <c r="H13"/>
  <c r="I13"/>
  <c r="E13"/>
  <c r="D13"/>
  <c r="L12" i="34"/>
  <c r="F12" i="35"/>
  <c r="G12" s="1"/>
  <c r="L11"/>
  <c r="F13" i="34"/>
  <c r="G13" s="1"/>
  <c r="P12" i="35"/>
  <c r="A13" s="1"/>
  <c r="P17" i="32" l="1"/>
  <c r="A18" s="1"/>
  <c r="I14" i="34"/>
  <c r="H16" i="33"/>
  <c r="I16"/>
  <c r="E16"/>
  <c r="B16"/>
  <c r="C16" s="1"/>
  <c r="D16"/>
  <c r="O16"/>
  <c r="P16" s="1"/>
  <c r="A17" s="1"/>
  <c r="L16" i="32"/>
  <c r="F17"/>
  <c r="J17" s="1"/>
  <c r="F17" i="27"/>
  <c r="K17" s="1"/>
  <c r="K15" i="33"/>
  <c r="P17" i="27"/>
  <c r="A18" s="1"/>
  <c r="I18" s="1"/>
  <c r="L16"/>
  <c r="J15" i="33"/>
  <c r="J16" i="28"/>
  <c r="K16"/>
  <c r="O17"/>
  <c r="H17"/>
  <c r="I17"/>
  <c r="N17"/>
  <c r="D17"/>
  <c r="B17"/>
  <c r="C17" s="1"/>
  <c r="L12" i="30"/>
  <c r="J14" i="29"/>
  <c r="K14"/>
  <c r="E15"/>
  <c r="D15"/>
  <c r="B15"/>
  <c r="C15" s="1"/>
  <c r="O15"/>
  <c r="H15"/>
  <c r="N15"/>
  <c r="I15"/>
  <c r="F13" i="30"/>
  <c r="G13" s="1"/>
  <c r="D14"/>
  <c r="O14"/>
  <c r="B14"/>
  <c r="C14" s="1"/>
  <c r="I14"/>
  <c r="E14"/>
  <c r="N14"/>
  <c r="J12" i="35"/>
  <c r="O14" i="34"/>
  <c r="K13"/>
  <c r="N14"/>
  <c r="D14"/>
  <c r="H14"/>
  <c r="K12" i="35"/>
  <c r="B14" i="34"/>
  <c r="C14" s="1"/>
  <c r="E14"/>
  <c r="J13"/>
  <c r="D13" i="35"/>
  <c r="N13"/>
  <c r="O13"/>
  <c r="H13"/>
  <c r="E13"/>
  <c r="B13"/>
  <c r="C13" s="1"/>
  <c r="I13"/>
  <c r="F16" i="33" l="1"/>
  <c r="K16" s="1"/>
  <c r="P14" i="34"/>
  <c r="A15" s="1"/>
  <c r="D18" i="32"/>
  <c r="I17" i="33"/>
  <c r="N17"/>
  <c r="H17"/>
  <c r="O17"/>
  <c r="E17"/>
  <c r="D17"/>
  <c r="B17"/>
  <c r="C17" s="1"/>
  <c r="I18" i="32"/>
  <c r="E18"/>
  <c r="H18"/>
  <c r="K17"/>
  <c r="L17" s="1"/>
  <c r="O18"/>
  <c r="B18"/>
  <c r="C18" s="1"/>
  <c r="N18"/>
  <c r="G17"/>
  <c r="J17" i="27"/>
  <c r="L17" s="1"/>
  <c r="G17"/>
  <c r="O18"/>
  <c r="N18"/>
  <c r="L15" i="33"/>
  <c r="D18" i="27"/>
  <c r="H18"/>
  <c r="B18"/>
  <c r="C18" s="1"/>
  <c r="E18"/>
  <c r="L16" i="28"/>
  <c r="F17"/>
  <c r="G17" s="1"/>
  <c r="P17"/>
  <c r="A18" s="1"/>
  <c r="O18" s="1"/>
  <c r="K13" i="30"/>
  <c r="L13" i="34"/>
  <c r="L14" i="29"/>
  <c r="P15"/>
  <c r="A16" s="1"/>
  <c r="H16" s="1"/>
  <c r="F14" i="30"/>
  <c r="G14" s="1"/>
  <c r="F15" i="29"/>
  <c r="P14" i="30"/>
  <c r="A15" s="1"/>
  <c r="H15" s="1"/>
  <c r="J13"/>
  <c r="L12" i="35"/>
  <c r="F14" i="34"/>
  <c r="K14" s="1"/>
  <c r="P13" i="35"/>
  <c r="A14" s="1"/>
  <c r="N14" s="1"/>
  <c r="F13"/>
  <c r="G13" s="1"/>
  <c r="G16" i="33" l="1"/>
  <c r="J16"/>
  <c r="L16" s="1"/>
  <c r="P18" i="32"/>
  <c r="A19" s="1"/>
  <c r="P17" i="33"/>
  <c r="A18" s="1"/>
  <c r="N15" i="34"/>
  <c r="F17" i="33"/>
  <c r="J17" s="1"/>
  <c r="F18" i="32"/>
  <c r="G18" s="1"/>
  <c r="P18" i="27"/>
  <c r="A19" s="1"/>
  <c r="E19" s="1"/>
  <c r="F18"/>
  <c r="K18" s="1"/>
  <c r="I15" i="34"/>
  <c r="H15"/>
  <c r="B15"/>
  <c r="C15" s="1"/>
  <c r="E18" i="28"/>
  <c r="B18"/>
  <c r="C18" s="1"/>
  <c r="L13" i="30"/>
  <c r="K17" i="28"/>
  <c r="H18"/>
  <c r="I18"/>
  <c r="J17"/>
  <c r="D18"/>
  <c r="N18"/>
  <c r="P18" s="1"/>
  <c r="A19" s="1"/>
  <c r="B15" i="30"/>
  <c r="C15" s="1"/>
  <c r="N15"/>
  <c r="J14"/>
  <c r="O15" i="34"/>
  <c r="E15"/>
  <c r="D15"/>
  <c r="B14" i="35"/>
  <c r="C14" s="1"/>
  <c r="G14" i="34"/>
  <c r="J14"/>
  <c r="L14" s="1"/>
  <c r="O15" i="30"/>
  <c r="K14"/>
  <c r="N16" i="29"/>
  <c r="O16"/>
  <c r="B16"/>
  <c r="C16" s="1"/>
  <c r="E16"/>
  <c r="I16"/>
  <c r="D16"/>
  <c r="I15" i="30"/>
  <c r="D15"/>
  <c r="J15" i="29"/>
  <c r="G15"/>
  <c r="K15"/>
  <c r="E15" i="30"/>
  <c r="O14" i="35"/>
  <c r="P14" s="1"/>
  <c r="A15" s="1"/>
  <c r="H14"/>
  <c r="E14"/>
  <c r="D14"/>
  <c r="I14"/>
  <c r="J13"/>
  <c r="K13"/>
  <c r="P15" i="34" l="1"/>
  <c r="A16" s="1"/>
  <c r="E16" s="1"/>
  <c r="O19" i="32"/>
  <c r="B18" i="33"/>
  <c r="C18" s="1"/>
  <c r="N18"/>
  <c r="O18"/>
  <c r="H18"/>
  <c r="I18"/>
  <c r="D18"/>
  <c r="E18"/>
  <c r="K17"/>
  <c r="L17" s="1"/>
  <c r="G17"/>
  <c r="I19" i="32"/>
  <c r="I30" s="1"/>
  <c r="B19"/>
  <c r="C19" s="1"/>
  <c r="D19"/>
  <c r="K18"/>
  <c r="E19"/>
  <c r="J18"/>
  <c r="H19"/>
  <c r="H30" s="1"/>
  <c r="F6"/>
  <c r="A23" s="1"/>
  <c r="B23" s="1"/>
  <c r="C23" s="1"/>
  <c r="N19"/>
  <c r="AB36" s="1"/>
  <c r="B19" i="27"/>
  <c r="C19" s="1"/>
  <c r="I19"/>
  <c r="I30" s="1"/>
  <c r="D19"/>
  <c r="N19"/>
  <c r="AB36" s="1"/>
  <c r="O19"/>
  <c r="H19"/>
  <c r="H30" s="1"/>
  <c r="F6"/>
  <c r="A23" s="1"/>
  <c r="A24" s="1"/>
  <c r="H24" s="1"/>
  <c r="T5" s="1"/>
  <c r="J18"/>
  <c r="L18" s="1"/>
  <c r="G18"/>
  <c r="F15" i="34"/>
  <c r="G15" s="1"/>
  <c r="F18" i="28"/>
  <c r="K18" s="1"/>
  <c r="L17"/>
  <c r="E19"/>
  <c r="N19"/>
  <c r="AB36" s="1"/>
  <c r="O19"/>
  <c r="H19"/>
  <c r="H30" s="1"/>
  <c r="I19"/>
  <c r="I30" s="1"/>
  <c r="F6"/>
  <c r="D19"/>
  <c r="B19"/>
  <c r="C19" s="1"/>
  <c r="P15" i="30"/>
  <c r="A16" s="1"/>
  <c r="I16" s="1"/>
  <c r="L14"/>
  <c r="F14" i="35"/>
  <c r="J14" s="1"/>
  <c r="P16" i="29"/>
  <c r="A17" s="1"/>
  <c r="I17" s="1"/>
  <c r="F15" i="30"/>
  <c r="K15" s="1"/>
  <c r="F16" i="29"/>
  <c r="G16" s="1"/>
  <c r="L15"/>
  <c r="H15" i="35"/>
  <c r="I15"/>
  <c r="B15"/>
  <c r="C15" s="1"/>
  <c r="O15"/>
  <c r="D15"/>
  <c r="E15"/>
  <c r="L13"/>
  <c r="N15"/>
  <c r="P18" i="33" l="1"/>
  <c r="A19" s="1"/>
  <c r="P19" i="32"/>
  <c r="B16" i="34"/>
  <c r="C16" s="1"/>
  <c r="N16"/>
  <c r="D16"/>
  <c r="O16"/>
  <c r="I16"/>
  <c r="H16"/>
  <c r="F18" i="33"/>
  <c r="G18" s="1"/>
  <c r="E23" i="32"/>
  <c r="A24"/>
  <c r="I24" s="1"/>
  <c r="U5" s="1"/>
  <c r="D23"/>
  <c r="H23"/>
  <c r="T4" s="1"/>
  <c r="I23"/>
  <c r="U4" s="1"/>
  <c r="L18"/>
  <c r="F19"/>
  <c r="J19" s="1"/>
  <c r="K14" i="35"/>
  <c r="L14" s="1"/>
  <c r="B23" i="27"/>
  <c r="C23" s="1"/>
  <c r="B24"/>
  <c r="C24" s="1"/>
  <c r="I24"/>
  <c r="U5" s="1"/>
  <c r="E23"/>
  <c r="I23"/>
  <c r="U4" s="1"/>
  <c r="F19"/>
  <c r="J19" s="1"/>
  <c r="J30" s="1"/>
  <c r="E24"/>
  <c r="A25"/>
  <c r="D25" s="1"/>
  <c r="P19"/>
  <c r="D24"/>
  <c r="H23"/>
  <c r="T4" s="1"/>
  <c r="D23"/>
  <c r="G14" i="35"/>
  <c r="J15" i="34"/>
  <c r="F15" i="35"/>
  <c r="J15" s="1"/>
  <c r="K15" i="34"/>
  <c r="J18" i="28"/>
  <c r="L18" s="1"/>
  <c r="G18"/>
  <c r="G15" i="30"/>
  <c r="P19" i="28"/>
  <c r="F19"/>
  <c r="K19" s="1"/>
  <c r="K30" s="1"/>
  <c r="B16" i="30"/>
  <c r="C16" s="1"/>
  <c r="D16"/>
  <c r="H16"/>
  <c r="N16"/>
  <c r="O16"/>
  <c r="E16"/>
  <c r="J15"/>
  <c r="L15" s="1"/>
  <c r="K16" i="29"/>
  <c r="H17"/>
  <c r="B17"/>
  <c r="C17" s="1"/>
  <c r="J16"/>
  <c r="N17"/>
  <c r="E17"/>
  <c r="O17"/>
  <c r="D17"/>
  <c r="P15" i="35"/>
  <c r="A16" s="1"/>
  <c r="I16" s="1"/>
  <c r="F16" i="34" l="1"/>
  <c r="G16" s="1"/>
  <c r="P16"/>
  <c r="A17" s="1"/>
  <c r="E17" s="1"/>
  <c r="E19" i="33"/>
  <c r="K18"/>
  <c r="J18"/>
  <c r="N19"/>
  <c r="AB36" s="1"/>
  <c r="I19"/>
  <c r="I30" s="1"/>
  <c r="H19"/>
  <c r="H30" s="1"/>
  <c r="F6"/>
  <c r="A23" s="1"/>
  <c r="E23" s="1"/>
  <c r="O19"/>
  <c r="B19"/>
  <c r="C19" s="1"/>
  <c r="D19"/>
  <c r="F23" i="32"/>
  <c r="G23" s="1"/>
  <c r="E24"/>
  <c r="H24"/>
  <c r="T5" s="1"/>
  <c r="A25"/>
  <c r="I25" s="1"/>
  <c r="U6" s="1"/>
  <c r="B24"/>
  <c r="C24" s="1"/>
  <c r="D24"/>
  <c r="G19"/>
  <c r="K19"/>
  <c r="K30" s="1"/>
  <c r="K15" i="35"/>
  <c r="L15" s="1"/>
  <c r="G15"/>
  <c r="J30" i="32"/>
  <c r="H25" i="27"/>
  <c r="T6" s="1"/>
  <c r="F23"/>
  <c r="G23" s="1"/>
  <c r="E25"/>
  <c r="B25"/>
  <c r="C25" s="1"/>
  <c r="F24"/>
  <c r="K24" s="1"/>
  <c r="I25"/>
  <c r="U6" s="1"/>
  <c r="A26"/>
  <c r="E26" s="1"/>
  <c r="K19"/>
  <c r="K30" s="1"/>
  <c r="D33" s="1"/>
  <c r="G19"/>
  <c r="K16" i="34"/>
  <c r="L15"/>
  <c r="L16" i="29"/>
  <c r="J19" i="28"/>
  <c r="G19"/>
  <c r="F16" i="30"/>
  <c r="G16" s="1"/>
  <c r="P16"/>
  <c r="A17" s="1"/>
  <c r="N17" s="1"/>
  <c r="F17" i="29"/>
  <c r="K17" s="1"/>
  <c r="P17"/>
  <c r="A18" s="1"/>
  <c r="B18" s="1"/>
  <c r="C18" s="1"/>
  <c r="D16" i="35"/>
  <c r="B16"/>
  <c r="C16" s="1"/>
  <c r="E16"/>
  <c r="O16"/>
  <c r="H16"/>
  <c r="N16"/>
  <c r="J16" i="34" l="1"/>
  <c r="L16" s="1"/>
  <c r="H17"/>
  <c r="O17"/>
  <c r="I17"/>
  <c r="B17"/>
  <c r="C17" s="1"/>
  <c r="D17"/>
  <c r="N17"/>
  <c r="P19" i="33"/>
  <c r="A24"/>
  <c r="H24" s="1"/>
  <c r="T5" s="1"/>
  <c r="I23"/>
  <c r="U4" s="1"/>
  <c r="L18"/>
  <c r="D23"/>
  <c r="E25" i="32"/>
  <c r="H23" i="33"/>
  <c r="T4" s="1"/>
  <c r="F19"/>
  <c r="G19" s="1"/>
  <c r="B23"/>
  <c r="C23" s="1"/>
  <c r="J23" i="32"/>
  <c r="K23"/>
  <c r="F24"/>
  <c r="J24" s="1"/>
  <c r="B25"/>
  <c r="C25" s="1"/>
  <c r="A26"/>
  <c r="D26" s="1"/>
  <c r="H25"/>
  <c r="T6" s="1"/>
  <c r="D25"/>
  <c r="L19"/>
  <c r="E33"/>
  <c r="D33"/>
  <c r="K23" i="27"/>
  <c r="F25"/>
  <c r="G25" s="1"/>
  <c r="J23"/>
  <c r="J24"/>
  <c r="L24" s="1"/>
  <c r="G24"/>
  <c r="B26"/>
  <c r="C26" s="1"/>
  <c r="I26"/>
  <c r="U7" s="1"/>
  <c r="D26"/>
  <c r="A27"/>
  <c r="B27" s="1"/>
  <c r="C27" s="1"/>
  <c r="H26"/>
  <c r="T7" s="1"/>
  <c r="L19"/>
  <c r="E33"/>
  <c r="G33" s="1"/>
  <c r="I33" s="1"/>
  <c r="J17" i="29"/>
  <c r="L17" s="1"/>
  <c r="G17"/>
  <c r="O17" i="30"/>
  <c r="P17" s="1"/>
  <c r="A18" s="1"/>
  <c r="E18" s="1"/>
  <c r="I17"/>
  <c r="E17"/>
  <c r="H17"/>
  <c r="B17"/>
  <c r="C17" s="1"/>
  <c r="K16"/>
  <c r="J30" i="28"/>
  <c r="L19"/>
  <c r="D17" i="30"/>
  <c r="J16"/>
  <c r="O18" i="29"/>
  <c r="D18"/>
  <c r="H18"/>
  <c r="E18"/>
  <c r="I18"/>
  <c r="N18"/>
  <c r="F16" i="35"/>
  <c r="P16"/>
  <c r="A17" s="1"/>
  <c r="P17" i="34" l="1"/>
  <c r="A18" s="1"/>
  <c r="N18" s="1"/>
  <c r="F17"/>
  <c r="G17" s="1"/>
  <c r="G24" i="32"/>
  <c r="A25" i="33"/>
  <c r="H25" s="1"/>
  <c r="T6" s="1"/>
  <c r="I24"/>
  <c r="U5" s="1"/>
  <c r="B24"/>
  <c r="C24" s="1"/>
  <c r="D24"/>
  <c r="F23"/>
  <c r="G23" s="1"/>
  <c r="E24"/>
  <c r="J19"/>
  <c r="J30" s="1"/>
  <c r="K19"/>
  <c r="L23" i="32"/>
  <c r="K24"/>
  <c r="L24" s="1"/>
  <c r="F25"/>
  <c r="G25" s="1"/>
  <c r="B26"/>
  <c r="C26" s="1"/>
  <c r="E26"/>
  <c r="I26"/>
  <c r="U7" s="1"/>
  <c r="A27"/>
  <c r="I27" s="1"/>
  <c r="U8" s="1"/>
  <c r="H26"/>
  <c r="T7" s="1"/>
  <c r="K33"/>
  <c r="A36"/>
  <c r="A49"/>
  <c r="H33"/>
  <c r="J33"/>
  <c r="G33"/>
  <c r="I33" s="1"/>
  <c r="K25" i="27"/>
  <c r="L23"/>
  <c r="J25"/>
  <c r="H27"/>
  <c r="T8" s="1"/>
  <c r="I27"/>
  <c r="U8" s="1"/>
  <c r="F26"/>
  <c r="J26" s="1"/>
  <c r="E27"/>
  <c r="D27"/>
  <c r="K33"/>
  <c r="H33"/>
  <c r="A36"/>
  <c r="J33"/>
  <c r="A49"/>
  <c r="P18" i="29"/>
  <c r="A19" s="1"/>
  <c r="E19" s="1"/>
  <c r="F17" i="30"/>
  <c r="G17" s="1"/>
  <c r="D18"/>
  <c r="I18"/>
  <c r="B18"/>
  <c r="C18" s="1"/>
  <c r="N18"/>
  <c r="H18"/>
  <c r="O18"/>
  <c r="L16"/>
  <c r="E33" i="28"/>
  <c r="D33"/>
  <c r="F18" i="29"/>
  <c r="J18" s="1"/>
  <c r="J16" i="35"/>
  <c r="G16"/>
  <c r="K16"/>
  <c r="I17"/>
  <c r="E17"/>
  <c r="H17"/>
  <c r="N17"/>
  <c r="O17"/>
  <c r="D17"/>
  <c r="B17"/>
  <c r="O18" i="34" l="1"/>
  <c r="P18" s="1"/>
  <c r="A19" s="1"/>
  <c r="J17"/>
  <c r="B18"/>
  <c r="C18" s="1"/>
  <c r="D18"/>
  <c r="E18"/>
  <c r="I18"/>
  <c r="H18"/>
  <c r="K17"/>
  <c r="F24" i="33"/>
  <c r="J24" s="1"/>
  <c r="J23"/>
  <c r="E25"/>
  <c r="K23"/>
  <c r="I25"/>
  <c r="U6" s="1"/>
  <c r="B25"/>
  <c r="C25" s="1"/>
  <c r="A26"/>
  <c r="A27" s="1"/>
  <c r="D27" s="1"/>
  <c r="D25"/>
  <c r="K30"/>
  <c r="L19"/>
  <c r="K25" i="32"/>
  <c r="J25"/>
  <c r="F26"/>
  <c r="G26" s="1"/>
  <c r="E27"/>
  <c r="H27"/>
  <c r="T8" s="1"/>
  <c r="D27"/>
  <c r="B27"/>
  <c r="C27" s="1"/>
  <c r="O36"/>
  <c r="D36"/>
  <c r="E36"/>
  <c r="N36"/>
  <c r="I36"/>
  <c r="B36"/>
  <c r="C36" s="1"/>
  <c r="H36"/>
  <c r="H49"/>
  <c r="T9" s="1"/>
  <c r="I49"/>
  <c r="U9" s="1"/>
  <c r="D49"/>
  <c r="B49"/>
  <c r="C49" s="1"/>
  <c r="E49"/>
  <c r="L25" i="27"/>
  <c r="I49"/>
  <c r="U9" s="1"/>
  <c r="G26"/>
  <c r="K26"/>
  <c r="L26" s="1"/>
  <c r="F27"/>
  <c r="G27" s="1"/>
  <c r="N36"/>
  <c r="O36"/>
  <c r="I36"/>
  <c r="D36"/>
  <c r="E36"/>
  <c r="B36"/>
  <c r="C36" s="1"/>
  <c r="E49"/>
  <c r="B49"/>
  <c r="C49" s="1"/>
  <c r="D49"/>
  <c r="H36"/>
  <c r="H49"/>
  <c r="T9" s="1"/>
  <c r="P17" i="35"/>
  <c r="A18" s="1"/>
  <c r="B18" s="1"/>
  <c r="C18" s="1"/>
  <c r="K17" i="30"/>
  <c r="I19" i="29"/>
  <c r="I30" s="1"/>
  <c r="N19"/>
  <c r="J17" i="30"/>
  <c r="O19" i="29"/>
  <c r="F6"/>
  <c r="A23" s="1"/>
  <c r="A24" s="1"/>
  <c r="B19"/>
  <c r="C19" s="1"/>
  <c r="D19"/>
  <c r="H19"/>
  <c r="H30" s="1"/>
  <c r="P18" i="30"/>
  <c r="A19" s="1"/>
  <c r="I19" s="1"/>
  <c r="I30" s="1"/>
  <c r="F18"/>
  <c r="J18" s="1"/>
  <c r="G18" i="29"/>
  <c r="K18"/>
  <c r="L18" s="1"/>
  <c r="G33" i="28"/>
  <c r="I33" s="1"/>
  <c r="A36"/>
  <c r="J33"/>
  <c r="A49"/>
  <c r="H33"/>
  <c r="K33"/>
  <c r="L16" i="35"/>
  <c r="C17"/>
  <c r="F17" s="1"/>
  <c r="L17" i="34" l="1"/>
  <c r="F18"/>
  <c r="J18" s="1"/>
  <c r="P36" i="32"/>
  <c r="A37" s="1"/>
  <c r="I19" i="34"/>
  <c r="I30" s="1"/>
  <c r="K24" i="33"/>
  <c r="L24" s="1"/>
  <c r="G24"/>
  <c r="E27"/>
  <c r="B27"/>
  <c r="C27" s="1"/>
  <c r="I27"/>
  <c r="U8" s="1"/>
  <c r="E26"/>
  <c r="D26"/>
  <c r="B26"/>
  <c r="C26" s="1"/>
  <c r="H27"/>
  <c r="T8" s="1"/>
  <c r="L23"/>
  <c r="F25"/>
  <c r="J25" s="1"/>
  <c r="H19" i="34"/>
  <c r="H30" s="1"/>
  <c r="H26" i="33"/>
  <c r="T7" s="1"/>
  <c r="I26"/>
  <c r="U7" s="1"/>
  <c r="E19" i="34"/>
  <c r="N19"/>
  <c r="D33" i="33"/>
  <c r="E33"/>
  <c r="K26" i="32"/>
  <c r="L25"/>
  <c r="J26"/>
  <c r="B19" i="34"/>
  <c r="C19" s="1"/>
  <c r="D19"/>
  <c r="O19"/>
  <c r="F6"/>
  <c r="A23" s="1"/>
  <c r="A24" s="1"/>
  <c r="F27" i="32"/>
  <c r="G27" s="1"/>
  <c r="H18" i="35"/>
  <c r="D18"/>
  <c r="F49" i="32"/>
  <c r="F36"/>
  <c r="J27" i="27"/>
  <c r="K27"/>
  <c r="P36"/>
  <c r="A37" s="1"/>
  <c r="F36"/>
  <c r="F49"/>
  <c r="I23" i="29"/>
  <c r="U4" s="1"/>
  <c r="D23"/>
  <c r="E23"/>
  <c r="H23"/>
  <c r="T4" s="1"/>
  <c r="B23"/>
  <c r="C23" s="1"/>
  <c r="F19"/>
  <c r="J19" s="1"/>
  <c r="I18" i="35"/>
  <c r="E18"/>
  <c r="O18"/>
  <c r="N18"/>
  <c r="P19" i="29"/>
  <c r="B19" i="30"/>
  <c r="C19" s="1"/>
  <c r="H19"/>
  <c r="H30" s="1"/>
  <c r="L17"/>
  <c r="E19"/>
  <c r="N19"/>
  <c r="AB36" s="1"/>
  <c r="D19"/>
  <c r="AB36" i="29"/>
  <c r="F6" i="30"/>
  <c r="O19"/>
  <c r="K18"/>
  <c r="L18" s="1"/>
  <c r="G18"/>
  <c r="N36" i="28"/>
  <c r="E36"/>
  <c r="D36"/>
  <c r="B36"/>
  <c r="C36" s="1"/>
  <c r="H49"/>
  <c r="T9" s="1"/>
  <c r="B49"/>
  <c r="C49" s="1"/>
  <c r="D49"/>
  <c r="E49"/>
  <c r="I36"/>
  <c r="H36"/>
  <c r="O36"/>
  <c r="I49"/>
  <c r="U9" s="1"/>
  <c r="H24" i="29"/>
  <c r="T5" s="1"/>
  <c r="A25"/>
  <c r="B24"/>
  <c r="I24"/>
  <c r="U5" s="1"/>
  <c r="E24"/>
  <c r="D24"/>
  <c r="G17" i="35"/>
  <c r="J17"/>
  <c r="K17"/>
  <c r="K18" i="34" l="1"/>
  <c r="L18" s="1"/>
  <c r="G18"/>
  <c r="P19"/>
  <c r="F27" i="33"/>
  <c r="G27" s="1"/>
  <c r="E23" i="34"/>
  <c r="F26" i="33"/>
  <c r="G26" s="1"/>
  <c r="B23" i="34"/>
  <c r="C23" s="1"/>
  <c r="G25" i="33"/>
  <c r="K25"/>
  <c r="L25" s="1"/>
  <c r="I23" i="34"/>
  <c r="U4" s="1"/>
  <c r="D23"/>
  <c r="H23"/>
  <c r="T4" s="1"/>
  <c r="AB36"/>
  <c r="K33" i="33"/>
  <c r="A49"/>
  <c r="H33"/>
  <c r="J33"/>
  <c r="G33"/>
  <c r="I33" s="1"/>
  <c r="A36"/>
  <c r="L26" i="32"/>
  <c r="F19" i="34"/>
  <c r="K19" s="1"/>
  <c r="K30" s="1"/>
  <c r="J27" i="32"/>
  <c r="K27"/>
  <c r="F18" i="35"/>
  <c r="K18" s="1"/>
  <c r="G19" i="29"/>
  <c r="G49" i="32"/>
  <c r="J49"/>
  <c r="K49"/>
  <c r="O37"/>
  <c r="N37"/>
  <c r="I37"/>
  <c r="D37"/>
  <c r="H37"/>
  <c r="E37"/>
  <c r="B37"/>
  <c r="K36"/>
  <c r="G36"/>
  <c r="J36"/>
  <c r="L27" i="27"/>
  <c r="E37"/>
  <c r="N37"/>
  <c r="O37"/>
  <c r="I37"/>
  <c r="B37"/>
  <c r="C37" s="1"/>
  <c r="H37"/>
  <c r="D37"/>
  <c r="G36"/>
  <c r="J36"/>
  <c r="K36"/>
  <c r="K49"/>
  <c r="J49"/>
  <c r="G49"/>
  <c r="K19" i="29"/>
  <c r="K30" s="1"/>
  <c r="F23"/>
  <c r="K23" s="1"/>
  <c r="L17" i="35"/>
  <c r="F19" i="30"/>
  <c r="G19" s="1"/>
  <c r="P18" i="35"/>
  <c r="A19" s="1"/>
  <c r="P19" i="30"/>
  <c r="P36" i="28"/>
  <c r="A37" s="1"/>
  <c r="F36"/>
  <c r="F49"/>
  <c r="D25" i="29"/>
  <c r="I25"/>
  <c r="U6" s="1"/>
  <c r="A26"/>
  <c r="E25"/>
  <c r="B25"/>
  <c r="C25" s="1"/>
  <c r="H25"/>
  <c r="T6" s="1"/>
  <c r="C24"/>
  <c r="F24" s="1"/>
  <c r="J30"/>
  <c r="D24" i="34"/>
  <c r="E24"/>
  <c r="H24"/>
  <c r="T5" s="1"/>
  <c r="B24"/>
  <c r="A25"/>
  <c r="I24"/>
  <c r="U5" s="1"/>
  <c r="P37" i="32" l="1"/>
  <c r="A38" s="1"/>
  <c r="J27" i="33"/>
  <c r="K27"/>
  <c r="K26"/>
  <c r="J26"/>
  <c r="F23" i="34"/>
  <c r="G23" s="1"/>
  <c r="G18" i="35"/>
  <c r="J19" i="34"/>
  <c r="L19" s="1"/>
  <c r="O36" i="33"/>
  <c r="H49"/>
  <c r="T9" s="1"/>
  <c r="N36"/>
  <c r="I49"/>
  <c r="U9" s="1"/>
  <c r="H36"/>
  <c r="I36"/>
  <c r="B49"/>
  <c r="E49"/>
  <c r="D49"/>
  <c r="D36"/>
  <c r="B36"/>
  <c r="E36"/>
  <c r="G19" i="34"/>
  <c r="L27" i="32"/>
  <c r="J18" i="35"/>
  <c r="L18" s="1"/>
  <c r="L49" i="32"/>
  <c r="C37"/>
  <c r="F37" s="1"/>
  <c r="G37" s="1"/>
  <c r="L36"/>
  <c r="P37" i="27"/>
  <c r="A38" s="1"/>
  <c r="H38" s="1"/>
  <c r="L36"/>
  <c r="L49"/>
  <c r="F37"/>
  <c r="L19" i="29"/>
  <c r="G23"/>
  <c r="J23"/>
  <c r="L23" s="1"/>
  <c r="J19" i="30"/>
  <c r="J30" s="1"/>
  <c r="K19"/>
  <c r="K30" s="1"/>
  <c r="I19" i="35"/>
  <c r="I30" s="1"/>
  <c r="D19"/>
  <c r="H19"/>
  <c r="H30" s="1"/>
  <c r="E19"/>
  <c r="O19"/>
  <c r="B19"/>
  <c r="N19"/>
  <c r="AB36" s="1"/>
  <c r="F6"/>
  <c r="A23" s="1"/>
  <c r="B37" i="28"/>
  <c r="C37" s="1"/>
  <c r="E37"/>
  <c r="D37"/>
  <c r="H37"/>
  <c r="N37"/>
  <c r="O37"/>
  <c r="I37"/>
  <c r="J36"/>
  <c r="G36"/>
  <c r="K36"/>
  <c r="J49"/>
  <c r="K49"/>
  <c r="G49"/>
  <c r="H26" i="29"/>
  <c r="T7" s="1"/>
  <c r="A27"/>
  <c r="D26"/>
  <c r="E26"/>
  <c r="I26"/>
  <c r="U7" s="1"/>
  <c r="B26"/>
  <c r="C26" s="1"/>
  <c r="F25"/>
  <c r="G24"/>
  <c r="K24"/>
  <c r="D33"/>
  <c r="E33"/>
  <c r="J24"/>
  <c r="E25" i="34"/>
  <c r="I25"/>
  <c r="U6" s="1"/>
  <c r="B25"/>
  <c r="C25" s="1"/>
  <c r="A26"/>
  <c r="D25"/>
  <c r="H25"/>
  <c r="T6" s="1"/>
  <c r="C24"/>
  <c r="F24" s="1"/>
  <c r="N38" i="32" l="1"/>
  <c r="L27" i="33"/>
  <c r="L26"/>
  <c r="J23" i="34"/>
  <c r="K23"/>
  <c r="J30"/>
  <c r="E33" s="1"/>
  <c r="P36" i="33"/>
  <c r="A37" s="1"/>
  <c r="N37" s="1"/>
  <c r="C36"/>
  <c r="F36" s="1"/>
  <c r="G36" s="1"/>
  <c r="C49"/>
  <c r="F49" s="1"/>
  <c r="G49" s="1"/>
  <c r="O38" i="32"/>
  <c r="H38"/>
  <c r="B38"/>
  <c r="C38" s="1"/>
  <c r="E38"/>
  <c r="I38"/>
  <c r="D38"/>
  <c r="J37"/>
  <c r="K37"/>
  <c r="N38" i="27"/>
  <c r="O38"/>
  <c r="E38"/>
  <c r="I38"/>
  <c r="B38"/>
  <c r="C38" s="1"/>
  <c r="D38"/>
  <c r="G37"/>
  <c r="K37"/>
  <c r="J37"/>
  <c r="D33" i="30"/>
  <c r="P19" i="35"/>
  <c r="L19" i="30"/>
  <c r="C19" i="35"/>
  <c r="F19" s="1"/>
  <c r="G19" s="1"/>
  <c r="H23"/>
  <c r="T4" s="1"/>
  <c r="E23"/>
  <c r="B23"/>
  <c r="C23" s="1"/>
  <c r="A24"/>
  <c r="D23"/>
  <c r="I23"/>
  <c r="U4" s="1"/>
  <c r="F37" i="28"/>
  <c r="J37" s="1"/>
  <c r="P37"/>
  <c r="A38" s="1"/>
  <c r="D38" s="1"/>
  <c r="L36"/>
  <c r="L49"/>
  <c r="E33" i="30"/>
  <c r="K33" i="29"/>
  <c r="G25"/>
  <c r="K25"/>
  <c r="J25"/>
  <c r="H27"/>
  <c r="T8" s="1"/>
  <c r="B27"/>
  <c r="C27" s="1"/>
  <c r="E27"/>
  <c r="I27"/>
  <c r="U8" s="1"/>
  <c r="D27"/>
  <c r="L24"/>
  <c r="F26"/>
  <c r="A36"/>
  <c r="A49"/>
  <c r="J33"/>
  <c r="H33"/>
  <c r="G33"/>
  <c r="I33" s="1"/>
  <c r="F25" i="34"/>
  <c r="G24"/>
  <c r="J24"/>
  <c r="E26"/>
  <c r="I26"/>
  <c r="U7" s="1"/>
  <c r="A27"/>
  <c r="B26"/>
  <c r="C26" s="1"/>
  <c r="H26"/>
  <c r="T7" s="1"/>
  <c r="D26"/>
  <c r="K24"/>
  <c r="P38" i="32" l="1"/>
  <c r="A39" s="1"/>
  <c r="B39" s="1"/>
  <c r="L23" i="34"/>
  <c r="D33"/>
  <c r="K33" s="1"/>
  <c r="O37" i="33"/>
  <c r="P37" s="1"/>
  <c r="A38" s="1"/>
  <c r="N38" s="1"/>
  <c r="J49"/>
  <c r="B37"/>
  <c r="E37"/>
  <c r="I37"/>
  <c r="D37"/>
  <c r="H37"/>
  <c r="K36"/>
  <c r="J36"/>
  <c r="K49"/>
  <c r="F38" i="32"/>
  <c r="K38" s="1"/>
  <c r="L37"/>
  <c r="P38" i="27"/>
  <c r="A39" s="1"/>
  <c r="N39" s="1"/>
  <c r="K33" i="30"/>
  <c r="F38" i="27"/>
  <c r="L37"/>
  <c r="K19" i="35"/>
  <c r="K30" s="1"/>
  <c r="J19"/>
  <c r="F23"/>
  <c r="A25"/>
  <c r="B24"/>
  <c r="C24" s="1"/>
  <c r="I24"/>
  <c r="U5" s="1"/>
  <c r="H24"/>
  <c r="T5" s="1"/>
  <c r="D24"/>
  <c r="E24"/>
  <c r="I38" i="28"/>
  <c r="B38"/>
  <c r="C38" s="1"/>
  <c r="N38"/>
  <c r="G37"/>
  <c r="E38"/>
  <c r="H38"/>
  <c r="K37"/>
  <c r="L37" s="1"/>
  <c r="O38"/>
  <c r="J33" i="30"/>
  <c r="G33"/>
  <c r="I33" s="1"/>
  <c r="A36"/>
  <c r="B36" s="1"/>
  <c r="C36" s="1"/>
  <c r="H33"/>
  <c r="A49"/>
  <c r="B49" s="1"/>
  <c r="C49" s="1"/>
  <c r="F27" i="29"/>
  <c r="E49"/>
  <c r="H49"/>
  <c r="T9" s="1"/>
  <c r="D49"/>
  <c r="B49"/>
  <c r="C49" s="1"/>
  <c r="I49"/>
  <c r="U9" s="1"/>
  <c r="G26"/>
  <c r="K26"/>
  <c r="J26"/>
  <c r="D36"/>
  <c r="N36"/>
  <c r="B36"/>
  <c r="C36" s="1"/>
  <c r="E36"/>
  <c r="I36"/>
  <c r="H36"/>
  <c r="O36"/>
  <c r="L25"/>
  <c r="L24" i="34"/>
  <c r="G25"/>
  <c r="K25"/>
  <c r="J25"/>
  <c r="A49"/>
  <c r="G33"/>
  <c r="I33" s="1"/>
  <c r="A36"/>
  <c r="J33"/>
  <c r="H33"/>
  <c r="B27"/>
  <c r="H27"/>
  <c r="T8" s="1"/>
  <c r="I27"/>
  <c r="U8" s="1"/>
  <c r="E27"/>
  <c r="D27"/>
  <c r="F26"/>
  <c r="H39" i="32" l="1"/>
  <c r="O39"/>
  <c r="I39"/>
  <c r="D39"/>
  <c r="E39"/>
  <c r="N39"/>
  <c r="L49" i="33"/>
  <c r="H38"/>
  <c r="B38"/>
  <c r="C37"/>
  <c r="F37" s="1"/>
  <c r="E38"/>
  <c r="I38"/>
  <c r="O38"/>
  <c r="P38" s="1"/>
  <c r="A39" s="1"/>
  <c r="D38"/>
  <c r="L36"/>
  <c r="G38" i="32"/>
  <c r="J38"/>
  <c r="L38" s="1"/>
  <c r="C39"/>
  <c r="O39" i="27"/>
  <c r="P39" s="1"/>
  <c r="A40" s="1"/>
  <c r="B40" s="1"/>
  <c r="C40" s="1"/>
  <c r="H39"/>
  <c r="I39"/>
  <c r="E39"/>
  <c r="D39"/>
  <c r="B39"/>
  <c r="C39" s="1"/>
  <c r="J38"/>
  <c r="G38"/>
  <c r="K38"/>
  <c r="N36" i="30"/>
  <c r="I49"/>
  <c r="U9" s="1"/>
  <c r="E36"/>
  <c r="F24" i="35"/>
  <c r="J24" s="1"/>
  <c r="J30"/>
  <c r="L19"/>
  <c r="G23"/>
  <c r="K23"/>
  <c r="J23"/>
  <c r="H25"/>
  <c r="T6" s="1"/>
  <c r="A26"/>
  <c r="I25"/>
  <c r="U6" s="1"/>
  <c r="B25"/>
  <c r="C25" s="1"/>
  <c r="D25"/>
  <c r="E25"/>
  <c r="P38" i="28"/>
  <c r="A39" s="1"/>
  <c r="O39" s="1"/>
  <c r="I36" i="30"/>
  <c r="F38" i="28"/>
  <c r="K38" s="1"/>
  <c r="H49" i="30"/>
  <c r="T9" s="1"/>
  <c r="O36"/>
  <c r="D49"/>
  <c r="E49"/>
  <c r="H36"/>
  <c r="D36"/>
  <c r="L26" i="29"/>
  <c r="F36"/>
  <c r="G36" s="1"/>
  <c r="G27"/>
  <c r="J27"/>
  <c r="K27"/>
  <c r="P36"/>
  <c r="A37" s="1"/>
  <c r="H37" s="1"/>
  <c r="F49"/>
  <c r="B36" i="34"/>
  <c r="C36" s="1"/>
  <c r="D36"/>
  <c r="E36"/>
  <c r="H49"/>
  <c r="T9" s="1"/>
  <c r="N36"/>
  <c r="H36"/>
  <c r="O36"/>
  <c r="I36"/>
  <c r="I49"/>
  <c r="U9" s="1"/>
  <c r="G26"/>
  <c r="K26"/>
  <c r="J26"/>
  <c r="C27"/>
  <c r="F27" s="1"/>
  <c r="K27" s="1"/>
  <c r="L25"/>
  <c r="D49"/>
  <c r="B49"/>
  <c r="C49" s="1"/>
  <c r="E49"/>
  <c r="F39" i="32" l="1"/>
  <c r="G39" s="1"/>
  <c r="P39"/>
  <c r="A40" s="1"/>
  <c r="H40" s="1"/>
  <c r="P36" i="34"/>
  <c r="A37" s="1"/>
  <c r="C38" i="33"/>
  <c r="F38" s="1"/>
  <c r="G38" s="1"/>
  <c r="K37"/>
  <c r="G37"/>
  <c r="J37"/>
  <c r="D39"/>
  <c r="H39"/>
  <c r="E39"/>
  <c r="I39"/>
  <c r="N39"/>
  <c r="O39"/>
  <c r="B39"/>
  <c r="C39" s="1"/>
  <c r="I40" i="27"/>
  <c r="F39"/>
  <c r="G39" s="1"/>
  <c r="O40"/>
  <c r="L38"/>
  <c r="H40"/>
  <c r="N40"/>
  <c r="D40"/>
  <c r="E40"/>
  <c r="P36" i="30"/>
  <c r="A37" s="1"/>
  <c r="B37" s="1"/>
  <c r="C37" s="1"/>
  <c r="F36"/>
  <c r="G36" s="1"/>
  <c r="F25" i="35"/>
  <c r="G25" s="1"/>
  <c r="K24"/>
  <c r="L24" s="1"/>
  <c r="G24"/>
  <c r="H39" i="28"/>
  <c r="D39"/>
  <c r="G38"/>
  <c r="J38"/>
  <c r="L38" s="1"/>
  <c r="F49" i="30"/>
  <c r="J49" s="1"/>
  <c r="D33" i="35"/>
  <c r="E33"/>
  <c r="N39" i="28"/>
  <c r="P39" s="1"/>
  <c r="A40" s="1"/>
  <c r="D40" s="1"/>
  <c r="I39"/>
  <c r="E39"/>
  <c r="B39"/>
  <c r="C39" s="1"/>
  <c r="L23" i="35"/>
  <c r="B26"/>
  <c r="C26" s="1"/>
  <c r="D26"/>
  <c r="E26"/>
  <c r="H26"/>
  <c r="T7" s="1"/>
  <c r="I26"/>
  <c r="U7" s="1"/>
  <c r="A27"/>
  <c r="J36" i="29"/>
  <c r="K36"/>
  <c r="L27"/>
  <c r="O37"/>
  <c r="D37"/>
  <c r="N37"/>
  <c r="E37"/>
  <c r="B37"/>
  <c r="C37" s="1"/>
  <c r="I37"/>
  <c r="J49"/>
  <c r="K49"/>
  <c r="G49"/>
  <c r="L26" i="34"/>
  <c r="F36"/>
  <c r="F49"/>
  <c r="G27"/>
  <c r="J27"/>
  <c r="L27" s="1"/>
  <c r="K39" i="32" l="1"/>
  <c r="J39"/>
  <c r="E40"/>
  <c r="I40"/>
  <c r="N40"/>
  <c r="B40"/>
  <c r="C40" s="1"/>
  <c r="O40"/>
  <c r="D40"/>
  <c r="K38" i="33"/>
  <c r="P39"/>
  <c r="A40" s="1"/>
  <c r="E40" s="1"/>
  <c r="J38"/>
  <c r="L37"/>
  <c r="F39"/>
  <c r="F40" i="27"/>
  <c r="K40" s="1"/>
  <c r="J39"/>
  <c r="K39"/>
  <c r="P40"/>
  <c r="A41" s="1"/>
  <c r="F26" i="35"/>
  <c r="G26" s="1"/>
  <c r="J25"/>
  <c r="K25"/>
  <c r="I37" i="30"/>
  <c r="O37"/>
  <c r="H37"/>
  <c r="D37"/>
  <c r="N37"/>
  <c r="E37"/>
  <c r="K36"/>
  <c r="J36"/>
  <c r="G49"/>
  <c r="F39" i="28"/>
  <c r="K39" s="1"/>
  <c r="N40"/>
  <c r="K49" i="30"/>
  <c r="L49" s="1"/>
  <c r="H27" i="35"/>
  <c r="T8" s="1"/>
  <c r="E27"/>
  <c r="I27"/>
  <c r="U8" s="1"/>
  <c r="B27"/>
  <c r="C27" s="1"/>
  <c r="D27"/>
  <c r="B40" i="28"/>
  <c r="C40" s="1"/>
  <c r="K33" i="35"/>
  <c r="A36"/>
  <c r="J33"/>
  <c r="A49"/>
  <c r="H33"/>
  <c r="G33"/>
  <c r="O40" i="28"/>
  <c r="I40"/>
  <c r="H40"/>
  <c r="E40"/>
  <c r="L36" i="29"/>
  <c r="P37"/>
  <c r="A38" s="1"/>
  <c r="F37"/>
  <c r="L49"/>
  <c r="H37" i="34"/>
  <c r="O37"/>
  <c r="I37"/>
  <c r="E37"/>
  <c r="B37"/>
  <c r="D37"/>
  <c r="N37"/>
  <c r="G36"/>
  <c r="J36"/>
  <c r="K36"/>
  <c r="G49"/>
  <c r="J49"/>
  <c r="K49"/>
  <c r="L39" i="32" l="1"/>
  <c r="F40"/>
  <c r="J40" s="1"/>
  <c r="P40"/>
  <c r="A41" s="1"/>
  <c r="O41" s="1"/>
  <c r="P37" i="34"/>
  <c r="A38" s="1"/>
  <c r="O40" i="33"/>
  <c r="B40"/>
  <c r="C40" s="1"/>
  <c r="I40"/>
  <c r="L38"/>
  <c r="H40"/>
  <c r="N40"/>
  <c r="D40"/>
  <c r="G39"/>
  <c r="K39"/>
  <c r="J39"/>
  <c r="J26" i="35"/>
  <c r="K26"/>
  <c r="G40" i="27"/>
  <c r="J40"/>
  <c r="L40" s="1"/>
  <c r="L39"/>
  <c r="I41"/>
  <c r="H41"/>
  <c r="E41"/>
  <c r="O41"/>
  <c r="B41"/>
  <c r="C41" s="1"/>
  <c r="D41"/>
  <c r="N41"/>
  <c r="L25" i="35"/>
  <c r="P37" i="30"/>
  <c r="A38" s="1"/>
  <c r="O38" s="1"/>
  <c r="F37"/>
  <c r="J37" s="1"/>
  <c r="L36"/>
  <c r="G39" i="28"/>
  <c r="J39"/>
  <c r="L39" s="1"/>
  <c r="P40"/>
  <c r="A41" s="1"/>
  <c r="N41" s="1"/>
  <c r="F40"/>
  <c r="G40" s="1"/>
  <c r="O36" i="35"/>
  <c r="H49"/>
  <c r="T9" s="1"/>
  <c r="H36"/>
  <c r="I49"/>
  <c r="U9" s="1"/>
  <c r="N36"/>
  <c r="I36"/>
  <c r="D36"/>
  <c r="B36"/>
  <c r="C36" s="1"/>
  <c r="E36"/>
  <c r="B49"/>
  <c r="C49" s="1"/>
  <c r="D49"/>
  <c r="E49"/>
  <c r="F27"/>
  <c r="G27" s="1"/>
  <c r="I33"/>
  <c r="O38" i="29"/>
  <c r="I38"/>
  <c r="B38"/>
  <c r="C38" s="1"/>
  <c r="D38"/>
  <c r="N38"/>
  <c r="E38"/>
  <c r="H38"/>
  <c r="J37"/>
  <c r="G37"/>
  <c r="K37"/>
  <c r="L49" i="34"/>
  <c r="C37"/>
  <c r="F37" s="1"/>
  <c r="L36"/>
  <c r="K40" i="32" l="1"/>
  <c r="L40" s="1"/>
  <c r="G40"/>
  <c r="B41"/>
  <c r="C41" s="1"/>
  <c r="E41"/>
  <c r="N41"/>
  <c r="P41" s="1"/>
  <c r="A42" s="1"/>
  <c r="H41"/>
  <c r="D41"/>
  <c r="I41"/>
  <c r="P40" i="33"/>
  <c r="A41" s="1"/>
  <c r="B41" s="1"/>
  <c r="C41" s="1"/>
  <c r="F40"/>
  <c r="J40" s="1"/>
  <c r="L39"/>
  <c r="L26" i="35"/>
  <c r="F41" i="27"/>
  <c r="P41"/>
  <c r="A42" s="1"/>
  <c r="G37" i="30"/>
  <c r="N38"/>
  <c r="P38" s="1"/>
  <c r="A39" s="1"/>
  <c r="B39" s="1"/>
  <c r="C39" s="1"/>
  <c r="I38"/>
  <c r="B38"/>
  <c r="C38" s="1"/>
  <c r="D38"/>
  <c r="H38"/>
  <c r="E38"/>
  <c r="K37"/>
  <c r="L37" s="1"/>
  <c r="P36" i="35"/>
  <c r="A37" s="1"/>
  <c r="K27"/>
  <c r="J27"/>
  <c r="O41" i="28"/>
  <c r="P41" s="1"/>
  <c r="A42" s="1"/>
  <c r="O42" s="1"/>
  <c r="D41"/>
  <c r="H41"/>
  <c r="I41"/>
  <c r="B41"/>
  <c r="C41" s="1"/>
  <c r="E41"/>
  <c r="K40"/>
  <c r="J40"/>
  <c r="F49" i="35"/>
  <c r="F36"/>
  <c r="G36" s="1"/>
  <c r="L37" i="29"/>
  <c r="F38"/>
  <c r="J38" s="1"/>
  <c r="P38"/>
  <c r="A39" s="1"/>
  <c r="G37" i="34"/>
  <c r="K37"/>
  <c r="J37"/>
  <c r="E38"/>
  <c r="I38"/>
  <c r="B38"/>
  <c r="C38" s="1"/>
  <c r="D38"/>
  <c r="N38"/>
  <c r="O38"/>
  <c r="H38"/>
  <c r="F41" i="32" l="1"/>
  <c r="K41" s="1"/>
  <c r="P38" i="34"/>
  <c r="A39" s="1"/>
  <c r="I42" i="32"/>
  <c r="O42"/>
  <c r="H42"/>
  <c r="E42"/>
  <c r="B42"/>
  <c r="C42" s="1"/>
  <c r="D42"/>
  <c r="N42"/>
  <c r="H37" i="35"/>
  <c r="E41" i="33"/>
  <c r="K40"/>
  <c r="L40" s="1"/>
  <c r="O41"/>
  <c r="G40"/>
  <c r="I41"/>
  <c r="D41"/>
  <c r="H41"/>
  <c r="N41"/>
  <c r="J41" i="27"/>
  <c r="G41"/>
  <c r="K41"/>
  <c r="B42"/>
  <c r="C42" s="1"/>
  <c r="H42"/>
  <c r="E42"/>
  <c r="I42"/>
  <c r="O42"/>
  <c r="D42"/>
  <c r="N42"/>
  <c r="F38" i="30"/>
  <c r="G38" s="1"/>
  <c r="N39"/>
  <c r="O39"/>
  <c r="I37" i="35"/>
  <c r="E39" i="30"/>
  <c r="D39"/>
  <c r="I39"/>
  <c r="H39"/>
  <c r="L27" i="35"/>
  <c r="N37"/>
  <c r="E37"/>
  <c r="B37"/>
  <c r="C37" s="1"/>
  <c r="D37"/>
  <c r="O37"/>
  <c r="F41" i="28"/>
  <c r="G41" s="1"/>
  <c r="L40"/>
  <c r="J49" i="35"/>
  <c r="G49"/>
  <c r="I42" i="28"/>
  <c r="K49" i="35"/>
  <c r="K36"/>
  <c r="J36"/>
  <c r="B42" i="28"/>
  <c r="C42" s="1"/>
  <c r="H42"/>
  <c r="D42"/>
  <c r="E42"/>
  <c r="N42"/>
  <c r="P42" s="1"/>
  <c r="A43" s="1"/>
  <c r="H43" s="1"/>
  <c r="K38" i="29"/>
  <c r="L38" s="1"/>
  <c r="G38"/>
  <c r="E39"/>
  <c r="H39"/>
  <c r="B39"/>
  <c r="C39" s="1"/>
  <c r="I39"/>
  <c r="N39"/>
  <c r="O39"/>
  <c r="D39"/>
  <c r="L37" i="34"/>
  <c r="F38"/>
  <c r="G41" i="32" l="1"/>
  <c r="J41"/>
  <c r="L41" s="1"/>
  <c r="P42"/>
  <c r="A43" s="1"/>
  <c r="O43" s="1"/>
  <c r="F42"/>
  <c r="K42" s="1"/>
  <c r="H39" i="34"/>
  <c r="P37" i="35"/>
  <c r="A38" s="1"/>
  <c r="E38" s="1"/>
  <c r="P41" i="33"/>
  <c r="A42" s="1"/>
  <c r="E42" s="1"/>
  <c r="F41"/>
  <c r="G41" s="1"/>
  <c r="L41" i="27"/>
  <c r="F42"/>
  <c r="K42" s="1"/>
  <c r="P42"/>
  <c r="A43" s="1"/>
  <c r="J38" i="30"/>
  <c r="F39"/>
  <c r="J39" s="1"/>
  <c r="K38"/>
  <c r="P39"/>
  <c r="A40" s="1"/>
  <c r="D40" s="1"/>
  <c r="F37" i="35"/>
  <c r="J37" s="1"/>
  <c r="L36"/>
  <c r="J41" i="28"/>
  <c r="K41"/>
  <c r="F42"/>
  <c r="G42" s="1"/>
  <c r="L49" i="35"/>
  <c r="D43" i="28"/>
  <c r="B43"/>
  <c r="C43" s="1"/>
  <c r="N43"/>
  <c r="O43"/>
  <c r="E43"/>
  <c r="I43"/>
  <c r="E39" i="34"/>
  <c r="F39" i="29"/>
  <c r="P39"/>
  <c r="A40" s="1"/>
  <c r="D39" i="34"/>
  <c r="I39"/>
  <c r="O39"/>
  <c r="N39"/>
  <c r="B39"/>
  <c r="C39" s="1"/>
  <c r="G38"/>
  <c r="K38"/>
  <c r="J38"/>
  <c r="B43" i="32" l="1"/>
  <c r="C43" s="1"/>
  <c r="I43"/>
  <c r="N43"/>
  <c r="P43" s="1"/>
  <c r="A44" s="1"/>
  <c r="D43"/>
  <c r="H43"/>
  <c r="E43"/>
  <c r="G42"/>
  <c r="J42"/>
  <c r="L42" s="1"/>
  <c r="P39" i="34"/>
  <c r="A40" s="1"/>
  <c r="N42" i="33"/>
  <c r="B42"/>
  <c r="C42" s="1"/>
  <c r="D42"/>
  <c r="I42"/>
  <c r="O42"/>
  <c r="H42"/>
  <c r="K41"/>
  <c r="J41"/>
  <c r="K39" i="30"/>
  <c r="L39" s="1"/>
  <c r="G42" i="27"/>
  <c r="J42"/>
  <c r="L42" s="1"/>
  <c r="I43"/>
  <c r="H43"/>
  <c r="O43"/>
  <c r="D43"/>
  <c r="N43"/>
  <c r="E43"/>
  <c r="B43"/>
  <c r="C43" s="1"/>
  <c r="L38" i="30"/>
  <c r="G39"/>
  <c r="N40"/>
  <c r="I40"/>
  <c r="B40"/>
  <c r="C40" s="1"/>
  <c r="E40"/>
  <c r="H40"/>
  <c r="O40"/>
  <c r="K37" i="35"/>
  <c r="L37" s="1"/>
  <c r="G37"/>
  <c r="D38"/>
  <c r="I38"/>
  <c r="B38"/>
  <c r="C38" s="1"/>
  <c r="H38"/>
  <c r="O38"/>
  <c r="N38"/>
  <c r="L41" i="28"/>
  <c r="F39" i="34"/>
  <c r="K39" s="1"/>
  <c r="F43" i="28"/>
  <c r="G43" s="1"/>
  <c r="J42"/>
  <c r="K42"/>
  <c r="P43"/>
  <c r="A44" s="1"/>
  <c r="K39" i="29"/>
  <c r="G39"/>
  <c r="H40"/>
  <c r="E40"/>
  <c r="I40"/>
  <c r="B40"/>
  <c r="C40" s="1"/>
  <c r="N40"/>
  <c r="D40"/>
  <c r="O40"/>
  <c r="J39"/>
  <c r="L38" i="34"/>
  <c r="F43" i="32" l="1"/>
  <c r="G43" s="1"/>
  <c r="E44"/>
  <c r="H44"/>
  <c r="N44"/>
  <c r="B44"/>
  <c r="C44" s="1"/>
  <c r="D44"/>
  <c r="O44"/>
  <c r="I44"/>
  <c r="H40" i="34"/>
  <c r="P42" i="33"/>
  <c r="A43" s="1"/>
  <c r="E43" s="1"/>
  <c r="F42"/>
  <c r="G42" s="1"/>
  <c r="L41"/>
  <c r="P43" i="27"/>
  <c r="A44" s="1"/>
  <c r="F43"/>
  <c r="F40" i="30"/>
  <c r="J40" s="1"/>
  <c r="P40"/>
  <c r="A41" s="1"/>
  <c r="O41" s="1"/>
  <c r="E40" i="34"/>
  <c r="N40"/>
  <c r="B40"/>
  <c r="C40" s="1"/>
  <c r="O40"/>
  <c r="D40"/>
  <c r="I40"/>
  <c r="F38" i="35"/>
  <c r="P38"/>
  <c r="A39" s="1"/>
  <c r="O39" s="1"/>
  <c r="J39" i="34"/>
  <c r="L39" s="1"/>
  <c r="G39"/>
  <c r="L42" i="28"/>
  <c r="J43"/>
  <c r="K43"/>
  <c r="N44"/>
  <c r="O44"/>
  <c r="E44"/>
  <c r="H44"/>
  <c r="I44"/>
  <c r="B44"/>
  <c r="C44" s="1"/>
  <c r="D44"/>
  <c r="L39" i="29"/>
  <c r="P40"/>
  <c r="A41" s="1"/>
  <c r="I41" s="1"/>
  <c r="F40"/>
  <c r="K43" i="32" l="1"/>
  <c r="J43"/>
  <c r="P44"/>
  <c r="A45" s="1"/>
  <c r="D45" s="1"/>
  <c r="F44"/>
  <c r="J44" s="1"/>
  <c r="P40" i="34"/>
  <c r="A41" s="1"/>
  <c r="H43" i="33"/>
  <c r="J42"/>
  <c r="D43"/>
  <c r="B43"/>
  <c r="C43" s="1"/>
  <c r="N43"/>
  <c r="I43"/>
  <c r="O43"/>
  <c r="K42"/>
  <c r="K43" i="27"/>
  <c r="J43"/>
  <c r="G43"/>
  <c r="I44"/>
  <c r="B44"/>
  <c r="C44" s="1"/>
  <c r="O44"/>
  <c r="E44"/>
  <c r="D44"/>
  <c r="N44"/>
  <c r="H44"/>
  <c r="K40" i="30"/>
  <c r="L40" s="1"/>
  <c r="G40"/>
  <c r="E41"/>
  <c r="N41"/>
  <c r="P41" s="1"/>
  <c r="A42" s="1"/>
  <c r="E42" s="1"/>
  <c r="B41"/>
  <c r="C41" s="1"/>
  <c r="I41"/>
  <c r="H41"/>
  <c r="D41"/>
  <c r="F40" i="34"/>
  <c r="K40" s="1"/>
  <c r="L43" i="28"/>
  <c r="K38" i="35"/>
  <c r="J38"/>
  <c r="G38"/>
  <c r="B39"/>
  <c r="C39" s="1"/>
  <c r="N39"/>
  <c r="P39" s="1"/>
  <c r="A40" s="1"/>
  <c r="D40" s="1"/>
  <c r="H39"/>
  <c r="I39"/>
  <c r="D39"/>
  <c r="E39"/>
  <c r="P44" i="28"/>
  <c r="A45" s="1"/>
  <c r="F44"/>
  <c r="B41" i="29"/>
  <c r="C41" s="1"/>
  <c r="D41"/>
  <c r="O41"/>
  <c r="H41"/>
  <c r="E41"/>
  <c r="N41"/>
  <c r="G40"/>
  <c r="J40"/>
  <c r="K40"/>
  <c r="L43" i="32" l="1"/>
  <c r="I45"/>
  <c r="E45"/>
  <c r="H45"/>
  <c r="B45"/>
  <c r="C45" s="1"/>
  <c r="O45"/>
  <c r="N45"/>
  <c r="K44"/>
  <c r="L44" s="1"/>
  <c r="G44"/>
  <c r="E41" i="34"/>
  <c r="P43" i="33"/>
  <c r="A44" s="1"/>
  <c r="E44" s="1"/>
  <c r="F43"/>
  <c r="G43" s="1"/>
  <c r="L42"/>
  <c r="G40" i="34"/>
  <c r="B41"/>
  <c r="C41" s="1"/>
  <c r="D41"/>
  <c r="J40"/>
  <c r="L40" s="1"/>
  <c r="H41"/>
  <c r="I41"/>
  <c r="N41"/>
  <c r="O41"/>
  <c r="P44" i="27"/>
  <c r="A45" s="1"/>
  <c r="N45" s="1"/>
  <c r="F44"/>
  <c r="L43"/>
  <c r="F41" i="30"/>
  <c r="G41" s="1"/>
  <c r="H42"/>
  <c r="I42"/>
  <c r="D42"/>
  <c r="O42"/>
  <c r="B42"/>
  <c r="C42" s="1"/>
  <c r="N42"/>
  <c r="N40" i="35"/>
  <c r="L38"/>
  <c r="O40"/>
  <c r="B40"/>
  <c r="C40" s="1"/>
  <c r="E40"/>
  <c r="H40"/>
  <c r="I40"/>
  <c r="F39"/>
  <c r="O45" i="28"/>
  <c r="H45"/>
  <c r="E45"/>
  <c r="D45"/>
  <c r="I45"/>
  <c r="N45"/>
  <c r="B45"/>
  <c r="K44"/>
  <c r="G44"/>
  <c r="J44"/>
  <c r="F41" i="29"/>
  <c r="K41" s="1"/>
  <c r="P41"/>
  <c r="A42" s="1"/>
  <c r="N42" s="1"/>
  <c r="L40"/>
  <c r="F45" i="32" l="1"/>
  <c r="K45" s="1"/>
  <c r="P45"/>
  <c r="A46" s="1"/>
  <c r="H46" s="1"/>
  <c r="H57" s="1"/>
  <c r="P41" i="34"/>
  <c r="A42" s="1"/>
  <c r="D44" i="33"/>
  <c r="N44"/>
  <c r="H44"/>
  <c r="O44"/>
  <c r="B44"/>
  <c r="C44" s="1"/>
  <c r="I44"/>
  <c r="K43"/>
  <c r="J43"/>
  <c r="F41" i="34"/>
  <c r="G41" s="1"/>
  <c r="F40" i="35"/>
  <c r="J40" s="1"/>
  <c r="B45" i="27"/>
  <c r="C45" s="1"/>
  <c r="I45"/>
  <c r="D45"/>
  <c r="E45"/>
  <c r="H45"/>
  <c r="O45"/>
  <c r="P45" s="1"/>
  <c r="A46" s="1"/>
  <c r="J44"/>
  <c r="G44"/>
  <c r="K44"/>
  <c r="P42" i="30"/>
  <c r="A43" s="1"/>
  <c r="H43" s="1"/>
  <c r="F42"/>
  <c r="J42" s="1"/>
  <c r="J41"/>
  <c r="K41"/>
  <c r="P40" i="35"/>
  <c r="A41" s="1"/>
  <c r="O41" s="1"/>
  <c r="G39"/>
  <c r="J39"/>
  <c r="K39"/>
  <c r="P45" i="28"/>
  <c r="A46" s="1"/>
  <c r="B46" s="1"/>
  <c r="C46" s="1"/>
  <c r="L44"/>
  <c r="C45"/>
  <c r="F45" s="1"/>
  <c r="K45" s="1"/>
  <c r="E42" i="29"/>
  <c r="I42"/>
  <c r="G41"/>
  <c r="J41"/>
  <c r="L41" s="1"/>
  <c r="O42"/>
  <c r="P42" s="1"/>
  <c r="A43" s="1"/>
  <c r="D42"/>
  <c r="B42"/>
  <c r="C42" s="1"/>
  <c r="H42"/>
  <c r="G45" i="32" l="1"/>
  <c r="J45"/>
  <c r="L45" s="1"/>
  <c r="N46"/>
  <c r="AC36" s="1"/>
  <c r="O46"/>
  <c r="E46"/>
  <c r="I46"/>
  <c r="I57" s="1"/>
  <c r="D46"/>
  <c r="F33"/>
  <c r="A50" s="1"/>
  <c r="D50" s="1"/>
  <c r="B46"/>
  <c r="C46" s="1"/>
  <c r="N42" i="34"/>
  <c r="P44" i="33"/>
  <c r="A45" s="1"/>
  <c r="H45" s="1"/>
  <c r="F44"/>
  <c r="J44" s="1"/>
  <c r="L43"/>
  <c r="K41" i="34"/>
  <c r="J41"/>
  <c r="B42"/>
  <c r="C42" s="1"/>
  <c r="H42"/>
  <c r="E42"/>
  <c r="D42"/>
  <c r="O42"/>
  <c r="I42"/>
  <c r="G40" i="35"/>
  <c r="K40"/>
  <c r="L40" s="1"/>
  <c r="F45" i="27"/>
  <c r="K45" s="1"/>
  <c r="L44"/>
  <c r="H46"/>
  <c r="H57" s="1"/>
  <c r="O46"/>
  <c r="I46"/>
  <c r="I57" s="1"/>
  <c r="B46"/>
  <c r="C46" s="1"/>
  <c r="N46"/>
  <c r="AC36" s="1"/>
  <c r="E46"/>
  <c r="D46"/>
  <c r="F33"/>
  <c r="A50" s="1"/>
  <c r="I43" i="30"/>
  <c r="D43"/>
  <c r="B43"/>
  <c r="C43" s="1"/>
  <c r="N43"/>
  <c r="O43"/>
  <c r="E43"/>
  <c r="K42"/>
  <c r="L42" s="1"/>
  <c r="G42"/>
  <c r="L41"/>
  <c r="B41" i="35"/>
  <c r="C41" s="1"/>
  <c r="I41"/>
  <c r="D41"/>
  <c r="N41"/>
  <c r="P41" s="1"/>
  <c r="A42" s="1"/>
  <c r="H42" s="1"/>
  <c r="H41"/>
  <c r="E41"/>
  <c r="L39"/>
  <c r="F33" i="28"/>
  <c r="A50" s="1"/>
  <c r="B50" s="1"/>
  <c r="N46"/>
  <c r="AC36" s="1"/>
  <c r="D46"/>
  <c r="I46"/>
  <c r="I57" s="1"/>
  <c r="E46"/>
  <c r="O46"/>
  <c r="H46"/>
  <c r="H57" s="1"/>
  <c r="G45"/>
  <c r="J45"/>
  <c r="L45" s="1"/>
  <c r="F42" i="29"/>
  <c r="N43"/>
  <c r="H43"/>
  <c r="B43"/>
  <c r="C43" s="1"/>
  <c r="E43"/>
  <c r="O43"/>
  <c r="D43"/>
  <c r="I43"/>
  <c r="E50" i="32" l="1"/>
  <c r="F46"/>
  <c r="I50"/>
  <c r="U10" s="1"/>
  <c r="H50"/>
  <c r="T10" s="1"/>
  <c r="P46"/>
  <c r="B50"/>
  <c r="C50" s="1"/>
  <c r="A51"/>
  <c r="A52" s="1"/>
  <c r="D52" s="1"/>
  <c r="P42" i="34"/>
  <c r="A43" s="1"/>
  <c r="E45" i="33"/>
  <c r="K44"/>
  <c r="L44" s="1"/>
  <c r="B45"/>
  <c r="C45" s="1"/>
  <c r="N45"/>
  <c r="O45"/>
  <c r="I45"/>
  <c r="D45"/>
  <c r="G44"/>
  <c r="L41" i="34"/>
  <c r="F42"/>
  <c r="G42" s="1"/>
  <c r="J45" i="27"/>
  <c r="L45" s="1"/>
  <c r="G45"/>
  <c r="P46"/>
  <c r="F46"/>
  <c r="K46" s="1"/>
  <c r="K57" s="1"/>
  <c r="P43" i="30"/>
  <c r="A44" s="1"/>
  <c r="H44" s="1"/>
  <c r="I50" i="27"/>
  <c r="U10" s="1"/>
  <c r="A51"/>
  <c r="H50"/>
  <c r="T10" s="1"/>
  <c r="E50"/>
  <c r="B50"/>
  <c r="C50" s="1"/>
  <c r="D50"/>
  <c r="F43" i="30"/>
  <c r="K43" s="1"/>
  <c r="F41" i="35"/>
  <c r="J41" s="1"/>
  <c r="O42"/>
  <c r="D42"/>
  <c r="N42"/>
  <c r="I42"/>
  <c r="E42"/>
  <c r="B42"/>
  <c r="C42" s="1"/>
  <c r="D50" i="28"/>
  <c r="F46"/>
  <c r="J46" s="1"/>
  <c r="H50"/>
  <c r="T10" s="1"/>
  <c r="P46"/>
  <c r="I50"/>
  <c r="U10" s="1"/>
  <c r="A51"/>
  <c r="E51" s="1"/>
  <c r="E50"/>
  <c r="C50"/>
  <c r="G42" i="29"/>
  <c r="K42"/>
  <c r="J42"/>
  <c r="P43"/>
  <c r="A44" s="1"/>
  <c r="O44" s="1"/>
  <c r="F43"/>
  <c r="G46" i="32" l="1"/>
  <c r="K46"/>
  <c r="K57" s="1"/>
  <c r="J46"/>
  <c r="F50"/>
  <c r="G50" s="1"/>
  <c r="B51"/>
  <c r="C51" s="1"/>
  <c r="E51"/>
  <c r="A53"/>
  <c r="E52"/>
  <c r="D51"/>
  <c r="I52"/>
  <c r="U12" s="1"/>
  <c r="B52"/>
  <c r="C52" s="1"/>
  <c r="H52"/>
  <c r="T12" s="1"/>
  <c r="H51"/>
  <c r="T11" s="1"/>
  <c r="I51"/>
  <c r="U11" s="1"/>
  <c r="E43" i="34"/>
  <c r="O43"/>
  <c r="N43"/>
  <c r="B43"/>
  <c r="C43" s="1"/>
  <c r="H43"/>
  <c r="I43"/>
  <c r="D43"/>
  <c r="P45" i="33"/>
  <c r="A46" s="1"/>
  <c r="H46" s="1"/>
  <c r="H57" s="1"/>
  <c r="F45"/>
  <c r="G45" s="1"/>
  <c r="K42" i="34"/>
  <c r="J42"/>
  <c r="D44" i="30"/>
  <c r="O44"/>
  <c r="N44"/>
  <c r="G46" i="27"/>
  <c r="E44" i="30"/>
  <c r="J46" i="27"/>
  <c r="J57" s="1"/>
  <c r="E60" s="1"/>
  <c r="B44" i="30"/>
  <c r="C44" s="1"/>
  <c r="I44"/>
  <c r="F50" i="27"/>
  <c r="I51"/>
  <c r="U11" s="1"/>
  <c r="B51"/>
  <c r="C51" s="1"/>
  <c r="A52"/>
  <c r="E51"/>
  <c r="H51"/>
  <c r="T11" s="1"/>
  <c r="D51"/>
  <c r="J43" i="30"/>
  <c r="L43" s="1"/>
  <c r="G43"/>
  <c r="P42" i="35"/>
  <c r="A43" s="1"/>
  <c r="I43" s="1"/>
  <c r="G41"/>
  <c r="K41"/>
  <c r="L41" s="1"/>
  <c r="F42"/>
  <c r="J42" s="1"/>
  <c r="G46" i="28"/>
  <c r="K46"/>
  <c r="K57" s="1"/>
  <c r="I51"/>
  <c r="U11" s="1"/>
  <c r="D51"/>
  <c r="A52"/>
  <c r="A53" s="1"/>
  <c r="F50"/>
  <c r="G50" s="1"/>
  <c r="B51"/>
  <c r="C51" s="1"/>
  <c r="H51"/>
  <c r="T11" s="1"/>
  <c r="J57"/>
  <c r="B44" i="29"/>
  <c r="C44" s="1"/>
  <c r="H44"/>
  <c r="E44"/>
  <c r="D44"/>
  <c r="I44"/>
  <c r="N44"/>
  <c r="P44" s="1"/>
  <c r="A45" s="1"/>
  <c r="L42"/>
  <c r="J43"/>
  <c r="K43"/>
  <c r="G43"/>
  <c r="K50" i="32" l="1"/>
  <c r="J50"/>
  <c r="J57"/>
  <c r="L46"/>
  <c r="F51"/>
  <c r="G51" s="1"/>
  <c r="F52"/>
  <c r="K52" s="1"/>
  <c r="D53"/>
  <c r="I53"/>
  <c r="U13" s="1"/>
  <c r="H53"/>
  <c r="T13" s="1"/>
  <c r="A54"/>
  <c r="E53"/>
  <c r="B53"/>
  <c r="C53" s="1"/>
  <c r="P43" i="34"/>
  <c r="A44" s="1"/>
  <c r="N44" s="1"/>
  <c r="F43"/>
  <c r="J43" s="1"/>
  <c r="B46" i="33"/>
  <c r="C46" s="1"/>
  <c r="N46"/>
  <c r="AC36" s="1"/>
  <c r="O46"/>
  <c r="F33"/>
  <c r="A50" s="1"/>
  <c r="H50" s="1"/>
  <c r="T10" s="1"/>
  <c r="E46"/>
  <c r="J45"/>
  <c r="I46"/>
  <c r="I57" s="1"/>
  <c r="D46"/>
  <c r="K45"/>
  <c r="L42" i="34"/>
  <c r="D60" i="27"/>
  <c r="K60" s="1"/>
  <c r="P44" i="30"/>
  <c r="A45" s="1"/>
  <c r="I45" s="1"/>
  <c r="F44"/>
  <c r="J44" s="1"/>
  <c r="F51" i="27"/>
  <c r="G51" s="1"/>
  <c r="L46"/>
  <c r="G50"/>
  <c r="J50"/>
  <c r="K50"/>
  <c r="I52"/>
  <c r="U12" s="1"/>
  <c r="E52"/>
  <c r="B52"/>
  <c r="C52" s="1"/>
  <c r="A53"/>
  <c r="D52"/>
  <c r="H52"/>
  <c r="T12" s="1"/>
  <c r="B43" i="35"/>
  <c r="C43" s="1"/>
  <c r="E43"/>
  <c r="O43"/>
  <c r="N43"/>
  <c r="H43"/>
  <c r="D43"/>
  <c r="K42"/>
  <c r="L42" s="1"/>
  <c r="G42"/>
  <c r="J50" i="28"/>
  <c r="H52"/>
  <c r="T12" s="1"/>
  <c r="L46"/>
  <c r="B52"/>
  <c r="C52" s="1"/>
  <c r="E52"/>
  <c r="I52"/>
  <c r="U12" s="1"/>
  <c r="F51"/>
  <c r="G51" s="1"/>
  <c r="D52"/>
  <c r="K50"/>
  <c r="G60" i="27"/>
  <c r="I60" s="1"/>
  <c r="H60"/>
  <c r="J60"/>
  <c r="A65"/>
  <c r="F60"/>
  <c r="D60" i="28"/>
  <c r="E60"/>
  <c r="A54"/>
  <c r="D53"/>
  <c r="E53"/>
  <c r="H53"/>
  <c r="T13" s="1"/>
  <c r="B53"/>
  <c r="C53" s="1"/>
  <c r="I53"/>
  <c r="U13" s="1"/>
  <c r="F44" i="29"/>
  <c r="J44" s="1"/>
  <c r="L43"/>
  <c r="H45"/>
  <c r="O45"/>
  <c r="B45"/>
  <c r="C45" s="1"/>
  <c r="N45"/>
  <c r="E45"/>
  <c r="D45"/>
  <c r="I45"/>
  <c r="L50" i="32" l="1"/>
  <c r="E60"/>
  <c r="D60"/>
  <c r="K51"/>
  <c r="J51"/>
  <c r="J52"/>
  <c r="L52" s="1"/>
  <c r="G52"/>
  <c r="D54"/>
  <c r="E54"/>
  <c r="I54"/>
  <c r="U14" s="1"/>
  <c r="H54"/>
  <c r="T14" s="1"/>
  <c r="B54"/>
  <c r="C54" s="1"/>
  <c r="F53"/>
  <c r="B44" i="34"/>
  <c r="C44" s="1"/>
  <c r="H44"/>
  <c r="G43"/>
  <c r="O44"/>
  <c r="P44" s="1"/>
  <c r="A45" s="1"/>
  <c r="D44"/>
  <c r="E44"/>
  <c r="K43"/>
  <c r="L43" s="1"/>
  <c r="I44"/>
  <c r="P46" i="33"/>
  <c r="B50"/>
  <c r="C50" s="1"/>
  <c r="A51"/>
  <c r="D51" s="1"/>
  <c r="F46"/>
  <c r="J46" s="1"/>
  <c r="J57" s="1"/>
  <c r="E50"/>
  <c r="D50"/>
  <c r="I50"/>
  <c r="U10" s="1"/>
  <c r="L45"/>
  <c r="O45" i="30"/>
  <c r="N45"/>
  <c r="D45"/>
  <c r="H45"/>
  <c r="E45"/>
  <c r="B45"/>
  <c r="C45" s="1"/>
  <c r="G44"/>
  <c r="K44"/>
  <c r="L44" s="1"/>
  <c r="L50" i="27"/>
  <c r="J51"/>
  <c r="K51"/>
  <c r="F43" i="35"/>
  <c r="G43" s="1"/>
  <c r="F52" i="27"/>
  <c r="D53"/>
  <c r="E53"/>
  <c r="H53"/>
  <c r="T13" s="1"/>
  <c r="I53"/>
  <c r="U13" s="1"/>
  <c r="B53"/>
  <c r="C53" s="1"/>
  <c r="A54"/>
  <c r="P43" i="35"/>
  <c r="A44" s="1"/>
  <c r="L50" i="28"/>
  <c r="J51"/>
  <c r="K51"/>
  <c r="F52"/>
  <c r="G52" s="1"/>
  <c r="D65" i="27"/>
  <c r="E65"/>
  <c r="B65"/>
  <c r="C65" s="1"/>
  <c r="A66"/>
  <c r="I65"/>
  <c r="U15" s="1"/>
  <c r="H65"/>
  <c r="T15" s="1"/>
  <c r="G44" i="29"/>
  <c r="K44"/>
  <c r="L44" s="1"/>
  <c r="K60" i="28"/>
  <c r="A63"/>
  <c r="J60"/>
  <c r="G60"/>
  <c r="I60" s="1"/>
  <c r="H60"/>
  <c r="A76"/>
  <c r="I54"/>
  <c r="U14" s="1"/>
  <c r="E54"/>
  <c r="B54"/>
  <c r="C54" s="1"/>
  <c r="D54"/>
  <c r="H54"/>
  <c r="T14" s="1"/>
  <c r="F53"/>
  <c r="G53" s="1"/>
  <c r="F45" i="29"/>
  <c r="K45" s="1"/>
  <c r="P45"/>
  <c r="A46" s="1"/>
  <c r="L51" i="32" l="1"/>
  <c r="G60"/>
  <c r="I60" s="1"/>
  <c r="J60"/>
  <c r="A65"/>
  <c r="F60"/>
  <c r="H60"/>
  <c r="K60"/>
  <c r="F54"/>
  <c r="G53"/>
  <c r="J53"/>
  <c r="K53"/>
  <c r="F44" i="34"/>
  <c r="G44" s="1"/>
  <c r="O45"/>
  <c r="A52" i="33"/>
  <c r="B52" s="1"/>
  <c r="I51"/>
  <c r="U11" s="1"/>
  <c r="H51"/>
  <c r="T11" s="1"/>
  <c r="E51"/>
  <c r="B51"/>
  <c r="C51" s="1"/>
  <c r="F50"/>
  <c r="J50" s="1"/>
  <c r="K46"/>
  <c r="K57" s="1"/>
  <c r="D60" s="1"/>
  <c r="G46"/>
  <c r="P45" i="30"/>
  <c r="A46" s="1"/>
  <c r="E46" s="1"/>
  <c r="F45"/>
  <c r="G45" s="1"/>
  <c r="L51" i="27"/>
  <c r="K43" i="35"/>
  <c r="J43"/>
  <c r="K52" i="27"/>
  <c r="G52"/>
  <c r="J52"/>
  <c r="F53"/>
  <c r="H54"/>
  <c r="T14" s="1"/>
  <c r="B54"/>
  <c r="C54" s="1"/>
  <c r="E54"/>
  <c r="D54"/>
  <c r="I54"/>
  <c r="U14" s="1"/>
  <c r="D44" i="35"/>
  <c r="I44"/>
  <c r="O44"/>
  <c r="N44"/>
  <c r="B44"/>
  <c r="C44" s="1"/>
  <c r="H44"/>
  <c r="E44"/>
  <c r="K52" i="28"/>
  <c r="L51"/>
  <c r="J52"/>
  <c r="I45" i="34"/>
  <c r="E45"/>
  <c r="N45"/>
  <c r="B45"/>
  <c r="C45" s="1"/>
  <c r="F65" i="27"/>
  <c r="I66"/>
  <c r="U16" s="1"/>
  <c r="A67"/>
  <c r="E66"/>
  <c r="D66"/>
  <c r="B66"/>
  <c r="C66" s="1"/>
  <c r="H66"/>
  <c r="T16" s="1"/>
  <c r="J45" i="29"/>
  <c r="L45" s="1"/>
  <c r="J53" i="28"/>
  <c r="H63"/>
  <c r="O63"/>
  <c r="N63"/>
  <c r="H76"/>
  <c r="T15" s="1"/>
  <c r="I76"/>
  <c r="U15" s="1"/>
  <c r="I63"/>
  <c r="K53"/>
  <c r="B63"/>
  <c r="C63" s="1"/>
  <c r="E63"/>
  <c r="D63"/>
  <c r="B76"/>
  <c r="C76" s="1"/>
  <c r="E76"/>
  <c r="D76"/>
  <c r="F54"/>
  <c r="G54" s="1"/>
  <c r="G45" i="29"/>
  <c r="D45" i="34"/>
  <c r="H45"/>
  <c r="H46" i="29"/>
  <c r="H57" s="1"/>
  <c r="D46"/>
  <c r="O46"/>
  <c r="B46"/>
  <c r="C46" s="1"/>
  <c r="F33"/>
  <c r="A50" s="1"/>
  <c r="E46"/>
  <c r="I46"/>
  <c r="I57" s="1"/>
  <c r="N46"/>
  <c r="L53" i="32" l="1"/>
  <c r="K44" i="34"/>
  <c r="J44"/>
  <c r="B65" i="32"/>
  <c r="D65"/>
  <c r="A66"/>
  <c r="H66" s="1"/>
  <c r="T16" s="1"/>
  <c r="E65"/>
  <c r="I65"/>
  <c r="U15" s="1"/>
  <c r="H65"/>
  <c r="T15" s="1"/>
  <c r="G54"/>
  <c r="J54"/>
  <c r="K54"/>
  <c r="P45" i="34"/>
  <c r="A46" s="1"/>
  <c r="D52" i="33"/>
  <c r="E52"/>
  <c r="A53"/>
  <c r="A54" s="1"/>
  <c r="I52"/>
  <c r="U12" s="1"/>
  <c r="H52"/>
  <c r="T12" s="1"/>
  <c r="F51"/>
  <c r="G51" s="1"/>
  <c r="K50"/>
  <c r="L50" s="1"/>
  <c r="G50"/>
  <c r="E60"/>
  <c r="H60" s="1"/>
  <c r="L46"/>
  <c r="C52"/>
  <c r="L43" i="35"/>
  <c r="J45" i="30"/>
  <c r="I46"/>
  <c r="I57" s="1"/>
  <c r="K45"/>
  <c r="B46"/>
  <c r="C46" s="1"/>
  <c r="H46"/>
  <c r="H57" s="1"/>
  <c r="O46"/>
  <c r="N46"/>
  <c r="AC36" s="1"/>
  <c r="D46"/>
  <c r="F33"/>
  <c r="A50" s="1"/>
  <c r="D50" s="1"/>
  <c r="F54" i="27"/>
  <c r="L52"/>
  <c r="K53"/>
  <c r="G53"/>
  <c r="J53"/>
  <c r="P44" i="35"/>
  <c r="A45" s="1"/>
  <c r="F44"/>
  <c r="L53" i="28"/>
  <c r="L52"/>
  <c r="F45" i="34"/>
  <c r="G45" s="1"/>
  <c r="G65" i="27"/>
  <c r="J65"/>
  <c r="K65"/>
  <c r="H67"/>
  <c r="T17" s="1"/>
  <c r="I67"/>
  <c r="U17" s="1"/>
  <c r="B67"/>
  <c r="C67" s="1"/>
  <c r="D67"/>
  <c r="E67"/>
  <c r="A68"/>
  <c r="F66"/>
  <c r="F76" i="28"/>
  <c r="G76" s="1"/>
  <c r="F63"/>
  <c r="P63"/>
  <c r="A64" s="1"/>
  <c r="K54"/>
  <c r="J54"/>
  <c r="F46" i="29"/>
  <c r="B50"/>
  <c r="C50" s="1"/>
  <c r="E50"/>
  <c r="A51"/>
  <c r="D50"/>
  <c r="I50"/>
  <c r="U10" s="1"/>
  <c r="H50"/>
  <c r="T10" s="1"/>
  <c r="AC36"/>
  <c r="P46"/>
  <c r="L44" i="34" l="1"/>
  <c r="I66" i="32"/>
  <c r="U16" s="1"/>
  <c r="L54"/>
  <c r="C65"/>
  <c r="F65" s="1"/>
  <c r="G65" s="1"/>
  <c r="A67"/>
  <c r="D66"/>
  <c r="E66"/>
  <c r="B66"/>
  <c r="N46" i="34"/>
  <c r="AC36" s="1"/>
  <c r="D46"/>
  <c r="E46"/>
  <c r="F33"/>
  <c r="A50" s="1"/>
  <c r="A51" s="1"/>
  <c r="A52" s="1"/>
  <c r="I52" s="1"/>
  <c r="U12" s="1"/>
  <c r="I46"/>
  <c r="I57" s="1"/>
  <c r="H46"/>
  <c r="H57" s="1"/>
  <c r="B46"/>
  <c r="C46" s="1"/>
  <c r="O46"/>
  <c r="J51" i="33"/>
  <c r="D53"/>
  <c r="B53"/>
  <c r="C53" s="1"/>
  <c r="H53"/>
  <c r="T13" s="1"/>
  <c r="F52"/>
  <c r="G52" s="1"/>
  <c r="E53"/>
  <c r="I53"/>
  <c r="U13" s="1"/>
  <c r="K51"/>
  <c r="K60"/>
  <c r="J60"/>
  <c r="G60"/>
  <c r="I60" s="1"/>
  <c r="A76"/>
  <c r="B76" s="1"/>
  <c r="C76" s="1"/>
  <c r="A63"/>
  <c r="B63" s="1"/>
  <c r="C63" s="1"/>
  <c r="D54"/>
  <c r="H54"/>
  <c r="T14" s="1"/>
  <c r="I54"/>
  <c r="U14" s="1"/>
  <c r="E54"/>
  <c r="B54"/>
  <c r="C54" s="1"/>
  <c r="L45" i="30"/>
  <c r="A51"/>
  <c r="D51" s="1"/>
  <c r="I50"/>
  <c r="U10" s="1"/>
  <c r="F46"/>
  <c r="G46" s="1"/>
  <c r="P46"/>
  <c r="H50"/>
  <c r="T10" s="1"/>
  <c r="E50"/>
  <c r="B50"/>
  <c r="C50" s="1"/>
  <c r="J54" i="27"/>
  <c r="G54"/>
  <c r="K54"/>
  <c r="L53"/>
  <c r="D45" i="35"/>
  <c r="O45"/>
  <c r="N45"/>
  <c r="E45"/>
  <c r="I45"/>
  <c r="H45"/>
  <c r="B45"/>
  <c r="J44"/>
  <c r="G44"/>
  <c r="K44"/>
  <c r="K45" i="34"/>
  <c r="J45"/>
  <c r="L65" i="27"/>
  <c r="E68"/>
  <c r="B68"/>
  <c r="C68" s="1"/>
  <c r="I68"/>
  <c r="U18" s="1"/>
  <c r="D68"/>
  <c r="H68"/>
  <c r="T18" s="1"/>
  <c r="A69"/>
  <c r="G66"/>
  <c r="K66"/>
  <c r="J66"/>
  <c r="F67"/>
  <c r="K76" i="28"/>
  <c r="J76"/>
  <c r="J63"/>
  <c r="K63"/>
  <c r="G63"/>
  <c r="H64"/>
  <c r="I64"/>
  <c r="N64"/>
  <c r="O64"/>
  <c r="D64"/>
  <c r="B64"/>
  <c r="C64" s="1"/>
  <c r="E64"/>
  <c r="L54"/>
  <c r="J46" i="29"/>
  <c r="K46"/>
  <c r="K57" s="1"/>
  <c r="G46"/>
  <c r="F50"/>
  <c r="G50" s="1"/>
  <c r="H51"/>
  <c r="T11" s="1"/>
  <c r="E51"/>
  <c r="D51"/>
  <c r="I51"/>
  <c r="U11" s="1"/>
  <c r="A52"/>
  <c r="B51"/>
  <c r="C51" s="1"/>
  <c r="K65" i="32" l="1"/>
  <c r="D51" i="34"/>
  <c r="E51"/>
  <c r="B52"/>
  <c r="C52" s="1"/>
  <c r="A53"/>
  <c r="A54" s="1"/>
  <c r="B51"/>
  <c r="C51" s="1"/>
  <c r="J65" i="32"/>
  <c r="E52" i="34"/>
  <c r="D52"/>
  <c r="H51"/>
  <c r="T11" s="1"/>
  <c r="D67" i="32"/>
  <c r="A68"/>
  <c r="B67"/>
  <c r="E67"/>
  <c r="I67"/>
  <c r="U17" s="1"/>
  <c r="H67"/>
  <c r="T17" s="1"/>
  <c r="I51" i="34"/>
  <c r="U11" s="1"/>
  <c r="D50"/>
  <c r="H52"/>
  <c r="T12" s="1"/>
  <c r="E50"/>
  <c r="C66" i="32"/>
  <c r="F66" s="1"/>
  <c r="F46" i="34"/>
  <c r="G46" s="1"/>
  <c r="H50"/>
  <c r="T10" s="1"/>
  <c r="I50"/>
  <c r="U10" s="1"/>
  <c r="P46"/>
  <c r="B50"/>
  <c r="C50" s="1"/>
  <c r="L51" i="33"/>
  <c r="J52"/>
  <c r="F53"/>
  <c r="K53" s="1"/>
  <c r="K52"/>
  <c r="I63"/>
  <c r="D63"/>
  <c r="O63"/>
  <c r="D76"/>
  <c r="H76"/>
  <c r="T15" s="1"/>
  <c r="N63"/>
  <c r="E76"/>
  <c r="E63"/>
  <c r="H63"/>
  <c r="I76"/>
  <c r="U15" s="1"/>
  <c r="F54"/>
  <c r="J46" i="30"/>
  <c r="J57" s="1"/>
  <c r="E51"/>
  <c r="A52"/>
  <c r="A53" s="1"/>
  <c r="B53" s="1"/>
  <c r="C53" s="1"/>
  <c r="B51"/>
  <c r="C51" s="1"/>
  <c r="I51"/>
  <c r="U11" s="1"/>
  <c r="H51"/>
  <c r="T11" s="1"/>
  <c r="K46"/>
  <c r="K57" s="1"/>
  <c r="L44" i="35"/>
  <c r="F50" i="30"/>
  <c r="K50" s="1"/>
  <c r="L54" i="27"/>
  <c r="P45" i="35"/>
  <c r="A46" s="1"/>
  <c r="O46" s="1"/>
  <c r="C45"/>
  <c r="F45" s="1"/>
  <c r="J45" s="1"/>
  <c r="L45" i="34"/>
  <c r="L63" i="28"/>
  <c r="L66" i="27"/>
  <c r="F68"/>
  <c r="G67"/>
  <c r="J67"/>
  <c r="K67"/>
  <c r="B69"/>
  <c r="C69" s="1"/>
  <c r="H69"/>
  <c r="T19" s="1"/>
  <c r="A70"/>
  <c r="E69"/>
  <c r="D69"/>
  <c r="I69"/>
  <c r="U19" s="1"/>
  <c r="L76" i="28"/>
  <c r="P64"/>
  <c r="A65" s="1"/>
  <c r="F64"/>
  <c r="J50" i="29"/>
  <c r="K50"/>
  <c r="A53"/>
  <c r="B52"/>
  <c r="C52" s="1"/>
  <c r="D52"/>
  <c r="I52"/>
  <c r="U12" s="1"/>
  <c r="E52"/>
  <c r="H52"/>
  <c r="T12" s="1"/>
  <c r="J57"/>
  <c r="L46"/>
  <c r="F51"/>
  <c r="H53" i="34"/>
  <c r="T13" s="1"/>
  <c r="I53"/>
  <c r="U13" s="1"/>
  <c r="B53"/>
  <c r="C53" s="1"/>
  <c r="E53"/>
  <c r="D53"/>
  <c r="F52" l="1"/>
  <c r="G52" s="1"/>
  <c r="F51"/>
  <c r="J51" s="1"/>
  <c r="L65" i="32"/>
  <c r="A69"/>
  <c r="I68"/>
  <c r="U18" s="1"/>
  <c r="D68"/>
  <c r="H68"/>
  <c r="T18" s="1"/>
  <c r="E68"/>
  <c r="B68"/>
  <c r="C68" s="1"/>
  <c r="G66"/>
  <c r="K66"/>
  <c r="C67"/>
  <c r="F67" s="1"/>
  <c r="G67" s="1"/>
  <c r="F50" i="34"/>
  <c r="J50" s="1"/>
  <c r="J66" i="32"/>
  <c r="J46" i="34"/>
  <c r="J57" s="1"/>
  <c r="K46"/>
  <c r="K57" s="1"/>
  <c r="G53" i="33"/>
  <c r="L52"/>
  <c r="F63"/>
  <c r="G63" s="1"/>
  <c r="J53"/>
  <c r="L53" s="1"/>
  <c r="P63"/>
  <c r="A64" s="1"/>
  <c r="B64" s="1"/>
  <c r="C64" s="1"/>
  <c r="F76"/>
  <c r="K76" s="1"/>
  <c r="G54"/>
  <c r="J54"/>
  <c r="K54"/>
  <c r="D60" i="30"/>
  <c r="F51"/>
  <c r="G51" s="1"/>
  <c r="B52"/>
  <c r="C52" s="1"/>
  <c r="I52"/>
  <c r="U12" s="1"/>
  <c r="H52"/>
  <c r="T12" s="1"/>
  <c r="H53"/>
  <c r="T13" s="1"/>
  <c r="E52"/>
  <c r="A54"/>
  <c r="H54" s="1"/>
  <c r="T14" s="1"/>
  <c r="I53"/>
  <c r="U13" s="1"/>
  <c r="D52"/>
  <c r="E53"/>
  <c r="D53"/>
  <c r="E60"/>
  <c r="A76" s="1"/>
  <c r="B76" s="1"/>
  <c r="C76" s="1"/>
  <c r="L46"/>
  <c r="G50"/>
  <c r="J50"/>
  <c r="L50" s="1"/>
  <c r="H46" i="35"/>
  <c r="H57" s="1"/>
  <c r="D46"/>
  <c r="E46"/>
  <c r="N46"/>
  <c r="AC36" s="1"/>
  <c r="B46"/>
  <c r="C46" s="1"/>
  <c r="I46"/>
  <c r="I57" s="1"/>
  <c r="F33"/>
  <c r="A50" s="1"/>
  <c r="I50" s="1"/>
  <c r="U10" s="1"/>
  <c r="G45"/>
  <c r="K45"/>
  <c r="L45" s="1"/>
  <c r="L67" i="27"/>
  <c r="J68"/>
  <c r="G68"/>
  <c r="K68"/>
  <c r="F69"/>
  <c r="E70"/>
  <c r="I70"/>
  <c r="U20" s="1"/>
  <c r="B70"/>
  <c r="C70" s="1"/>
  <c r="A71"/>
  <c r="H70"/>
  <c r="T20" s="1"/>
  <c r="D70"/>
  <c r="H65" i="28"/>
  <c r="D65"/>
  <c r="O65"/>
  <c r="B65"/>
  <c r="C65" s="1"/>
  <c r="I65"/>
  <c r="N65"/>
  <c r="E65"/>
  <c r="J64"/>
  <c r="G64"/>
  <c r="K64"/>
  <c r="L50" i="29"/>
  <c r="G51"/>
  <c r="K51"/>
  <c r="J51"/>
  <c r="B53"/>
  <c r="C53" s="1"/>
  <c r="H53"/>
  <c r="T13" s="1"/>
  <c r="E53"/>
  <c r="D53"/>
  <c r="I53"/>
  <c r="U13" s="1"/>
  <c r="A54"/>
  <c r="F52"/>
  <c r="E60"/>
  <c r="D60"/>
  <c r="K52" i="34"/>
  <c r="F53"/>
  <c r="E54"/>
  <c r="D54"/>
  <c r="H54"/>
  <c r="T14" s="1"/>
  <c r="B54"/>
  <c r="C54" s="1"/>
  <c r="I54"/>
  <c r="U14" s="1"/>
  <c r="J52" l="1"/>
  <c r="L52" s="1"/>
  <c r="K51"/>
  <c r="L51" s="1"/>
  <c r="G51"/>
  <c r="K67" i="32"/>
  <c r="H69"/>
  <c r="T19" s="1"/>
  <c r="A70"/>
  <c r="I69"/>
  <c r="U19" s="1"/>
  <c r="E69"/>
  <c r="D69"/>
  <c r="B69"/>
  <c r="K50" i="34"/>
  <c r="L50" s="1"/>
  <c r="G50"/>
  <c r="J67" i="32"/>
  <c r="F68"/>
  <c r="J68" s="1"/>
  <c r="L66"/>
  <c r="D60" i="34"/>
  <c r="L46"/>
  <c r="E60"/>
  <c r="H60" s="1"/>
  <c r="K63" i="33"/>
  <c r="J63"/>
  <c r="I64"/>
  <c r="O64"/>
  <c r="D64"/>
  <c r="E64"/>
  <c r="H64"/>
  <c r="G76"/>
  <c r="J76"/>
  <c r="L76" s="1"/>
  <c r="N64"/>
  <c r="L54"/>
  <c r="J51" i="30"/>
  <c r="K51"/>
  <c r="F52"/>
  <c r="K52" s="1"/>
  <c r="F53"/>
  <c r="G53" s="1"/>
  <c r="E54"/>
  <c r="I54"/>
  <c r="U14" s="1"/>
  <c r="B54"/>
  <c r="C54" s="1"/>
  <c r="D54"/>
  <c r="H60"/>
  <c r="J60"/>
  <c r="E76"/>
  <c r="G60"/>
  <c r="I60" s="1"/>
  <c r="A63"/>
  <c r="D63" s="1"/>
  <c r="K60"/>
  <c r="H76" s="1"/>
  <c r="T15" s="1"/>
  <c r="D76"/>
  <c r="D50" i="35"/>
  <c r="E50"/>
  <c r="A51"/>
  <c r="I51" s="1"/>
  <c r="U11" s="1"/>
  <c r="F46"/>
  <c r="J46" s="1"/>
  <c r="H50"/>
  <c r="T10" s="1"/>
  <c r="B50"/>
  <c r="C50" s="1"/>
  <c r="P46"/>
  <c r="L68" i="27"/>
  <c r="G69"/>
  <c r="K69"/>
  <c r="J69"/>
  <c r="F70"/>
  <c r="H71"/>
  <c r="T21" s="1"/>
  <c r="D71"/>
  <c r="B71"/>
  <c r="C71" s="1"/>
  <c r="I71"/>
  <c r="U21" s="1"/>
  <c r="E71"/>
  <c r="A72"/>
  <c r="F65" i="28"/>
  <c r="P65"/>
  <c r="A66" s="1"/>
  <c r="L64"/>
  <c r="K60" i="29"/>
  <c r="L51"/>
  <c r="B54"/>
  <c r="C54" s="1"/>
  <c r="I54"/>
  <c r="U14" s="1"/>
  <c r="E54"/>
  <c r="H54"/>
  <c r="T14" s="1"/>
  <c r="D54"/>
  <c r="J52"/>
  <c r="K52"/>
  <c r="G52"/>
  <c r="H60"/>
  <c r="G60"/>
  <c r="I60" s="1"/>
  <c r="A63"/>
  <c r="A76"/>
  <c r="J60"/>
  <c r="F53"/>
  <c r="F54" i="34"/>
  <c r="G54" s="1"/>
  <c r="G53"/>
  <c r="K53"/>
  <c r="J53"/>
  <c r="L67" i="32" l="1"/>
  <c r="G68"/>
  <c r="K68"/>
  <c r="L68" s="1"/>
  <c r="H70"/>
  <c r="T20" s="1"/>
  <c r="E70"/>
  <c r="D70"/>
  <c r="B70"/>
  <c r="I70"/>
  <c r="U20" s="1"/>
  <c r="A71"/>
  <c r="C69"/>
  <c r="F69" s="1"/>
  <c r="J69" s="1"/>
  <c r="G60" i="34"/>
  <c r="I60" s="1"/>
  <c r="A63"/>
  <c r="B63" s="1"/>
  <c r="C63" s="1"/>
  <c r="K60"/>
  <c r="J60"/>
  <c r="A76"/>
  <c r="D76" s="1"/>
  <c r="L63" i="33"/>
  <c r="P64"/>
  <c r="A65" s="1"/>
  <c r="I65" s="1"/>
  <c r="F64"/>
  <c r="J64" s="1"/>
  <c r="L51" i="30"/>
  <c r="J53"/>
  <c r="G52"/>
  <c r="J52"/>
  <c r="L52" s="1"/>
  <c r="K53"/>
  <c r="G46" i="35"/>
  <c r="F54" i="30"/>
  <c r="J54" s="1"/>
  <c r="F76"/>
  <c r="K76" s="1"/>
  <c r="E63"/>
  <c r="H63"/>
  <c r="I63"/>
  <c r="I76"/>
  <c r="U15" s="1"/>
  <c r="N63"/>
  <c r="O63"/>
  <c r="B63"/>
  <c r="C63" s="1"/>
  <c r="F50" i="35"/>
  <c r="J50" s="1"/>
  <c r="A52"/>
  <c r="D52" s="1"/>
  <c r="H51"/>
  <c r="T11" s="1"/>
  <c r="D51"/>
  <c r="E51"/>
  <c r="B51"/>
  <c r="C51" s="1"/>
  <c r="K46"/>
  <c r="K57" s="1"/>
  <c r="J57"/>
  <c r="L69" i="27"/>
  <c r="K70"/>
  <c r="J70"/>
  <c r="G70"/>
  <c r="F71"/>
  <c r="H72"/>
  <c r="T22" s="1"/>
  <c r="D72"/>
  <c r="I72"/>
  <c r="U22" s="1"/>
  <c r="A73"/>
  <c r="B72"/>
  <c r="C72" s="1"/>
  <c r="E72"/>
  <c r="J65" i="28"/>
  <c r="K65"/>
  <c r="G65"/>
  <c r="E66"/>
  <c r="B66"/>
  <c r="C66" s="1"/>
  <c r="N66"/>
  <c r="D66"/>
  <c r="H66"/>
  <c r="O66"/>
  <c r="I66"/>
  <c r="H76" i="29"/>
  <c r="T15" s="1"/>
  <c r="O63"/>
  <c r="N63"/>
  <c r="J54" i="34"/>
  <c r="K54"/>
  <c r="L53"/>
  <c r="H63" i="29"/>
  <c r="I76"/>
  <c r="U15" s="1"/>
  <c r="F54"/>
  <c r="D63"/>
  <c r="B63"/>
  <c r="C63" s="1"/>
  <c r="E63"/>
  <c r="I63"/>
  <c r="B76"/>
  <c r="C76" s="1"/>
  <c r="D76"/>
  <c r="E76"/>
  <c r="G53"/>
  <c r="J53"/>
  <c r="K53"/>
  <c r="L52"/>
  <c r="E76" i="34" l="1"/>
  <c r="I71" i="32"/>
  <c r="U21" s="1"/>
  <c r="B71"/>
  <c r="H71"/>
  <c r="T21" s="1"/>
  <c r="D71"/>
  <c r="E71"/>
  <c r="A72"/>
  <c r="K69"/>
  <c r="L69" s="1"/>
  <c r="G69"/>
  <c r="C70"/>
  <c r="F70" s="1"/>
  <c r="G70" s="1"/>
  <c r="E63" i="34"/>
  <c r="D63"/>
  <c r="N63"/>
  <c r="H76"/>
  <c r="T15" s="1"/>
  <c r="O63"/>
  <c r="I63"/>
  <c r="H63"/>
  <c r="I76"/>
  <c r="U15" s="1"/>
  <c r="B76"/>
  <c r="C76" s="1"/>
  <c r="O65" i="33"/>
  <c r="D65"/>
  <c r="H65"/>
  <c r="B65"/>
  <c r="C65" s="1"/>
  <c r="E65"/>
  <c r="N65"/>
  <c r="K64"/>
  <c r="L64" s="1"/>
  <c r="G64"/>
  <c r="G50" i="35"/>
  <c r="K50"/>
  <c r="L50" s="1"/>
  <c r="L53" i="30"/>
  <c r="H52" i="35"/>
  <c r="T12" s="1"/>
  <c r="B52"/>
  <c r="C52" s="1"/>
  <c r="E52"/>
  <c r="K54" i="30"/>
  <c r="L54" s="1"/>
  <c r="F63"/>
  <c r="J63" s="1"/>
  <c r="G54"/>
  <c r="G76"/>
  <c r="J76"/>
  <c r="L76" s="1"/>
  <c r="P63"/>
  <c r="A64" s="1"/>
  <c r="D64" s="1"/>
  <c r="F51" i="35"/>
  <c r="J51" s="1"/>
  <c r="I52"/>
  <c r="U12" s="1"/>
  <c r="A53"/>
  <c r="E53" s="1"/>
  <c r="L46"/>
  <c r="D60"/>
  <c r="E60"/>
  <c r="F72" i="27"/>
  <c r="L70"/>
  <c r="G71"/>
  <c r="K71"/>
  <c r="J71"/>
  <c r="I73"/>
  <c r="U23" s="1"/>
  <c r="D73"/>
  <c r="B73"/>
  <c r="C73" s="1"/>
  <c r="E73"/>
  <c r="H73"/>
  <c r="T23" s="1"/>
  <c r="A74"/>
  <c r="P66" i="28"/>
  <c r="A67" s="1"/>
  <c r="D67" s="1"/>
  <c r="L65"/>
  <c r="F66"/>
  <c r="P63" i="29"/>
  <c r="A64" s="1"/>
  <c r="H64" s="1"/>
  <c r="L53"/>
  <c r="L54" i="34"/>
  <c r="G54" i="29"/>
  <c r="J54"/>
  <c r="K54"/>
  <c r="F76"/>
  <c r="F63"/>
  <c r="F76" i="34" l="1"/>
  <c r="J76" s="1"/>
  <c r="F63"/>
  <c r="G63" s="1"/>
  <c r="C71" i="32"/>
  <c r="F71" s="1"/>
  <c r="G71" s="1"/>
  <c r="K70"/>
  <c r="H72"/>
  <c r="T22" s="1"/>
  <c r="A73"/>
  <c r="B72"/>
  <c r="E72"/>
  <c r="I72"/>
  <c r="U22" s="1"/>
  <c r="D72"/>
  <c r="J70"/>
  <c r="P63" i="34"/>
  <c r="A64" s="1"/>
  <c r="B64" s="1"/>
  <c r="C64" s="1"/>
  <c r="F65" i="33"/>
  <c r="K65" s="1"/>
  <c r="P65"/>
  <c r="A66" s="1"/>
  <c r="I66" s="1"/>
  <c r="K51" i="35"/>
  <c r="L51" s="1"/>
  <c r="G51"/>
  <c r="F52"/>
  <c r="K52" s="1"/>
  <c r="K60"/>
  <c r="B53"/>
  <c r="C53" s="1"/>
  <c r="G63" i="30"/>
  <c r="K63"/>
  <c r="L63" s="1"/>
  <c r="I64"/>
  <c r="E64"/>
  <c r="H64"/>
  <c r="B64"/>
  <c r="C64" s="1"/>
  <c r="N64"/>
  <c r="O64"/>
  <c r="H53" i="35"/>
  <c r="T13" s="1"/>
  <c r="I53"/>
  <c r="U13" s="1"/>
  <c r="D53"/>
  <c r="A54"/>
  <c r="D54" s="1"/>
  <c r="A63"/>
  <c r="H60"/>
  <c r="A76"/>
  <c r="J60"/>
  <c r="G60"/>
  <c r="I60" s="1"/>
  <c r="J72" i="27"/>
  <c r="G72"/>
  <c r="K72"/>
  <c r="H74"/>
  <c r="T24" s="1"/>
  <c r="E74"/>
  <c r="A75"/>
  <c r="I74"/>
  <c r="U24" s="1"/>
  <c r="D74"/>
  <c r="B74"/>
  <c r="C74" s="1"/>
  <c r="L71"/>
  <c r="F73"/>
  <c r="I67" i="28"/>
  <c r="O67"/>
  <c r="H67"/>
  <c r="N67"/>
  <c r="B67"/>
  <c r="C67" s="1"/>
  <c r="E67"/>
  <c r="G66"/>
  <c r="J66"/>
  <c r="K66"/>
  <c r="D64" i="29"/>
  <c r="N64"/>
  <c r="I64"/>
  <c r="B64"/>
  <c r="C64" s="1"/>
  <c r="E64"/>
  <c r="O64"/>
  <c r="L54"/>
  <c r="G76"/>
  <c r="K76"/>
  <c r="J76"/>
  <c r="G63"/>
  <c r="K63"/>
  <c r="J63"/>
  <c r="G76" i="34" l="1"/>
  <c r="K76"/>
  <c r="L76" s="1"/>
  <c r="J63"/>
  <c r="K63"/>
  <c r="L70" i="32"/>
  <c r="K71"/>
  <c r="D73"/>
  <c r="A74"/>
  <c r="I73"/>
  <c r="U23" s="1"/>
  <c r="H73"/>
  <c r="T23" s="1"/>
  <c r="E73"/>
  <c r="B73"/>
  <c r="J71"/>
  <c r="C72"/>
  <c r="F72" s="1"/>
  <c r="G72" s="1"/>
  <c r="E64" i="34"/>
  <c r="O64"/>
  <c r="D64"/>
  <c r="I64"/>
  <c r="N64"/>
  <c r="H64"/>
  <c r="E66" i="33"/>
  <c r="J65"/>
  <c r="L65" s="1"/>
  <c r="G65"/>
  <c r="O66"/>
  <c r="B66"/>
  <c r="C66" s="1"/>
  <c r="H66"/>
  <c r="N66"/>
  <c r="D66"/>
  <c r="H54" i="35"/>
  <c r="T14" s="1"/>
  <c r="J52"/>
  <c r="L52" s="1"/>
  <c r="G52"/>
  <c r="E54"/>
  <c r="F53"/>
  <c r="G53" s="1"/>
  <c r="F64" i="30"/>
  <c r="G64" s="1"/>
  <c r="I54" i="35"/>
  <c r="U14" s="1"/>
  <c r="B54"/>
  <c r="C54" s="1"/>
  <c r="P64" i="30"/>
  <c r="A65" s="1"/>
  <c r="B65" s="1"/>
  <c r="I63" i="35"/>
  <c r="N63"/>
  <c r="B63"/>
  <c r="C63" s="1"/>
  <c r="O63"/>
  <c r="D63"/>
  <c r="H63"/>
  <c r="E63"/>
  <c r="E76"/>
  <c r="D76"/>
  <c r="B76"/>
  <c r="C76" s="1"/>
  <c r="I76"/>
  <c r="U15" s="1"/>
  <c r="H76"/>
  <c r="T15" s="1"/>
  <c r="F67" i="28"/>
  <c r="K67" s="1"/>
  <c r="L72" i="27"/>
  <c r="D75"/>
  <c r="B75"/>
  <c r="C75" s="1"/>
  <c r="H75"/>
  <c r="T25" s="1"/>
  <c r="I75"/>
  <c r="U25" s="1"/>
  <c r="A76"/>
  <c r="E75"/>
  <c r="F74"/>
  <c r="G73"/>
  <c r="J73"/>
  <c r="K73"/>
  <c r="P67" i="28"/>
  <c r="A68" s="1"/>
  <c r="L66"/>
  <c r="F64" i="29"/>
  <c r="K64" s="1"/>
  <c r="P64"/>
  <c r="A65" s="1"/>
  <c r="O65" s="1"/>
  <c r="L76"/>
  <c r="L63"/>
  <c r="L63" i="34" l="1"/>
  <c r="L71" i="32"/>
  <c r="J72"/>
  <c r="H74"/>
  <c r="T24" s="1"/>
  <c r="E74"/>
  <c r="D74"/>
  <c r="I74"/>
  <c r="U24" s="1"/>
  <c r="A75"/>
  <c r="B74"/>
  <c r="K72"/>
  <c r="C73"/>
  <c r="F73" s="1"/>
  <c r="G73" s="1"/>
  <c r="F64" i="34"/>
  <c r="K64" s="1"/>
  <c r="P64"/>
  <c r="A65" s="1"/>
  <c r="O65" s="1"/>
  <c r="P66" i="33"/>
  <c r="A67" s="1"/>
  <c r="I67" s="1"/>
  <c r="F66"/>
  <c r="K66" s="1"/>
  <c r="F54" i="35"/>
  <c r="J54" s="1"/>
  <c r="K53"/>
  <c r="J53"/>
  <c r="J64" i="30"/>
  <c r="K64"/>
  <c r="O65"/>
  <c r="P63" i="35"/>
  <c r="A64" s="1"/>
  <c r="N64" s="1"/>
  <c r="I65" i="30"/>
  <c r="H65"/>
  <c r="N65"/>
  <c r="D65"/>
  <c r="E65"/>
  <c r="F63" i="35"/>
  <c r="F76"/>
  <c r="J67" i="28"/>
  <c r="L67" s="1"/>
  <c r="G67"/>
  <c r="F75" i="27"/>
  <c r="G75" s="1"/>
  <c r="L73"/>
  <c r="D76"/>
  <c r="B76"/>
  <c r="C76" s="1"/>
  <c r="H76"/>
  <c r="T26" s="1"/>
  <c r="E76"/>
  <c r="I76"/>
  <c r="U26" s="1"/>
  <c r="A77"/>
  <c r="G74"/>
  <c r="J74"/>
  <c r="K74"/>
  <c r="I65" i="29"/>
  <c r="I68" i="28"/>
  <c r="D68"/>
  <c r="H68"/>
  <c r="E68"/>
  <c r="N68"/>
  <c r="B68"/>
  <c r="C68" s="1"/>
  <c r="O68"/>
  <c r="E65" i="29"/>
  <c r="G64"/>
  <c r="J64"/>
  <c r="L64" s="1"/>
  <c r="N65"/>
  <c r="P65" s="1"/>
  <c r="A66" s="1"/>
  <c r="N66" s="1"/>
  <c r="H65"/>
  <c r="D65"/>
  <c r="B65"/>
  <c r="C65" s="1"/>
  <c r="C65" i="30"/>
  <c r="L72" i="32" l="1"/>
  <c r="J73"/>
  <c r="A76"/>
  <c r="I75"/>
  <c r="U25" s="1"/>
  <c r="B75"/>
  <c r="D75"/>
  <c r="E75"/>
  <c r="H75"/>
  <c r="T25" s="1"/>
  <c r="K73"/>
  <c r="C74"/>
  <c r="F74" s="1"/>
  <c r="G74" s="1"/>
  <c r="J64" i="34"/>
  <c r="L64" s="1"/>
  <c r="G64"/>
  <c r="I65"/>
  <c r="D65"/>
  <c r="E65"/>
  <c r="N65"/>
  <c r="P65" s="1"/>
  <c r="A66" s="1"/>
  <c r="H65"/>
  <c r="B65"/>
  <c r="C65" s="1"/>
  <c r="J66" i="33"/>
  <c r="L66" s="1"/>
  <c r="H67"/>
  <c r="B67"/>
  <c r="C67" s="1"/>
  <c r="N67"/>
  <c r="D67"/>
  <c r="O67"/>
  <c r="E67"/>
  <c r="G66"/>
  <c r="G54" i="35"/>
  <c r="O64"/>
  <c r="P64" s="1"/>
  <c r="A65" s="1"/>
  <c r="E65" s="1"/>
  <c r="B64"/>
  <c r="C64" s="1"/>
  <c r="D64"/>
  <c r="K54"/>
  <c r="L54" s="1"/>
  <c r="P65" i="30"/>
  <c r="A66" s="1"/>
  <c r="O66" s="1"/>
  <c r="L53" i="35"/>
  <c r="L64" i="30"/>
  <c r="E64" i="35"/>
  <c r="I64"/>
  <c r="H64"/>
  <c r="F65" i="30"/>
  <c r="G65" s="1"/>
  <c r="G63" i="35"/>
  <c r="J63"/>
  <c r="K63"/>
  <c r="G76"/>
  <c r="J76"/>
  <c r="K76"/>
  <c r="J75" i="27"/>
  <c r="K75"/>
  <c r="L74"/>
  <c r="P68" i="28"/>
  <c r="A69" s="1"/>
  <c r="H69" s="1"/>
  <c r="F76" i="27"/>
  <c r="I77"/>
  <c r="U27" s="1"/>
  <c r="B77"/>
  <c r="C77" s="1"/>
  <c r="A78"/>
  <c r="D77"/>
  <c r="E77"/>
  <c r="H77"/>
  <c r="T27" s="1"/>
  <c r="B66" i="29"/>
  <c r="C66" s="1"/>
  <c r="I66"/>
  <c r="E66"/>
  <c r="F68" i="28"/>
  <c r="O66" i="29"/>
  <c r="P66" s="1"/>
  <c r="A67" s="1"/>
  <c r="O67" s="1"/>
  <c r="H66"/>
  <c r="D66"/>
  <c r="F65"/>
  <c r="G65" s="1"/>
  <c r="C75" i="32" l="1"/>
  <c r="F75" s="1"/>
  <c r="G75" s="1"/>
  <c r="L73"/>
  <c r="J74"/>
  <c r="B76"/>
  <c r="D76"/>
  <c r="E76"/>
  <c r="A77"/>
  <c r="I76"/>
  <c r="U26" s="1"/>
  <c r="H76"/>
  <c r="T26" s="1"/>
  <c r="K74"/>
  <c r="F65" i="34"/>
  <c r="G65" s="1"/>
  <c r="H66"/>
  <c r="F67" i="33"/>
  <c r="K67" s="1"/>
  <c r="P67"/>
  <c r="A68" s="1"/>
  <c r="I68" s="1"/>
  <c r="D66" i="34"/>
  <c r="B66"/>
  <c r="C66" s="1"/>
  <c r="I66"/>
  <c r="O66"/>
  <c r="N66"/>
  <c r="E66"/>
  <c r="D65" i="35"/>
  <c r="O65"/>
  <c r="B65"/>
  <c r="C65" s="1"/>
  <c r="I65"/>
  <c r="N65"/>
  <c r="H65"/>
  <c r="F64"/>
  <c r="J64" s="1"/>
  <c r="H66" i="30"/>
  <c r="N66"/>
  <c r="P66" s="1"/>
  <c r="A67" s="1"/>
  <c r="H67" s="1"/>
  <c r="B66"/>
  <c r="C66" s="1"/>
  <c r="D66"/>
  <c r="E66"/>
  <c r="I66"/>
  <c r="K65"/>
  <c r="J65"/>
  <c r="N69" i="28"/>
  <c r="L63" i="35"/>
  <c r="L76"/>
  <c r="F66" i="29"/>
  <c r="G66" s="1"/>
  <c r="L75" i="27"/>
  <c r="B69" i="28"/>
  <c r="C69" s="1"/>
  <c r="F77" i="27"/>
  <c r="D69" i="28"/>
  <c r="I69"/>
  <c r="K65" i="29"/>
  <c r="O69" i="28"/>
  <c r="E69"/>
  <c r="K76" i="27"/>
  <c r="J76"/>
  <c r="G76"/>
  <c r="A79"/>
  <c r="B78"/>
  <c r="C78" s="1"/>
  <c r="H78"/>
  <c r="T28" s="1"/>
  <c r="I78"/>
  <c r="U28" s="1"/>
  <c r="E78"/>
  <c r="D78"/>
  <c r="I67" i="29"/>
  <c r="G68" i="28"/>
  <c r="K68"/>
  <c r="J68"/>
  <c r="H67" i="29"/>
  <c r="B67"/>
  <c r="C67" s="1"/>
  <c r="E67"/>
  <c r="N67"/>
  <c r="P67" s="1"/>
  <c r="A68" s="1"/>
  <c r="H68" s="1"/>
  <c r="D67"/>
  <c r="J65"/>
  <c r="H77" i="32" l="1"/>
  <c r="T27" s="1"/>
  <c r="E77"/>
  <c r="B77"/>
  <c r="C77" s="1"/>
  <c r="I77"/>
  <c r="U27" s="1"/>
  <c r="A78"/>
  <c r="D77"/>
  <c r="L74"/>
  <c r="C76"/>
  <c r="F76" s="1"/>
  <c r="G76" s="1"/>
  <c r="K75"/>
  <c r="J75"/>
  <c r="K65" i="34"/>
  <c r="J65"/>
  <c r="P66"/>
  <c r="A67" s="1"/>
  <c r="O68" i="33"/>
  <c r="H68"/>
  <c r="E68"/>
  <c r="J67"/>
  <c r="L67" s="1"/>
  <c r="G67"/>
  <c r="N68"/>
  <c r="D68"/>
  <c r="B68"/>
  <c r="C68" s="1"/>
  <c r="F66" i="34"/>
  <c r="K66" s="1"/>
  <c r="P65" i="35"/>
  <c r="A66" s="1"/>
  <c r="H66" s="1"/>
  <c r="F65"/>
  <c r="J65" s="1"/>
  <c r="G64"/>
  <c r="K64"/>
  <c r="L64" s="1"/>
  <c r="F66" i="30"/>
  <c r="K66" s="1"/>
  <c r="L65"/>
  <c r="P69" i="28"/>
  <c r="A70" s="1"/>
  <c r="B70" s="1"/>
  <c r="L65" i="29"/>
  <c r="K66"/>
  <c r="J66"/>
  <c r="G77" i="27"/>
  <c r="K77"/>
  <c r="J77"/>
  <c r="F69" i="28"/>
  <c r="J69" s="1"/>
  <c r="L76" i="27"/>
  <c r="E79"/>
  <c r="D79"/>
  <c r="B79"/>
  <c r="C79" s="1"/>
  <c r="A80"/>
  <c r="I79"/>
  <c r="U29" s="1"/>
  <c r="H79"/>
  <c r="T29" s="1"/>
  <c r="F78"/>
  <c r="F67" i="29"/>
  <c r="K67" s="1"/>
  <c r="L68" i="28"/>
  <c r="D68" i="29"/>
  <c r="B68"/>
  <c r="C68" s="1"/>
  <c r="I68"/>
  <c r="E68"/>
  <c r="O68"/>
  <c r="N68"/>
  <c r="N67" i="30"/>
  <c r="I67"/>
  <c r="O67"/>
  <c r="E67"/>
  <c r="D67"/>
  <c r="B67"/>
  <c r="C67" s="1"/>
  <c r="J76" i="32" l="1"/>
  <c r="L75"/>
  <c r="H78"/>
  <c r="T28" s="1"/>
  <c r="I78"/>
  <c r="U28" s="1"/>
  <c r="B78"/>
  <c r="D78"/>
  <c r="E78"/>
  <c r="A79"/>
  <c r="K76"/>
  <c r="F77"/>
  <c r="G77" s="1"/>
  <c r="L65" i="34"/>
  <c r="B67"/>
  <c r="C67" s="1"/>
  <c r="F68" i="33"/>
  <c r="J68" s="1"/>
  <c r="P68"/>
  <c r="A69" s="1"/>
  <c r="D69" s="1"/>
  <c r="I67" i="34"/>
  <c r="H67"/>
  <c r="D67"/>
  <c r="O67"/>
  <c r="E67"/>
  <c r="N67"/>
  <c r="J66"/>
  <c r="L66" s="1"/>
  <c r="G66"/>
  <c r="G65" i="35"/>
  <c r="I66"/>
  <c r="D66"/>
  <c r="K65"/>
  <c r="L65" s="1"/>
  <c r="O66"/>
  <c r="E66"/>
  <c r="B66"/>
  <c r="C66" s="1"/>
  <c r="N66"/>
  <c r="J66" i="30"/>
  <c r="L66" s="1"/>
  <c r="G66"/>
  <c r="H70" i="28"/>
  <c r="I70"/>
  <c r="N70"/>
  <c r="O70"/>
  <c r="D70"/>
  <c r="E70"/>
  <c r="L66" i="29"/>
  <c r="L77" i="27"/>
  <c r="K69" i="28"/>
  <c r="L69" s="1"/>
  <c r="G69"/>
  <c r="F79" i="27"/>
  <c r="B80"/>
  <c r="C80" s="1"/>
  <c r="D80"/>
  <c r="E80"/>
  <c r="H80"/>
  <c r="T30" s="1"/>
  <c r="A81"/>
  <c r="I80"/>
  <c r="U30" s="1"/>
  <c r="G78"/>
  <c r="K78"/>
  <c r="J78"/>
  <c r="J67" i="29"/>
  <c r="L67" s="1"/>
  <c r="G67"/>
  <c r="C70" i="28"/>
  <c r="P68" i="29"/>
  <c r="A69" s="1"/>
  <c r="N69" s="1"/>
  <c r="F68"/>
  <c r="K68" s="1"/>
  <c r="F67" i="30"/>
  <c r="K67" s="1"/>
  <c r="P67"/>
  <c r="A68" s="1"/>
  <c r="E68" s="1"/>
  <c r="A80" i="32" l="1"/>
  <c r="B79"/>
  <c r="E79"/>
  <c r="D79"/>
  <c r="H79"/>
  <c r="T29" s="1"/>
  <c r="I79"/>
  <c r="U29" s="1"/>
  <c r="J77"/>
  <c r="L76"/>
  <c r="K77"/>
  <c r="C78"/>
  <c r="F78" s="1"/>
  <c r="G78" s="1"/>
  <c r="P67" i="34"/>
  <c r="A68" s="1"/>
  <c r="N69" i="33"/>
  <c r="E69"/>
  <c r="G68"/>
  <c r="K68"/>
  <c r="L68" s="1"/>
  <c r="O69"/>
  <c r="B69"/>
  <c r="C69" s="1"/>
  <c r="H69"/>
  <c r="I69"/>
  <c r="F67" i="34"/>
  <c r="G67" s="1"/>
  <c r="F66" i="35"/>
  <c r="K66" s="1"/>
  <c r="P66"/>
  <c r="A67" s="1"/>
  <c r="N67" s="1"/>
  <c r="F70" i="28"/>
  <c r="G70" s="1"/>
  <c r="P70"/>
  <c r="A71" s="1"/>
  <c r="B71" s="1"/>
  <c r="C71" s="1"/>
  <c r="L78" i="27"/>
  <c r="F80"/>
  <c r="G80" s="1"/>
  <c r="J79"/>
  <c r="K79"/>
  <c r="G79"/>
  <c r="B81"/>
  <c r="C81" s="1"/>
  <c r="I81"/>
  <c r="U31" s="1"/>
  <c r="A82"/>
  <c r="E81"/>
  <c r="H81"/>
  <c r="T31" s="1"/>
  <c r="D81"/>
  <c r="O69" i="29"/>
  <c r="P69" s="1"/>
  <c r="A70" s="1"/>
  <c r="E70" s="1"/>
  <c r="H69"/>
  <c r="G68"/>
  <c r="E69"/>
  <c r="J68"/>
  <c r="L68" s="1"/>
  <c r="D69"/>
  <c r="B69"/>
  <c r="C69" s="1"/>
  <c r="I69"/>
  <c r="G67" i="30"/>
  <c r="J67"/>
  <c r="L67" s="1"/>
  <c r="B68"/>
  <c r="C68" s="1"/>
  <c r="D68"/>
  <c r="N68"/>
  <c r="I68"/>
  <c r="O68"/>
  <c r="H68"/>
  <c r="D80" i="32" l="1"/>
  <c r="A81"/>
  <c r="H80"/>
  <c r="T30" s="1"/>
  <c r="E80"/>
  <c r="B80"/>
  <c r="I80"/>
  <c r="U30" s="1"/>
  <c r="C79"/>
  <c r="F79" s="1"/>
  <c r="K78"/>
  <c r="J78"/>
  <c r="L77"/>
  <c r="O68" i="34"/>
  <c r="P69" i="33"/>
  <c r="A70" s="1"/>
  <c r="O70" s="1"/>
  <c r="F69"/>
  <c r="G69" s="1"/>
  <c r="N68" i="34"/>
  <c r="J67"/>
  <c r="K67"/>
  <c r="B68"/>
  <c r="C68" s="1"/>
  <c r="E68"/>
  <c r="H68"/>
  <c r="D68"/>
  <c r="I68"/>
  <c r="J66" i="35"/>
  <c r="L66" s="1"/>
  <c r="G66"/>
  <c r="D67"/>
  <c r="B67"/>
  <c r="C67" s="1"/>
  <c r="E67"/>
  <c r="O67"/>
  <c r="P67" s="1"/>
  <c r="A68" s="1"/>
  <c r="I68" s="1"/>
  <c r="H67"/>
  <c r="I67"/>
  <c r="J70" i="28"/>
  <c r="K70"/>
  <c r="E71"/>
  <c r="N71"/>
  <c r="I71"/>
  <c r="D71"/>
  <c r="O71"/>
  <c r="H71"/>
  <c r="J80" i="27"/>
  <c r="K80"/>
  <c r="L79"/>
  <c r="F81"/>
  <c r="H82"/>
  <c r="T32" s="1"/>
  <c r="I82"/>
  <c r="U32" s="1"/>
  <c r="E82"/>
  <c r="A83"/>
  <c r="D82"/>
  <c r="B82"/>
  <c r="C82" s="1"/>
  <c r="N70" i="29"/>
  <c r="H70"/>
  <c r="B70"/>
  <c r="C70" s="1"/>
  <c r="I70"/>
  <c r="D70"/>
  <c r="O70"/>
  <c r="F69"/>
  <c r="K69" s="1"/>
  <c r="F68" i="30"/>
  <c r="G68" s="1"/>
  <c r="P68"/>
  <c r="A69" s="1"/>
  <c r="B69" s="1"/>
  <c r="C69" s="1"/>
  <c r="L78" i="32" l="1"/>
  <c r="H81"/>
  <c r="T31" s="1"/>
  <c r="I81"/>
  <c r="U31" s="1"/>
  <c r="E81"/>
  <c r="D81"/>
  <c r="A82"/>
  <c r="B81"/>
  <c r="C80"/>
  <c r="F80" s="1"/>
  <c r="G80" s="1"/>
  <c r="G79"/>
  <c r="K79"/>
  <c r="J79"/>
  <c r="P68" i="34"/>
  <c r="A69" s="1"/>
  <c r="D70" i="33"/>
  <c r="N70"/>
  <c r="P70" s="1"/>
  <c r="A71" s="1"/>
  <c r="I71" s="1"/>
  <c r="I70"/>
  <c r="H70"/>
  <c r="E70"/>
  <c r="K69"/>
  <c r="J69"/>
  <c r="B70"/>
  <c r="C70" s="1"/>
  <c r="F68" i="34"/>
  <c r="L67"/>
  <c r="F67" i="35"/>
  <c r="K67" s="1"/>
  <c r="O68"/>
  <c r="N68"/>
  <c r="E68"/>
  <c r="B68"/>
  <c r="C68" s="1"/>
  <c r="D68"/>
  <c r="H68"/>
  <c r="L70" i="28"/>
  <c r="F71"/>
  <c r="J71" s="1"/>
  <c r="P71"/>
  <c r="A72" s="1"/>
  <c r="E72" s="1"/>
  <c r="L80" i="27"/>
  <c r="G81"/>
  <c r="K81"/>
  <c r="J81"/>
  <c r="A84"/>
  <c r="D83"/>
  <c r="E83"/>
  <c r="H83"/>
  <c r="T33" s="1"/>
  <c r="I83"/>
  <c r="U33" s="1"/>
  <c r="B83"/>
  <c r="C83" s="1"/>
  <c r="F82"/>
  <c r="F70" i="29"/>
  <c r="G70" s="1"/>
  <c r="P70"/>
  <c r="A71" s="1"/>
  <c r="H71" s="1"/>
  <c r="J69"/>
  <c r="L69" s="1"/>
  <c r="G69"/>
  <c r="K68" i="30"/>
  <c r="J68"/>
  <c r="E69"/>
  <c r="I69"/>
  <c r="H69"/>
  <c r="D69"/>
  <c r="O69"/>
  <c r="N69"/>
  <c r="K80" i="32" l="1"/>
  <c r="L79"/>
  <c r="B82"/>
  <c r="I82"/>
  <c r="U32" s="1"/>
  <c r="A83"/>
  <c r="E82"/>
  <c r="D82"/>
  <c r="H82"/>
  <c r="T32" s="1"/>
  <c r="C81"/>
  <c r="F81" s="1"/>
  <c r="G81" s="1"/>
  <c r="J80"/>
  <c r="N69" i="34"/>
  <c r="D69"/>
  <c r="H69"/>
  <c r="O69"/>
  <c r="E69"/>
  <c r="I69"/>
  <c r="B69"/>
  <c r="C69" s="1"/>
  <c r="F70" i="33"/>
  <c r="K70" s="1"/>
  <c r="L69"/>
  <c r="B71"/>
  <c r="C71" s="1"/>
  <c r="O71"/>
  <c r="N71"/>
  <c r="H71"/>
  <c r="D71"/>
  <c r="E71"/>
  <c r="G68" i="34"/>
  <c r="J68"/>
  <c r="K68"/>
  <c r="G67" i="35"/>
  <c r="J67"/>
  <c r="L67" s="1"/>
  <c r="P68"/>
  <c r="A69" s="1"/>
  <c r="E69" s="1"/>
  <c r="F68"/>
  <c r="J68" s="1"/>
  <c r="K71" i="28"/>
  <c r="L71" s="1"/>
  <c r="G71"/>
  <c r="H72"/>
  <c r="D72"/>
  <c r="I72"/>
  <c r="O72"/>
  <c r="B72"/>
  <c r="C72" s="1"/>
  <c r="N72"/>
  <c r="J70" i="29"/>
  <c r="F83" i="27"/>
  <c r="G83" s="1"/>
  <c r="J82"/>
  <c r="G82"/>
  <c r="K82"/>
  <c r="L81"/>
  <c r="A85"/>
  <c r="I84"/>
  <c r="U34" s="1"/>
  <c r="H84"/>
  <c r="T34" s="1"/>
  <c r="E84"/>
  <c r="B84"/>
  <c r="C84" s="1"/>
  <c r="D84"/>
  <c r="I71" i="29"/>
  <c r="B71"/>
  <c r="C71" s="1"/>
  <c r="D71"/>
  <c r="N71"/>
  <c r="O71"/>
  <c r="K70"/>
  <c r="E71"/>
  <c r="L68" i="30"/>
  <c r="P69"/>
  <c r="A70" s="1"/>
  <c r="O70" s="1"/>
  <c r="F69"/>
  <c r="K69" s="1"/>
  <c r="L80" i="32" l="1"/>
  <c r="K81"/>
  <c r="J81"/>
  <c r="C82"/>
  <c r="F82" s="1"/>
  <c r="G82" s="1"/>
  <c r="H83"/>
  <c r="T33" s="1"/>
  <c r="I83"/>
  <c r="U33" s="1"/>
  <c r="B83"/>
  <c r="E83"/>
  <c r="D83"/>
  <c r="A84"/>
  <c r="P69" i="34"/>
  <c r="A70" s="1"/>
  <c r="F69"/>
  <c r="K69" s="1"/>
  <c r="G70" i="33"/>
  <c r="J70"/>
  <c r="L70" s="1"/>
  <c r="F71"/>
  <c r="K71" s="1"/>
  <c r="P71"/>
  <c r="A72" s="1"/>
  <c r="D72" s="1"/>
  <c r="L68" i="34"/>
  <c r="I69" i="35"/>
  <c r="G68"/>
  <c r="B69"/>
  <c r="C69" s="1"/>
  <c r="N69"/>
  <c r="D69"/>
  <c r="H69"/>
  <c r="O69"/>
  <c r="K68"/>
  <c r="L68" s="1"/>
  <c r="F72" i="28"/>
  <c r="K72" s="1"/>
  <c r="P72"/>
  <c r="A73" s="1"/>
  <c r="H73" s="1"/>
  <c r="H84" s="1"/>
  <c r="L70" i="29"/>
  <c r="K83" i="27"/>
  <c r="J83"/>
  <c r="F84"/>
  <c r="L82"/>
  <c r="E85"/>
  <c r="I85"/>
  <c r="D85"/>
  <c r="B85"/>
  <c r="C85" s="1"/>
  <c r="A86"/>
  <c r="H85"/>
  <c r="F71" i="29"/>
  <c r="G71" s="1"/>
  <c r="P71"/>
  <c r="A72" s="1"/>
  <c r="B70" i="30"/>
  <c r="C70" s="1"/>
  <c r="D70"/>
  <c r="I70"/>
  <c r="J69"/>
  <c r="L69" s="1"/>
  <c r="N70"/>
  <c r="P70" s="1"/>
  <c r="A71" s="1"/>
  <c r="N71" s="1"/>
  <c r="G69"/>
  <c r="E70"/>
  <c r="H70"/>
  <c r="K82" i="32" l="1"/>
  <c r="L81"/>
  <c r="B84"/>
  <c r="H84"/>
  <c r="T34" s="1"/>
  <c r="D84"/>
  <c r="A85"/>
  <c r="E84"/>
  <c r="I84"/>
  <c r="U34" s="1"/>
  <c r="J82"/>
  <c r="C83"/>
  <c r="F83" s="1"/>
  <c r="G83" s="1"/>
  <c r="J69" i="34"/>
  <c r="L69" s="1"/>
  <c r="G69"/>
  <c r="H70"/>
  <c r="N70"/>
  <c r="O70"/>
  <c r="B70"/>
  <c r="C70" s="1"/>
  <c r="I70"/>
  <c r="D70"/>
  <c r="E70"/>
  <c r="E72" i="33"/>
  <c r="G71"/>
  <c r="J71"/>
  <c r="L71" s="1"/>
  <c r="N72"/>
  <c r="B72"/>
  <c r="C72" s="1"/>
  <c r="O72"/>
  <c r="I72"/>
  <c r="H72"/>
  <c r="F69" i="35"/>
  <c r="K69" s="1"/>
  <c r="P69"/>
  <c r="A70" s="1"/>
  <c r="I70" s="1"/>
  <c r="J72" i="28"/>
  <c r="L72" s="1"/>
  <c r="G72"/>
  <c r="D73"/>
  <c r="F60"/>
  <c r="A77" s="1"/>
  <c r="H77" s="1"/>
  <c r="T16" s="1"/>
  <c r="B73"/>
  <c r="C73" s="1"/>
  <c r="N73"/>
  <c r="AD36" s="1"/>
  <c r="O73"/>
  <c r="E73"/>
  <c r="I73"/>
  <c r="I84" s="1"/>
  <c r="L83" i="27"/>
  <c r="J84"/>
  <c r="G84"/>
  <c r="K84"/>
  <c r="F85"/>
  <c r="D86"/>
  <c r="E86"/>
  <c r="B86"/>
  <c r="C86" s="1"/>
  <c r="H86"/>
  <c r="I86"/>
  <c r="A87"/>
  <c r="J71" i="29"/>
  <c r="K71"/>
  <c r="N72"/>
  <c r="E72"/>
  <c r="D72"/>
  <c r="I72"/>
  <c r="B72"/>
  <c r="C72" s="1"/>
  <c r="H72"/>
  <c r="O72"/>
  <c r="F70" i="30"/>
  <c r="K70" s="1"/>
  <c r="H71"/>
  <c r="B71"/>
  <c r="C71" s="1"/>
  <c r="I71"/>
  <c r="O71"/>
  <c r="P71" s="1"/>
  <c r="A72" s="1"/>
  <c r="D72" s="1"/>
  <c r="E71"/>
  <c r="D71"/>
  <c r="L82" i="32" l="1"/>
  <c r="J83"/>
  <c r="K83"/>
  <c r="C84"/>
  <c r="F84" s="1"/>
  <c r="G84" s="1"/>
  <c r="E85"/>
  <c r="I85"/>
  <c r="B85"/>
  <c r="H85"/>
  <c r="D85"/>
  <c r="A86"/>
  <c r="P70" i="34"/>
  <c r="A71" s="1"/>
  <c r="O71" s="1"/>
  <c r="F70"/>
  <c r="K70" s="1"/>
  <c r="F72" i="33"/>
  <c r="G72" s="1"/>
  <c r="P72"/>
  <c r="A73" s="1"/>
  <c r="F60" s="1"/>
  <c r="A77" s="1"/>
  <c r="B70" i="35"/>
  <c r="C70" s="1"/>
  <c r="E70"/>
  <c r="G69"/>
  <c r="J69"/>
  <c r="L69" s="1"/>
  <c r="H70"/>
  <c r="O70"/>
  <c r="N70"/>
  <c r="D70"/>
  <c r="B77" i="28"/>
  <c r="C77" s="1"/>
  <c r="D77"/>
  <c r="E77"/>
  <c r="F73"/>
  <c r="J73" s="1"/>
  <c r="J84" s="1"/>
  <c r="A78"/>
  <c r="H78" s="1"/>
  <c r="T17" s="1"/>
  <c r="I77"/>
  <c r="U16" s="1"/>
  <c r="P73"/>
  <c r="L71" i="29"/>
  <c r="L84" i="27"/>
  <c r="P72" i="29"/>
  <c r="A73" s="1"/>
  <c r="O73" s="1"/>
  <c r="E87" i="27"/>
  <c r="B87"/>
  <c r="C87" s="1"/>
  <c r="H87"/>
  <c r="D87"/>
  <c r="A88"/>
  <c r="I87"/>
  <c r="K85"/>
  <c r="G85"/>
  <c r="J85"/>
  <c r="F86"/>
  <c r="G70" i="30"/>
  <c r="F72" i="29"/>
  <c r="F71" i="30"/>
  <c r="J71" s="1"/>
  <c r="J70"/>
  <c r="L70" s="1"/>
  <c r="B72"/>
  <c r="C72" s="1"/>
  <c r="I72"/>
  <c r="H72"/>
  <c r="N72"/>
  <c r="O72"/>
  <c r="E72"/>
  <c r="L83" i="32" l="1"/>
  <c r="J84"/>
  <c r="I86"/>
  <c r="D86"/>
  <c r="E86"/>
  <c r="B86"/>
  <c r="H86"/>
  <c r="A87"/>
  <c r="K84"/>
  <c r="C85"/>
  <c r="F85" s="1"/>
  <c r="G85" s="1"/>
  <c r="J70" i="34"/>
  <c r="L70" s="1"/>
  <c r="H71"/>
  <c r="G70"/>
  <c r="E71"/>
  <c r="N71"/>
  <c r="P71" s="1"/>
  <c r="A72" s="1"/>
  <c r="E72" s="1"/>
  <c r="D71"/>
  <c r="B71"/>
  <c r="C71" s="1"/>
  <c r="I71"/>
  <c r="K72" i="33"/>
  <c r="J72"/>
  <c r="N73"/>
  <c r="AD36" s="1"/>
  <c r="D73"/>
  <c r="B73"/>
  <c r="C73" s="1"/>
  <c r="H73"/>
  <c r="H84" s="1"/>
  <c r="E73"/>
  <c r="I73"/>
  <c r="I84" s="1"/>
  <c r="O73"/>
  <c r="D77"/>
  <c r="E77"/>
  <c r="I77"/>
  <c r="U16" s="1"/>
  <c r="H77"/>
  <c r="T16" s="1"/>
  <c r="B77"/>
  <c r="A78"/>
  <c r="F70" i="35"/>
  <c r="J70" s="1"/>
  <c r="P70"/>
  <c r="A71" s="1"/>
  <c r="H71" s="1"/>
  <c r="G73" i="28"/>
  <c r="K73"/>
  <c r="K84" s="1"/>
  <c r="E87" s="1"/>
  <c r="A103" s="1"/>
  <c r="I78"/>
  <c r="U17" s="1"/>
  <c r="F77"/>
  <c r="G77" s="1"/>
  <c r="E78"/>
  <c r="A79"/>
  <c r="H79" s="1"/>
  <c r="T18" s="1"/>
  <c r="B78"/>
  <c r="C78" s="1"/>
  <c r="D78"/>
  <c r="H73" i="29"/>
  <c r="H84" s="1"/>
  <c r="F60"/>
  <c r="A77" s="1"/>
  <c r="I77" s="1"/>
  <c r="U16" s="1"/>
  <c r="B73"/>
  <c r="C73" s="1"/>
  <c r="E73"/>
  <c r="N73"/>
  <c r="P73" s="1"/>
  <c r="D73"/>
  <c r="I73"/>
  <c r="I84" s="1"/>
  <c r="L85" i="27"/>
  <c r="G86"/>
  <c r="J86"/>
  <c r="K86"/>
  <c r="F87"/>
  <c r="I88"/>
  <c r="E88"/>
  <c r="H88"/>
  <c r="B88"/>
  <c r="C88" s="1"/>
  <c r="D88"/>
  <c r="A89"/>
  <c r="K71" i="30"/>
  <c r="L71" s="1"/>
  <c r="G71"/>
  <c r="K72" i="29"/>
  <c r="G72"/>
  <c r="J72"/>
  <c r="F72" i="30"/>
  <c r="G72" s="1"/>
  <c r="P72"/>
  <c r="A73" s="1"/>
  <c r="I73" s="1"/>
  <c r="I84" s="1"/>
  <c r="L84" i="32" l="1"/>
  <c r="J85"/>
  <c r="K85"/>
  <c r="C86"/>
  <c r="F86" s="1"/>
  <c r="D87"/>
  <c r="B87"/>
  <c r="E87"/>
  <c r="I87"/>
  <c r="A88"/>
  <c r="H87"/>
  <c r="D72" i="34"/>
  <c r="B72"/>
  <c r="C72" s="1"/>
  <c r="F71"/>
  <c r="N72"/>
  <c r="I72"/>
  <c r="H72"/>
  <c r="O72"/>
  <c r="L72" i="33"/>
  <c r="F73"/>
  <c r="K73" s="1"/>
  <c r="K84" s="1"/>
  <c r="P73"/>
  <c r="G70" i="35"/>
  <c r="C77" i="33"/>
  <c r="F77" s="1"/>
  <c r="G77" s="1"/>
  <c r="K70" i="35"/>
  <c r="L70" s="1"/>
  <c r="E78" i="33"/>
  <c r="B78"/>
  <c r="D78"/>
  <c r="I78"/>
  <c r="U17" s="1"/>
  <c r="A79"/>
  <c r="H78"/>
  <c r="T17" s="1"/>
  <c r="I71" i="35"/>
  <c r="D71"/>
  <c r="O71"/>
  <c r="B71"/>
  <c r="C71" s="1"/>
  <c r="N71"/>
  <c r="E71"/>
  <c r="D87" i="28"/>
  <c r="K87" s="1"/>
  <c r="K77"/>
  <c r="L73"/>
  <c r="B79"/>
  <c r="C79" s="1"/>
  <c r="J77"/>
  <c r="F78"/>
  <c r="J78" s="1"/>
  <c r="I79"/>
  <c r="U18" s="1"/>
  <c r="E79"/>
  <c r="D79"/>
  <c r="A80"/>
  <c r="A81" s="1"/>
  <c r="B77" i="29"/>
  <c r="C77" s="1"/>
  <c r="H77"/>
  <c r="T16" s="1"/>
  <c r="D77"/>
  <c r="J87" i="28"/>
  <c r="G87"/>
  <c r="I87" s="1"/>
  <c r="H87"/>
  <c r="A90"/>
  <c r="E90" s="1"/>
  <c r="F73" i="29"/>
  <c r="J73" s="1"/>
  <c r="A78"/>
  <c r="B78" s="1"/>
  <c r="C78" s="1"/>
  <c r="E77"/>
  <c r="AD36"/>
  <c r="L86" i="27"/>
  <c r="D89"/>
  <c r="B89"/>
  <c r="C89" s="1"/>
  <c r="H89"/>
  <c r="E89"/>
  <c r="A90"/>
  <c r="I89"/>
  <c r="G87"/>
  <c r="J87"/>
  <c r="K87"/>
  <c r="F88"/>
  <c r="L72" i="29"/>
  <c r="E103" i="28"/>
  <c r="B103"/>
  <c r="C103" s="1"/>
  <c r="D103"/>
  <c r="J72" i="30"/>
  <c r="K72"/>
  <c r="O73"/>
  <c r="H73"/>
  <c r="H84" s="1"/>
  <c r="N73"/>
  <c r="AD36" s="1"/>
  <c r="D73"/>
  <c r="B73"/>
  <c r="C73" s="1"/>
  <c r="F60"/>
  <c r="A77" s="1"/>
  <c r="E73"/>
  <c r="D88" i="32" l="1"/>
  <c r="B88"/>
  <c r="H88"/>
  <c r="A89"/>
  <c r="I88"/>
  <c r="E88"/>
  <c r="L85"/>
  <c r="G86"/>
  <c r="K86"/>
  <c r="J86"/>
  <c r="C87"/>
  <c r="F87" s="1"/>
  <c r="G87" s="1"/>
  <c r="F72" i="34"/>
  <c r="G72" s="1"/>
  <c r="K71"/>
  <c r="J71"/>
  <c r="G71"/>
  <c r="P72"/>
  <c r="A73" s="1"/>
  <c r="O73" s="1"/>
  <c r="J73" i="33"/>
  <c r="L73" s="1"/>
  <c r="G73"/>
  <c r="J77"/>
  <c r="B79"/>
  <c r="C79" s="1"/>
  <c r="D79"/>
  <c r="I79"/>
  <c r="U18" s="1"/>
  <c r="A80"/>
  <c r="E79"/>
  <c r="H79"/>
  <c r="T18" s="1"/>
  <c r="K77"/>
  <c r="C78"/>
  <c r="F78" s="1"/>
  <c r="F71" i="35"/>
  <c r="G71" s="1"/>
  <c r="P71"/>
  <c r="A72" s="1"/>
  <c r="I72" s="1"/>
  <c r="L77" i="28"/>
  <c r="D80"/>
  <c r="E80"/>
  <c r="B80"/>
  <c r="C80" s="1"/>
  <c r="H80"/>
  <c r="T19" s="1"/>
  <c r="I80"/>
  <c r="U19" s="1"/>
  <c r="F77" i="29"/>
  <c r="J77" s="1"/>
  <c r="G78" i="28"/>
  <c r="F79"/>
  <c r="G79" s="1"/>
  <c r="K78"/>
  <c r="L78" s="1"/>
  <c r="O90"/>
  <c r="D90"/>
  <c r="B90"/>
  <c r="C90" s="1"/>
  <c r="I78" i="29"/>
  <c r="U17" s="1"/>
  <c r="G73"/>
  <c r="K73"/>
  <c r="K84" s="1"/>
  <c r="H103" i="28"/>
  <c r="T21" s="1"/>
  <c r="H90"/>
  <c r="N90"/>
  <c r="I90"/>
  <c r="I103"/>
  <c r="U21" s="1"/>
  <c r="A79" i="29"/>
  <c r="H79" s="1"/>
  <c r="T18" s="1"/>
  <c r="E78"/>
  <c r="D78"/>
  <c r="H78"/>
  <c r="T17" s="1"/>
  <c r="H81" i="28"/>
  <c r="T20" s="1"/>
  <c r="B81"/>
  <c r="C81" s="1"/>
  <c r="D81"/>
  <c r="I81"/>
  <c r="U20" s="1"/>
  <c r="E81"/>
  <c r="L72" i="30"/>
  <c r="K88" i="27"/>
  <c r="G88"/>
  <c r="J88"/>
  <c r="F89"/>
  <c r="B90"/>
  <c r="C90" s="1"/>
  <c r="H90"/>
  <c r="D90"/>
  <c r="A91"/>
  <c r="I90"/>
  <c r="E90"/>
  <c r="L87"/>
  <c r="F103" i="28"/>
  <c r="J84" i="29"/>
  <c r="F73" i="30"/>
  <c r="K73" s="1"/>
  <c r="K84" s="1"/>
  <c r="A78"/>
  <c r="D77"/>
  <c r="I77"/>
  <c r="U16" s="1"/>
  <c r="E77"/>
  <c r="B77"/>
  <c r="H77"/>
  <c r="T16" s="1"/>
  <c r="P73"/>
  <c r="L86" i="32" l="1"/>
  <c r="C88"/>
  <c r="F88" s="1"/>
  <c r="G88" s="1"/>
  <c r="H89"/>
  <c r="A90"/>
  <c r="I89"/>
  <c r="B89"/>
  <c r="D89"/>
  <c r="E89"/>
  <c r="J87"/>
  <c r="K87"/>
  <c r="K72" i="34"/>
  <c r="J72"/>
  <c r="L71"/>
  <c r="E73"/>
  <c r="D73"/>
  <c r="N73"/>
  <c r="AD36" s="1"/>
  <c r="I73"/>
  <c r="I84" s="1"/>
  <c r="F60"/>
  <c r="A77" s="1"/>
  <c r="E77" s="1"/>
  <c r="H73"/>
  <c r="H84" s="1"/>
  <c r="B73"/>
  <c r="C73" s="1"/>
  <c r="J84" i="33"/>
  <c r="E87" s="1"/>
  <c r="G87" s="1"/>
  <c r="I87" s="1"/>
  <c r="L77"/>
  <c r="G78"/>
  <c r="J78"/>
  <c r="H80"/>
  <c r="T19" s="1"/>
  <c r="I80"/>
  <c r="U19" s="1"/>
  <c r="A81"/>
  <c r="D80"/>
  <c r="E80"/>
  <c r="B80"/>
  <c r="C80" s="1"/>
  <c r="K78"/>
  <c r="F79"/>
  <c r="J79" s="1"/>
  <c r="N72" i="35"/>
  <c r="B72"/>
  <c r="C72" s="1"/>
  <c r="D72"/>
  <c r="H72"/>
  <c r="J71"/>
  <c r="E72"/>
  <c r="K71"/>
  <c r="O72"/>
  <c r="K77" i="29"/>
  <c r="L77" s="1"/>
  <c r="G77"/>
  <c r="F80" i="28"/>
  <c r="K80" s="1"/>
  <c r="K79"/>
  <c r="J79"/>
  <c r="A80" i="29"/>
  <c r="I80" s="1"/>
  <c r="U19" s="1"/>
  <c r="F90" i="28"/>
  <c r="G90" s="1"/>
  <c r="B79" i="29"/>
  <c r="C79" s="1"/>
  <c r="P90" i="28"/>
  <c r="A91" s="1"/>
  <c r="B91" s="1"/>
  <c r="C91" s="1"/>
  <c r="I79" i="29"/>
  <c r="U18" s="1"/>
  <c r="D79"/>
  <c r="L73"/>
  <c r="E79"/>
  <c r="F78"/>
  <c r="G78" s="1"/>
  <c r="F81" i="28"/>
  <c r="L88" i="27"/>
  <c r="G89"/>
  <c r="J89"/>
  <c r="K89"/>
  <c r="F90"/>
  <c r="B91"/>
  <c r="C91" s="1"/>
  <c r="H91"/>
  <c r="D91"/>
  <c r="I91"/>
  <c r="A92"/>
  <c r="E91"/>
  <c r="G103" i="28"/>
  <c r="J103"/>
  <c r="K103"/>
  <c r="D87" i="29"/>
  <c r="E87"/>
  <c r="J73" i="30"/>
  <c r="G73"/>
  <c r="H78"/>
  <c r="T17" s="1"/>
  <c r="I78"/>
  <c r="U17" s="1"/>
  <c r="D78"/>
  <c r="B78"/>
  <c r="A79"/>
  <c r="E78"/>
  <c r="C77"/>
  <c r="F77" s="1"/>
  <c r="G77" s="1"/>
  <c r="L87" i="32" l="1"/>
  <c r="J88"/>
  <c r="K88"/>
  <c r="F73" i="34"/>
  <c r="K73" s="1"/>
  <c r="K84" s="1"/>
  <c r="D90" i="32"/>
  <c r="B90"/>
  <c r="I90"/>
  <c r="A91"/>
  <c r="H90"/>
  <c r="E90"/>
  <c r="C89"/>
  <c r="F89" s="1"/>
  <c r="G89" s="1"/>
  <c r="B77" i="34"/>
  <c r="C77" s="1"/>
  <c r="A78"/>
  <c r="A79" s="1"/>
  <c r="B79" s="1"/>
  <c r="L72"/>
  <c r="I77"/>
  <c r="U16" s="1"/>
  <c r="D77"/>
  <c r="P73"/>
  <c r="H77"/>
  <c r="T16" s="1"/>
  <c r="A90" i="33"/>
  <c r="D87"/>
  <c r="K87" s="1"/>
  <c r="J87"/>
  <c r="H87"/>
  <c r="A103"/>
  <c r="B103" s="1"/>
  <c r="L78"/>
  <c r="L71" i="35"/>
  <c r="I81" i="33"/>
  <c r="U20" s="1"/>
  <c r="E81"/>
  <c r="B81"/>
  <c r="D81"/>
  <c r="H81"/>
  <c r="T20" s="1"/>
  <c r="F80"/>
  <c r="K79"/>
  <c r="L79" s="1"/>
  <c r="G79"/>
  <c r="P72" i="35"/>
  <c r="A73" s="1"/>
  <c r="I73" s="1"/>
  <c r="I84" s="1"/>
  <c r="F72"/>
  <c r="J72" s="1"/>
  <c r="G80" i="28"/>
  <c r="J80"/>
  <c r="L80" s="1"/>
  <c r="L79"/>
  <c r="E80" i="29"/>
  <c r="H80"/>
  <c r="T19" s="1"/>
  <c r="D80"/>
  <c r="B80"/>
  <c r="C80" s="1"/>
  <c r="A81"/>
  <c r="B81" s="1"/>
  <c r="C81" s="1"/>
  <c r="J90" i="28"/>
  <c r="K90"/>
  <c r="J78" i="29"/>
  <c r="K78"/>
  <c r="I91" i="28"/>
  <c r="H91"/>
  <c r="O91"/>
  <c r="E91"/>
  <c r="D91"/>
  <c r="N91"/>
  <c r="F79" i="29"/>
  <c r="J79" s="1"/>
  <c r="G81" i="28"/>
  <c r="K81"/>
  <c r="J81"/>
  <c r="L89" i="27"/>
  <c r="H92"/>
  <c r="E92"/>
  <c r="D92"/>
  <c r="A93"/>
  <c r="I92"/>
  <c r="B92"/>
  <c r="C92" s="1"/>
  <c r="G90"/>
  <c r="J90"/>
  <c r="K90"/>
  <c r="F91"/>
  <c r="K87" i="29"/>
  <c r="L103" i="28"/>
  <c r="A90" i="29"/>
  <c r="J87"/>
  <c r="G87"/>
  <c r="I87" s="1"/>
  <c r="A103"/>
  <c r="H87"/>
  <c r="J77" i="30"/>
  <c r="K77"/>
  <c r="J84"/>
  <c r="L73"/>
  <c r="C78"/>
  <c r="F78" s="1"/>
  <c r="G78" s="1"/>
  <c r="H79"/>
  <c r="T18" s="1"/>
  <c r="B79"/>
  <c r="E79"/>
  <c r="A80"/>
  <c r="D79"/>
  <c r="I79"/>
  <c r="U18" s="1"/>
  <c r="G73" i="34" l="1"/>
  <c r="H78"/>
  <c r="T17" s="1"/>
  <c r="B78"/>
  <c r="C78" s="1"/>
  <c r="I79"/>
  <c r="U18" s="1"/>
  <c r="H79"/>
  <c r="T18" s="1"/>
  <c r="K89" i="32"/>
  <c r="L88"/>
  <c r="J73" i="34"/>
  <c r="L73" s="1"/>
  <c r="D79"/>
  <c r="I78"/>
  <c r="U17" s="1"/>
  <c r="C90" i="32"/>
  <c r="F90" s="1"/>
  <c r="G90" s="1"/>
  <c r="E79" i="34"/>
  <c r="E78"/>
  <c r="I91" i="32"/>
  <c r="H91"/>
  <c r="E91"/>
  <c r="A92"/>
  <c r="D91"/>
  <c r="B91"/>
  <c r="A80" i="34"/>
  <c r="A81" s="1"/>
  <c r="D78"/>
  <c r="F78" s="1"/>
  <c r="J78" s="1"/>
  <c r="F77"/>
  <c r="G77" s="1"/>
  <c r="J89" i="32"/>
  <c r="D90" i="33"/>
  <c r="H103"/>
  <c r="T21" s="1"/>
  <c r="E103"/>
  <c r="D103"/>
  <c r="N90"/>
  <c r="B90"/>
  <c r="C90" s="1"/>
  <c r="O90"/>
  <c r="H90"/>
  <c r="I90"/>
  <c r="E90"/>
  <c r="I103"/>
  <c r="U21" s="1"/>
  <c r="C103"/>
  <c r="C81"/>
  <c r="F81" s="1"/>
  <c r="K80"/>
  <c r="G80"/>
  <c r="J80"/>
  <c r="H73" i="35"/>
  <c r="H84" s="1"/>
  <c r="D73"/>
  <c r="K72"/>
  <c r="L72" s="1"/>
  <c r="G72"/>
  <c r="E73"/>
  <c r="O73"/>
  <c r="B73"/>
  <c r="C73" s="1"/>
  <c r="N73"/>
  <c r="AD36" s="1"/>
  <c r="F60"/>
  <c r="A77" s="1"/>
  <c r="A78" s="1"/>
  <c r="I78" s="1"/>
  <c r="U17" s="1"/>
  <c r="C79" i="34"/>
  <c r="I80"/>
  <c r="U19" s="1"/>
  <c r="D80"/>
  <c r="F80" i="29"/>
  <c r="J80" s="1"/>
  <c r="I81"/>
  <c r="U20" s="1"/>
  <c r="D81"/>
  <c r="H81"/>
  <c r="T20" s="1"/>
  <c r="E81"/>
  <c r="L90" i="28"/>
  <c r="L78" i="29"/>
  <c r="F91" i="28"/>
  <c r="J91" s="1"/>
  <c r="P91"/>
  <c r="A92" s="1"/>
  <c r="O92" s="1"/>
  <c r="G79" i="29"/>
  <c r="K79"/>
  <c r="L79" s="1"/>
  <c r="L81" i="28"/>
  <c r="K91" i="27"/>
  <c r="G91"/>
  <c r="J91"/>
  <c r="A94"/>
  <c r="D93"/>
  <c r="E93"/>
  <c r="H93"/>
  <c r="B93"/>
  <c r="C93" s="1"/>
  <c r="I93"/>
  <c r="F92"/>
  <c r="L90"/>
  <c r="H103" i="29"/>
  <c r="T21" s="1"/>
  <c r="I103"/>
  <c r="U21" s="1"/>
  <c r="D103"/>
  <c r="B103"/>
  <c r="C103" s="1"/>
  <c r="E103"/>
  <c r="E90"/>
  <c r="B90"/>
  <c r="C90" s="1"/>
  <c r="D90"/>
  <c r="O90"/>
  <c r="H90"/>
  <c r="I90"/>
  <c r="N90"/>
  <c r="L77" i="30"/>
  <c r="E87"/>
  <c r="D87"/>
  <c r="I80"/>
  <c r="U19" s="1"/>
  <c r="H80"/>
  <c r="T19" s="1"/>
  <c r="A81"/>
  <c r="D80"/>
  <c r="E80"/>
  <c r="B80"/>
  <c r="K78"/>
  <c r="J78"/>
  <c r="C79"/>
  <c r="F79" s="1"/>
  <c r="G79" s="1"/>
  <c r="B80" i="34" l="1"/>
  <c r="C80" s="1"/>
  <c r="F80" s="1"/>
  <c r="G80" s="1"/>
  <c r="E80"/>
  <c r="H80"/>
  <c r="T19" s="1"/>
  <c r="K77"/>
  <c r="P90" i="33"/>
  <c r="A91" s="1"/>
  <c r="L89" i="32"/>
  <c r="J77" i="34"/>
  <c r="F79"/>
  <c r="G79" s="1"/>
  <c r="J84"/>
  <c r="D87" s="1"/>
  <c r="A93" i="32"/>
  <c r="D92"/>
  <c r="H92"/>
  <c r="B92"/>
  <c r="I92"/>
  <c r="E92"/>
  <c r="J90"/>
  <c r="C91"/>
  <c r="F91" s="1"/>
  <c r="G91" s="1"/>
  <c r="K90"/>
  <c r="G78" i="34"/>
  <c r="K78"/>
  <c r="L78" s="1"/>
  <c r="F103" i="33"/>
  <c r="K103" s="1"/>
  <c r="F90"/>
  <c r="G90" s="1"/>
  <c r="L80"/>
  <c r="G81"/>
  <c r="K81"/>
  <c r="J81"/>
  <c r="I77" i="35"/>
  <c r="U16" s="1"/>
  <c r="E77"/>
  <c r="F73"/>
  <c r="J73" s="1"/>
  <c r="J84" s="1"/>
  <c r="D77"/>
  <c r="H77"/>
  <c r="T16" s="1"/>
  <c r="B77"/>
  <c r="C77" s="1"/>
  <c r="P73"/>
  <c r="D78"/>
  <c r="B78"/>
  <c r="C78" s="1"/>
  <c r="A79"/>
  <c r="B79" s="1"/>
  <c r="C79" s="1"/>
  <c r="H78"/>
  <c r="T17" s="1"/>
  <c r="E78"/>
  <c r="B81" i="34"/>
  <c r="I81"/>
  <c r="U20" s="1"/>
  <c r="E81"/>
  <c r="D81"/>
  <c r="H81"/>
  <c r="T20" s="1"/>
  <c r="G80" i="29"/>
  <c r="K80"/>
  <c r="L80" s="1"/>
  <c r="F81"/>
  <c r="K81" s="1"/>
  <c r="K91" i="28"/>
  <c r="L91" s="1"/>
  <c r="G91"/>
  <c r="D92"/>
  <c r="E92"/>
  <c r="H92"/>
  <c r="N92"/>
  <c r="P92" s="1"/>
  <c r="A93" s="1"/>
  <c r="O93" s="1"/>
  <c r="B92"/>
  <c r="C92" s="1"/>
  <c r="I92"/>
  <c r="G92" i="27"/>
  <c r="J92"/>
  <c r="K92"/>
  <c r="L91"/>
  <c r="I94"/>
  <c r="A95"/>
  <c r="B94"/>
  <c r="C94" s="1"/>
  <c r="D94"/>
  <c r="E94"/>
  <c r="H94"/>
  <c r="F93"/>
  <c r="P90" i="29"/>
  <c r="A91" s="1"/>
  <c r="H91" s="1"/>
  <c r="F90"/>
  <c r="F103"/>
  <c r="K87" i="30"/>
  <c r="J79"/>
  <c r="A103"/>
  <c r="A90"/>
  <c r="H87"/>
  <c r="G87"/>
  <c r="I87" s="1"/>
  <c r="J87"/>
  <c r="L78"/>
  <c r="D81"/>
  <c r="H81"/>
  <c r="T20" s="1"/>
  <c r="I81"/>
  <c r="U20" s="1"/>
  <c r="B81"/>
  <c r="E81"/>
  <c r="C80"/>
  <c r="F80" s="1"/>
  <c r="K79"/>
  <c r="E87" i="34" l="1"/>
  <c r="A90" s="1"/>
  <c r="D90" s="1"/>
  <c r="L77"/>
  <c r="J79"/>
  <c r="K79"/>
  <c r="J91" i="32"/>
  <c r="K91"/>
  <c r="B93"/>
  <c r="E93"/>
  <c r="I93"/>
  <c r="D93"/>
  <c r="A94"/>
  <c r="H93"/>
  <c r="C92"/>
  <c r="F92" s="1"/>
  <c r="G92" s="1"/>
  <c r="L90"/>
  <c r="B91" i="33"/>
  <c r="C91" s="1"/>
  <c r="J90"/>
  <c r="J103"/>
  <c r="L103" s="1"/>
  <c r="G103"/>
  <c r="K90"/>
  <c r="N91"/>
  <c r="I91"/>
  <c r="D91"/>
  <c r="H91"/>
  <c r="E91"/>
  <c r="O91"/>
  <c r="L81"/>
  <c r="E79" i="35"/>
  <c r="F77"/>
  <c r="J77" s="1"/>
  <c r="K73"/>
  <c r="G73"/>
  <c r="F78"/>
  <c r="G78" s="1"/>
  <c r="A80"/>
  <c r="I80" s="1"/>
  <c r="U19" s="1"/>
  <c r="H79"/>
  <c r="T18" s="1"/>
  <c r="I79"/>
  <c r="U18" s="1"/>
  <c r="D79"/>
  <c r="K80" i="34"/>
  <c r="E90"/>
  <c r="J80"/>
  <c r="C81"/>
  <c r="F81" s="1"/>
  <c r="G81" s="1"/>
  <c r="G81" i="29"/>
  <c r="J81"/>
  <c r="L81" s="1"/>
  <c r="F92" i="28"/>
  <c r="G92" s="1"/>
  <c r="L92" i="27"/>
  <c r="E93" i="28"/>
  <c r="D93"/>
  <c r="B93"/>
  <c r="C93" s="1"/>
  <c r="I93"/>
  <c r="G93" i="27"/>
  <c r="K93"/>
  <c r="J93"/>
  <c r="B95"/>
  <c r="C95" s="1"/>
  <c r="E95"/>
  <c r="D95"/>
  <c r="H95"/>
  <c r="I95"/>
  <c r="N93" i="28"/>
  <c r="P93" s="1"/>
  <c r="A94" s="1"/>
  <c r="O94" s="1"/>
  <c r="F94" i="27"/>
  <c r="H93" i="28"/>
  <c r="I91" i="29"/>
  <c r="E91"/>
  <c r="O91"/>
  <c r="B91"/>
  <c r="C91" s="1"/>
  <c r="N91"/>
  <c r="D91"/>
  <c r="K90"/>
  <c r="G90"/>
  <c r="J90"/>
  <c r="G103"/>
  <c r="K103"/>
  <c r="J103"/>
  <c r="I103" i="30"/>
  <c r="U21" s="1"/>
  <c r="I90"/>
  <c r="L79"/>
  <c r="G80"/>
  <c r="K80"/>
  <c r="B103"/>
  <c r="D103"/>
  <c r="E103"/>
  <c r="C81"/>
  <c r="F81" s="1"/>
  <c r="G81" s="1"/>
  <c r="D90"/>
  <c r="E90"/>
  <c r="B90"/>
  <c r="J80"/>
  <c r="N90"/>
  <c r="H90"/>
  <c r="H103"/>
  <c r="T21" s="1"/>
  <c r="O90"/>
  <c r="B90" i="34" l="1"/>
  <c r="C90" s="1"/>
  <c r="K87"/>
  <c r="O90" s="1"/>
  <c r="G87"/>
  <c r="I87" s="1"/>
  <c r="H87"/>
  <c r="A103"/>
  <c r="D103" s="1"/>
  <c r="J87"/>
  <c r="L79"/>
  <c r="L91" i="32"/>
  <c r="J92"/>
  <c r="C93"/>
  <c r="F93" s="1"/>
  <c r="G93" s="1"/>
  <c r="A95"/>
  <c r="E94"/>
  <c r="B94"/>
  <c r="H94"/>
  <c r="I94"/>
  <c r="D94"/>
  <c r="K92"/>
  <c r="L92" s="1"/>
  <c r="P91" i="33"/>
  <c r="A92" s="1"/>
  <c r="L90"/>
  <c r="F91"/>
  <c r="K91" s="1"/>
  <c r="E103" i="34"/>
  <c r="B103"/>
  <c r="C103" s="1"/>
  <c r="F79" i="35"/>
  <c r="J79" s="1"/>
  <c r="K78"/>
  <c r="K84"/>
  <c r="L73"/>
  <c r="K77"/>
  <c r="L77" s="1"/>
  <c r="G77"/>
  <c r="J78"/>
  <c r="D80"/>
  <c r="A81"/>
  <c r="B81" s="1"/>
  <c r="C81" s="1"/>
  <c r="E80"/>
  <c r="H80"/>
  <c r="T19" s="1"/>
  <c r="B80"/>
  <c r="C80" s="1"/>
  <c r="L80" i="34"/>
  <c r="K81"/>
  <c r="J81"/>
  <c r="K92" i="28"/>
  <c r="J92"/>
  <c r="F93"/>
  <c r="G93" s="1"/>
  <c r="F95" i="27"/>
  <c r="G94"/>
  <c r="K94"/>
  <c r="J94"/>
  <c r="D94" i="28"/>
  <c r="L93" i="27"/>
  <c r="E94" i="28"/>
  <c r="L103" i="29"/>
  <c r="B94" i="28"/>
  <c r="C94" s="1"/>
  <c r="I94"/>
  <c r="H96" i="27"/>
  <c r="AU35"/>
  <c r="T35"/>
  <c r="N94" i="28"/>
  <c r="P94" s="1"/>
  <c r="A95" s="1"/>
  <c r="U35" i="27"/>
  <c r="AV35"/>
  <c r="H94" i="28"/>
  <c r="F91" i="29"/>
  <c r="P91"/>
  <c r="A92" s="1"/>
  <c r="L90"/>
  <c r="K81" i="30"/>
  <c r="P90"/>
  <c r="A91" s="1"/>
  <c r="B91" s="1"/>
  <c r="C91" s="1"/>
  <c r="C90"/>
  <c r="F90" s="1"/>
  <c r="G90" s="1"/>
  <c r="C103"/>
  <c r="F103" s="1"/>
  <c r="G103" s="1"/>
  <c r="L80"/>
  <c r="J81"/>
  <c r="N90" i="34" l="1"/>
  <c r="P90" s="1"/>
  <c r="A91" s="1"/>
  <c r="H103"/>
  <c r="T21" s="1"/>
  <c r="I103"/>
  <c r="U21" s="1"/>
  <c r="I90"/>
  <c r="H90"/>
  <c r="F90"/>
  <c r="G90" s="1"/>
  <c r="J93" i="32"/>
  <c r="K93"/>
  <c r="H95"/>
  <c r="E95"/>
  <c r="D95"/>
  <c r="I95"/>
  <c r="B95"/>
  <c r="C94"/>
  <c r="F94" s="1"/>
  <c r="G94" s="1"/>
  <c r="N92" i="33"/>
  <c r="G91"/>
  <c r="J91"/>
  <c r="L91" s="1"/>
  <c r="O92"/>
  <c r="H92"/>
  <c r="E92"/>
  <c r="I92"/>
  <c r="B92"/>
  <c r="C92" s="1"/>
  <c r="D92"/>
  <c r="G79" i="35"/>
  <c r="F103" i="34"/>
  <c r="G103" s="1"/>
  <c r="K79" i="35"/>
  <c r="L79" s="1"/>
  <c r="L78"/>
  <c r="E87"/>
  <c r="D87"/>
  <c r="I81"/>
  <c r="U20" s="1"/>
  <c r="F80"/>
  <c r="G80" s="1"/>
  <c r="H81"/>
  <c r="T20" s="1"/>
  <c r="D81"/>
  <c r="E81"/>
  <c r="L81" i="34"/>
  <c r="L92" i="28"/>
  <c r="G95" i="27"/>
  <c r="J95"/>
  <c r="K95"/>
  <c r="J93" i="28"/>
  <c r="K93"/>
  <c r="F94"/>
  <c r="G94" s="1"/>
  <c r="AW35" i="27"/>
  <c r="D95" i="28"/>
  <c r="B95"/>
  <c r="C95" s="1"/>
  <c r="O95"/>
  <c r="N95"/>
  <c r="I95"/>
  <c r="H95"/>
  <c r="E95"/>
  <c r="L94" i="27"/>
  <c r="J91" i="29"/>
  <c r="G91"/>
  <c r="K91"/>
  <c r="D92"/>
  <c r="I92"/>
  <c r="E92"/>
  <c r="N92"/>
  <c r="H92"/>
  <c r="B92"/>
  <c r="C92" s="1"/>
  <c r="O92"/>
  <c r="L81" i="30"/>
  <c r="H91"/>
  <c r="N91"/>
  <c r="O91"/>
  <c r="I91"/>
  <c r="E91"/>
  <c r="D91"/>
  <c r="J103"/>
  <c r="K90"/>
  <c r="J90"/>
  <c r="K103"/>
  <c r="K90" i="34" l="1"/>
  <c r="J90"/>
  <c r="L93" i="32"/>
  <c r="K94"/>
  <c r="J94"/>
  <c r="AU35"/>
  <c r="T35"/>
  <c r="H96"/>
  <c r="AV35"/>
  <c r="U35"/>
  <c r="C95"/>
  <c r="F95" s="1"/>
  <c r="G95" s="1"/>
  <c r="P92" i="33"/>
  <c r="A93" s="1"/>
  <c r="B91" i="34"/>
  <c r="C91" s="1"/>
  <c r="F92" i="33"/>
  <c r="G92" s="1"/>
  <c r="K103" i="34"/>
  <c r="J103"/>
  <c r="H91"/>
  <c r="N91"/>
  <c r="O91"/>
  <c r="I91"/>
  <c r="D91"/>
  <c r="E91"/>
  <c r="F81" i="35"/>
  <c r="G81" s="1"/>
  <c r="H87"/>
  <c r="J87"/>
  <c r="A103"/>
  <c r="A90"/>
  <c r="G87"/>
  <c r="K87"/>
  <c r="K80"/>
  <c r="J80"/>
  <c r="L93" i="28"/>
  <c r="J94"/>
  <c r="L95" i="27"/>
  <c r="K94" i="28"/>
  <c r="P95"/>
  <c r="A96" s="1"/>
  <c r="H96" s="1"/>
  <c r="F92" i="29"/>
  <c r="G92" s="1"/>
  <c r="P92"/>
  <c r="A93" s="1"/>
  <c r="D93" s="1"/>
  <c r="F95" i="28"/>
  <c r="L91" i="29"/>
  <c r="F91" i="30"/>
  <c r="J91" s="1"/>
  <c r="L103"/>
  <c r="P91"/>
  <c r="A92" s="1"/>
  <c r="E92" s="1"/>
  <c r="L90"/>
  <c r="L90" i="34" l="1"/>
  <c r="AW35" i="32"/>
  <c r="L94"/>
  <c r="J95"/>
  <c r="K95"/>
  <c r="P91" i="34"/>
  <c r="A92" s="1"/>
  <c r="E93" i="33"/>
  <c r="I93"/>
  <c r="H93"/>
  <c r="D93"/>
  <c r="B93"/>
  <c r="C93" s="1"/>
  <c r="N93"/>
  <c r="O93"/>
  <c r="F91" i="34"/>
  <c r="K91" s="1"/>
  <c r="K92" i="33"/>
  <c r="J92"/>
  <c r="L103" i="34"/>
  <c r="K81" i="35"/>
  <c r="J81"/>
  <c r="B103"/>
  <c r="C103" s="1"/>
  <c r="D103"/>
  <c r="E103"/>
  <c r="E90"/>
  <c r="D90"/>
  <c r="B90"/>
  <c r="C90" s="1"/>
  <c r="I87"/>
  <c r="I90"/>
  <c r="N90"/>
  <c r="I103"/>
  <c r="U21" s="1"/>
  <c r="H103"/>
  <c r="T21" s="1"/>
  <c r="O90"/>
  <c r="H90"/>
  <c r="L80"/>
  <c r="L94" i="28"/>
  <c r="D96"/>
  <c r="E96"/>
  <c r="I96"/>
  <c r="K92" i="29"/>
  <c r="B96" i="28"/>
  <c r="C96" s="1"/>
  <c r="J92" i="29"/>
  <c r="O96" i="28"/>
  <c r="N96"/>
  <c r="E93" i="29"/>
  <c r="N93"/>
  <c r="K95" i="28"/>
  <c r="G95"/>
  <c r="J95"/>
  <c r="H93" i="29"/>
  <c r="B93"/>
  <c r="C93" s="1"/>
  <c r="I93"/>
  <c r="O93"/>
  <c r="K91" i="30"/>
  <c r="L91" s="1"/>
  <c r="G91"/>
  <c r="H92"/>
  <c r="O92"/>
  <c r="I92"/>
  <c r="B92"/>
  <c r="C92" s="1"/>
  <c r="D92"/>
  <c r="N92"/>
  <c r="L95" i="32" l="1"/>
  <c r="F93" i="33"/>
  <c r="G93" s="1"/>
  <c r="P93"/>
  <c r="A94" s="1"/>
  <c r="I94" s="1"/>
  <c r="O92" i="34"/>
  <c r="G91"/>
  <c r="J91"/>
  <c r="L91" s="1"/>
  <c r="I92"/>
  <c r="L92" i="33"/>
  <c r="E92" i="34"/>
  <c r="D92"/>
  <c r="N92"/>
  <c r="H92"/>
  <c r="B92"/>
  <c r="C92" s="1"/>
  <c r="L81" i="35"/>
  <c r="P90"/>
  <c r="A91" s="1"/>
  <c r="E91" s="1"/>
  <c r="F103"/>
  <c r="F90"/>
  <c r="L92" i="29"/>
  <c r="F96" i="28"/>
  <c r="G96" s="1"/>
  <c r="P93" i="29"/>
  <c r="A94" s="1"/>
  <c r="E94" s="1"/>
  <c r="P96" i="28"/>
  <c r="A97" s="1"/>
  <c r="N97" s="1"/>
  <c r="L95"/>
  <c r="F93" i="29"/>
  <c r="F92" i="30"/>
  <c r="K92" s="1"/>
  <c r="P92"/>
  <c r="A93" s="1"/>
  <c r="K93" i="33" l="1"/>
  <c r="J93"/>
  <c r="D94"/>
  <c r="N94"/>
  <c r="O94"/>
  <c r="H94"/>
  <c r="B94"/>
  <c r="C94" s="1"/>
  <c r="E94"/>
  <c r="P92" i="34"/>
  <c r="A93" s="1"/>
  <c r="F92"/>
  <c r="G92" s="1"/>
  <c r="O91" i="35"/>
  <c r="N91"/>
  <c r="H91"/>
  <c r="I91"/>
  <c r="B91"/>
  <c r="C91" s="1"/>
  <c r="D91"/>
  <c r="J103"/>
  <c r="G103"/>
  <c r="K103"/>
  <c r="K90"/>
  <c r="J90"/>
  <c r="G90"/>
  <c r="N94" i="29"/>
  <c r="K96" i="28"/>
  <c r="J96"/>
  <c r="E97"/>
  <c r="O94" i="29"/>
  <c r="I97" i="28"/>
  <c r="I94" i="29"/>
  <c r="D97" i="28"/>
  <c r="D94" i="29"/>
  <c r="O97" i="28"/>
  <c r="P97" s="1"/>
  <c r="A98" s="1"/>
  <c r="B94" i="29"/>
  <c r="C94" s="1"/>
  <c r="B97" i="28"/>
  <c r="C97" s="1"/>
  <c r="H97"/>
  <c r="H94" i="29"/>
  <c r="G93"/>
  <c r="J93"/>
  <c r="K93"/>
  <c r="J92" i="30"/>
  <c r="L92" s="1"/>
  <c r="G92"/>
  <c r="D93"/>
  <c r="N93"/>
  <c r="E93"/>
  <c r="H93"/>
  <c r="B93"/>
  <c r="C93" s="1"/>
  <c r="I93"/>
  <c r="O93"/>
  <c r="F94" i="33" l="1"/>
  <c r="K94" s="1"/>
  <c r="L93"/>
  <c r="P94"/>
  <c r="A95" s="1"/>
  <c r="I95" s="1"/>
  <c r="E93" i="34"/>
  <c r="B93"/>
  <c r="C93" s="1"/>
  <c r="N93"/>
  <c r="H93"/>
  <c r="I93"/>
  <c r="D93"/>
  <c r="O93"/>
  <c r="J92"/>
  <c r="K92"/>
  <c r="F91" i="35"/>
  <c r="G91" s="1"/>
  <c r="P91"/>
  <c r="A92" s="1"/>
  <c r="N92" s="1"/>
  <c r="L103"/>
  <c r="L90"/>
  <c r="P94" i="29"/>
  <c r="A95" s="1"/>
  <c r="D95" s="1"/>
  <c r="F94"/>
  <c r="J94" s="1"/>
  <c r="L96" i="28"/>
  <c r="F97"/>
  <c r="J97" s="1"/>
  <c r="L93" i="29"/>
  <c r="I98" i="28"/>
  <c r="H98"/>
  <c r="B98"/>
  <c r="C98" s="1"/>
  <c r="O98"/>
  <c r="D98"/>
  <c r="E98"/>
  <c r="N98"/>
  <c r="F93" i="30"/>
  <c r="P93"/>
  <c r="A94" s="1"/>
  <c r="G94" i="33" l="1"/>
  <c r="J94"/>
  <c r="L94" s="1"/>
  <c r="P93" i="34"/>
  <c r="A94" s="1"/>
  <c r="D94" s="1"/>
  <c r="D95" i="33"/>
  <c r="O95"/>
  <c r="H95"/>
  <c r="N95"/>
  <c r="B95"/>
  <c r="C95" s="1"/>
  <c r="E95"/>
  <c r="F93" i="34"/>
  <c r="G93" s="1"/>
  <c r="L92"/>
  <c r="K91" i="35"/>
  <c r="J91"/>
  <c r="O92"/>
  <c r="P92" s="1"/>
  <c r="A93" s="1"/>
  <c r="O93" s="1"/>
  <c r="E92"/>
  <c r="H92"/>
  <c r="B92"/>
  <c r="I92"/>
  <c r="D92"/>
  <c r="N95" i="29"/>
  <c r="O95"/>
  <c r="I95"/>
  <c r="B95"/>
  <c r="C95" s="1"/>
  <c r="E95"/>
  <c r="H95"/>
  <c r="K94"/>
  <c r="L94" s="1"/>
  <c r="G94"/>
  <c r="G97" i="28"/>
  <c r="P98"/>
  <c r="A99" s="1"/>
  <c r="O99" s="1"/>
  <c r="K97"/>
  <c r="L97" s="1"/>
  <c r="F98"/>
  <c r="G93" i="30"/>
  <c r="J93"/>
  <c r="E94"/>
  <c r="O94"/>
  <c r="I94"/>
  <c r="N94"/>
  <c r="D94"/>
  <c r="H94"/>
  <c r="B94"/>
  <c r="C94" s="1"/>
  <c r="K93"/>
  <c r="B94" i="34" l="1"/>
  <c r="C94" s="1"/>
  <c r="O94"/>
  <c r="I94"/>
  <c r="H94"/>
  <c r="N94"/>
  <c r="E94"/>
  <c r="P95" i="33"/>
  <c r="A96" s="1"/>
  <c r="O96" s="1"/>
  <c r="F95"/>
  <c r="J95" s="1"/>
  <c r="J93" i="34"/>
  <c r="K93"/>
  <c r="L91" i="35"/>
  <c r="N93"/>
  <c r="P93" s="1"/>
  <c r="A94" s="1"/>
  <c r="H93"/>
  <c r="D93"/>
  <c r="E93"/>
  <c r="I93"/>
  <c r="B93"/>
  <c r="C93" s="1"/>
  <c r="C92"/>
  <c r="F92" s="1"/>
  <c r="J92" s="1"/>
  <c r="P95" i="29"/>
  <c r="A96" s="1"/>
  <c r="O96" s="1"/>
  <c r="F95"/>
  <c r="G95" s="1"/>
  <c r="D99" i="28"/>
  <c r="H99"/>
  <c r="B99"/>
  <c r="C99" s="1"/>
  <c r="I99"/>
  <c r="N99"/>
  <c r="P99" s="1"/>
  <c r="A100" s="1"/>
  <c r="N100" s="1"/>
  <c r="AE36" s="1"/>
  <c r="E99"/>
  <c r="J98"/>
  <c r="K98"/>
  <c r="G98"/>
  <c r="F94" i="30"/>
  <c r="J94" s="1"/>
  <c r="L93"/>
  <c r="P94"/>
  <c r="A95" s="1"/>
  <c r="P94" i="34" l="1"/>
  <c r="A95" s="1"/>
  <c r="I95" s="1"/>
  <c r="F94"/>
  <c r="K94" s="1"/>
  <c r="D96" i="33"/>
  <c r="N96"/>
  <c r="P96" s="1"/>
  <c r="A97" s="1"/>
  <c r="B97" s="1"/>
  <c r="C97" s="1"/>
  <c r="B96"/>
  <c r="C96" s="1"/>
  <c r="E96"/>
  <c r="H96"/>
  <c r="K95"/>
  <c r="L95" s="1"/>
  <c r="G95"/>
  <c r="I96"/>
  <c r="L93" i="34"/>
  <c r="F93" i="35"/>
  <c r="J93" s="1"/>
  <c r="G92"/>
  <c r="K92"/>
  <c r="L92" s="1"/>
  <c r="O94"/>
  <c r="D94"/>
  <c r="N94"/>
  <c r="H94"/>
  <c r="B94"/>
  <c r="C94" s="1"/>
  <c r="E94"/>
  <c r="I94"/>
  <c r="H96" i="29"/>
  <c r="N96"/>
  <c r="P96" s="1"/>
  <c r="A97" s="1"/>
  <c r="N97" s="1"/>
  <c r="E96"/>
  <c r="D96"/>
  <c r="I96"/>
  <c r="B96"/>
  <c r="C96" s="1"/>
  <c r="K95"/>
  <c r="J95"/>
  <c r="F99" i="28"/>
  <c r="K99" s="1"/>
  <c r="I100"/>
  <c r="I111" s="1"/>
  <c r="B100"/>
  <c r="C100" s="1"/>
  <c r="D100"/>
  <c r="H100"/>
  <c r="H111" s="1"/>
  <c r="F87"/>
  <c r="A104" s="1"/>
  <c r="A105" s="1"/>
  <c r="E105" s="1"/>
  <c r="O100"/>
  <c r="P100" s="1"/>
  <c r="E100"/>
  <c r="L98"/>
  <c r="G94" i="30"/>
  <c r="K94"/>
  <c r="L94" s="1"/>
  <c r="H95"/>
  <c r="B95"/>
  <c r="C95" s="1"/>
  <c r="D95"/>
  <c r="N95"/>
  <c r="E95"/>
  <c r="I95"/>
  <c r="O95"/>
  <c r="H95" i="34" l="1"/>
  <c r="E95"/>
  <c r="B95"/>
  <c r="C95" s="1"/>
  <c r="O95"/>
  <c r="D95"/>
  <c r="N95"/>
  <c r="G94"/>
  <c r="J94"/>
  <c r="L94" s="1"/>
  <c r="F96" i="33"/>
  <c r="K96" s="1"/>
  <c r="O97"/>
  <c r="N97"/>
  <c r="D97"/>
  <c r="I97"/>
  <c r="H97"/>
  <c r="E97"/>
  <c r="K93" i="35"/>
  <c r="L93" s="1"/>
  <c r="G93"/>
  <c r="P94"/>
  <c r="A95" s="1"/>
  <c r="E95" s="1"/>
  <c r="F94"/>
  <c r="J94" s="1"/>
  <c r="F96" i="29"/>
  <c r="J96" s="1"/>
  <c r="O97"/>
  <c r="P97" s="1"/>
  <c r="A98" s="1"/>
  <c r="N98" s="1"/>
  <c r="E97"/>
  <c r="H97"/>
  <c r="L95"/>
  <c r="B97"/>
  <c r="C97" s="1"/>
  <c r="D97"/>
  <c r="I97"/>
  <c r="D104" i="28"/>
  <c r="J99"/>
  <c r="L99" s="1"/>
  <c r="A106"/>
  <c r="A107" s="1"/>
  <c r="G99"/>
  <c r="I105"/>
  <c r="U23" s="1"/>
  <c r="H104"/>
  <c r="T22" s="1"/>
  <c r="D105"/>
  <c r="B104"/>
  <c r="C104" s="1"/>
  <c r="E104"/>
  <c r="I104"/>
  <c r="U22" s="1"/>
  <c r="F100"/>
  <c r="K100" s="1"/>
  <c r="H105"/>
  <c r="T23" s="1"/>
  <c r="B105"/>
  <c r="C105" s="1"/>
  <c r="P95" i="30"/>
  <c r="A96" s="1"/>
  <c r="O96" s="1"/>
  <c r="F95"/>
  <c r="J95" s="1"/>
  <c r="F95" i="34" l="1"/>
  <c r="G95" s="1"/>
  <c r="P95"/>
  <c r="A96" s="1"/>
  <c r="D96" s="1"/>
  <c r="J96" i="33"/>
  <c r="L96" s="1"/>
  <c r="G96"/>
  <c r="F97"/>
  <c r="G97" s="1"/>
  <c r="P97"/>
  <c r="A98" s="1"/>
  <c r="N98" s="1"/>
  <c r="H95" i="35"/>
  <c r="N95"/>
  <c r="B95"/>
  <c r="C95" s="1"/>
  <c r="I95"/>
  <c r="D95"/>
  <c r="O95"/>
  <c r="K94"/>
  <c r="L94" s="1"/>
  <c r="G94"/>
  <c r="G96" i="29"/>
  <c r="F97"/>
  <c r="K97" s="1"/>
  <c r="K96"/>
  <c r="L96" s="1"/>
  <c r="E98"/>
  <c r="I98"/>
  <c r="H98"/>
  <c r="O98"/>
  <c r="P98" s="1"/>
  <c r="A99" s="1"/>
  <c r="I99" s="1"/>
  <c r="D98"/>
  <c r="B98"/>
  <c r="C98" s="1"/>
  <c r="H106" i="28"/>
  <c r="T24" s="1"/>
  <c r="E106"/>
  <c r="D106"/>
  <c r="B106"/>
  <c r="C106" s="1"/>
  <c r="I106"/>
  <c r="U24" s="1"/>
  <c r="F104"/>
  <c r="J104" s="1"/>
  <c r="F105"/>
  <c r="K105" s="1"/>
  <c r="J100"/>
  <c r="J111" s="1"/>
  <c r="G100"/>
  <c r="K111"/>
  <c r="E107"/>
  <c r="B107"/>
  <c r="D107"/>
  <c r="I107"/>
  <c r="U25" s="1"/>
  <c r="H107"/>
  <c r="T25" s="1"/>
  <c r="A108"/>
  <c r="N96" i="30"/>
  <c r="P96" s="1"/>
  <c r="A97" s="1"/>
  <c r="E97" s="1"/>
  <c r="B96"/>
  <c r="C96" s="1"/>
  <c r="E96"/>
  <c r="D96"/>
  <c r="H96"/>
  <c r="I96"/>
  <c r="G95"/>
  <c r="K95"/>
  <c r="L95" s="1"/>
  <c r="K95" i="34" l="1"/>
  <c r="K97" i="33"/>
  <c r="J95" i="34"/>
  <c r="O96"/>
  <c r="B96"/>
  <c r="C96" s="1"/>
  <c r="E96"/>
  <c r="N96"/>
  <c r="I96"/>
  <c r="H96"/>
  <c r="J97" i="33"/>
  <c r="O98"/>
  <c r="P98" s="1"/>
  <c r="A99" s="1"/>
  <c r="D99" s="1"/>
  <c r="E98"/>
  <c r="I98"/>
  <c r="B98"/>
  <c r="C98" s="1"/>
  <c r="H98"/>
  <c r="D98"/>
  <c r="F95" i="35"/>
  <c r="J95" s="1"/>
  <c r="P95"/>
  <c r="A96" s="1"/>
  <c r="H96" s="1"/>
  <c r="N99" i="29"/>
  <c r="J97"/>
  <c r="L97" s="1"/>
  <c r="G97"/>
  <c r="F98"/>
  <c r="K98" s="1"/>
  <c r="D99"/>
  <c r="B99"/>
  <c r="C99" s="1"/>
  <c r="H99"/>
  <c r="E99"/>
  <c r="O99"/>
  <c r="G104" i="28"/>
  <c r="G105"/>
  <c r="F106"/>
  <c r="G106" s="1"/>
  <c r="E114"/>
  <c r="H114" s="1"/>
  <c r="K104"/>
  <c r="L104" s="1"/>
  <c r="J105"/>
  <c r="L105" s="1"/>
  <c r="L100"/>
  <c r="D114"/>
  <c r="C107"/>
  <c r="F107" s="1"/>
  <c r="G107" s="1"/>
  <c r="D108"/>
  <c r="B108"/>
  <c r="E108"/>
  <c r="I108"/>
  <c r="U26" s="1"/>
  <c r="H108"/>
  <c r="T26" s="1"/>
  <c r="O97" i="30"/>
  <c r="I97"/>
  <c r="B97"/>
  <c r="C97" s="1"/>
  <c r="F96"/>
  <c r="J96" s="1"/>
  <c r="H97"/>
  <c r="D97"/>
  <c r="N97"/>
  <c r="F96" i="34" l="1"/>
  <c r="K96" s="1"/>
  <c r="L97" i="33"/>
  <c r="L95" i="34"/>
  <c r="P96"/>
  <c r="A97" s="1"/>
  <c r="B97" s="1"/>
  <c r="C97" s="1"/>
  <c r="F98" i="33"/>
  <c r="G98" s="1"/>
  <c r="E99"/>
  <c r="H99"/>
  <c r="O99"/>
  <c r="N99"/>
  <c r="I99"/>
  <c r="B99"/>
  <c r="C99" s="1"/>
  <c r="K95" i="35"/>
  <c r="L95" s="1"/>
  <c r="G95"/>
  <c r="N96"/>
  <c r="I96"/>
  <c r="E96"/>
  <c r="B96"/>
  <c r="C96" s="1"/>
  <c r="O96"/>
  <c r="D96"/>
  <c r="P99" i="29"/>
  <c r="A100" s="1"/>
  <c r="B100" s="1"/>
  <c r="C100" s="1"/>
  <c r="G98"/>
  <c r="F99"/>
  <c r="G99" s="1"/>
  <c r="J98"/>
  <c r="L98" s="1"/>
  <c r="K106" i="28"/>
  <c r="J114"/>
  <c r="G114"/>
  <c r="I114" s="1"/>
  <c r="F114"/>
  <c r="A119"/>
  <c r="D119" s="1"/>
  <c r="J106"/>
  <c r="K114"/>
  <c r="F97" i="30"/>
  <c r="J97" s="1"/>
  <c r="K107" i="28"/>
  <c r="P97" i="30"/>
  <c r="A98" s="1"/>
  <c r="B98" s="1"/>
  <c r="C98" s="1"/>
  <c r="J107" i="28"/>
  <c r="C108"/>
  <c r="F108" s="1"/>
  <c r="G108" s="1"/>
  <c r="G96" i="30"/>
  <c r="K96"/>
  <c r="L96" s="1"/>
  <c r="J96" i="34" l="1"/>
  <c r="L96" s="1"/>
  <c r="G96"/>
  <c r="O97"/>
  <c r="H97"/>
  <c r="I97"/>
  <c r="D97"/>
  <c r="N97"/>
  <c r="E97"/>
  <c r="J98" i="33"/>
  <c r="P99"/>
  <c r="A100" s="1"/>
  <c r="N100" s="1"/>
  <c r="AE36" s="1"/>
  <c r="K98"/>
  <c r="F99"/>
  <c r="G99" s="1"/>
  <c r="F96" i="35"/>
  <c r="J96" s="1"/>
  <c r="P96"/>
  <c r="A97" s="1"/>
  <c r="E97" s="1"/>
  <c r="J99" i="29"/>
  <c r="F87"/>
  <c r="A104" s="1"/>
  <c r="E104" s="1"/>
  <c r="N100"/>
  <c r="AE36" s="1"/>
  <c r="E100"/>
  <c r="I100"/>
  <c r="I111" s="1"/>
  <c r="O100"/>
  <c r="D100"/>
  <c r="H100"/>
  <c r="H111" s="1"/>
  <c r="L106" i="28"/>
  <c r="B119"/>
  <c r="C119" s="1"/>
  <c r="K99" i="29"/>
  <c r="E119" i="28"/>
  <c r="A120"/>
  <c r="I120" s="1"/>
  <c r="U28" s="1"/>
  <c r="H119"/>
  <c r="T27" s="1"/>
  <c r="I119"/>
  <c r="U27" s="1"/>
  <c r="G97" i="30"/>
  <c r="K97"/>
  <c r="L97" s="1"/>
  <c r="L107" i="28"/>
  <c r="O98" i="30"/>
  <c r="D98"/>
  <c r="N98"/>
  <c r="H98"/>
  <c r="E98"/>
  <c r="I98"/>
  <c r="J108" i="28"/>
  <c r="K108"/>
  <c r="F97" i="34" l="1"/>
  <c r="K97" s="1"/>
  <c r="P97"/>
  <c r="A98" s="1"/>
  <c r="D98" s="1"/>
  <c r="L98" i="33"/>
  <c r="O100"/>
  <c r="P100" s="1"/>
  <c r="H100"/>
  <c r="H111" s="1"/>
  <c r="B100"/>
  <c r="C100" s="1"/>
  <c r="D100"/>
  <c r="F87"/>
  <c r="A104" s="1"/>
  <c r="I104" s="1"/>
  <c r="U22" s="1"/>
  <c r="I100"/>
  <c r="I111" s="1"/>
  <c r="E100"/>
  <c r="J99"/>
  <c r="K99"/>
  <c r="I97" i="35"/>
  <c r="D97"/>
  <c r="N97"/>
  <c r="G96"/>
  <c r="B97"/>
  <c r="C97" s="1"/>
  <c r="K96"/>
  <c r="L96" s="1"/>
  <c r="O97"/>
  <c r="H97"/>
  <c r="L99" i="29"/>
  <c r="B104"/>
  <c r="C104" s="1"/>
  <c r="F100"/>
  <c r="K100" s="1"/>
  <c r="K111" s="1"/>
  <c r="P100"/>
  <c r="H104"/>
  <c r="T22" s="1"/>
  <c r="I104"/>
  <c r="U22" s="1"/>
  <c r="A105"/>
  <c r="B105" s="1"/>
  <c r="C105" s="1"/>
  <c r="D104"/>
  <c r="E120" i="28"/>
  <c r="B120"/>
  <c r="C120" s="1"/>
  <c r="A121"/>
  <c r="H121" s="1"/>
  <c r="T29" s="1"/>
  <c r="D120"/>
  <c r="H120"/>
  <c r="T28" s="1"/>
  <c r="F119"/>
  <c r="G119" s="1"/>
  <c r="P98" i="30"/>
  <c r="A99" s="1"/>
  <c r="I99" s="1"/>
  <c r="F98"/>
  <c r="J98" s="1"/>
  <c r="L108" i="28"/>
  <c r="J97" i="34" l="1"/>
  <c r="L97" s="1"/>
  <c r="G97"/>
  <c r="H104" i="33"/>
  <c r="T22" s="1"/>
  <c r="D104"/>
  <c r="A105"/>
  <c r="I105" s="1"/>
  <c r="U23" s="1"/>
  <c r="N98" i="34"/>
  <c r="I98"/>
  <c r="O98"/>
  <c r="B98"/>
  <c r="C98" s="1"/>
  <c r="H98"/>
  <c r="E98"/>
  <c r="F100" i="33"/>
  <c r="G100" s="1"/>
  <c r="E104"/>
  <c r="B104"/>
  <c r="C104" s="1"/>
  <c r="L99"/>
  <c r="F97" i="35"/>
  <c r="J97" s="1"/>
  <c r="P97"/>
  <c r="A98" s="1"/>
  <c r="D98" s="1"/>
  <c r="I105" i="29"/>
  <c r="U23" s="1"/>
  <c r="J100"/>
  <c r="J111" s="1"/>
  <c r="D114" s="1"/>
  <c r="F104"/>
  <c r="G104" s="1"/>
  <c r="G100"/>
  <c r="H105"/>
  <c r="T23" s="1"/>
  <c r="A106"/>
  <c r="D106" s="1"/>
  <c r="D105"/>
  <c r="E105"/>
  <c r="F120" i="28"/>
  <c r="G120" s="1"/>
  <c r="K119"/>
  <c r="J119"/>
  <c r="A122"/>
  <c r="D122" s="1"/>
  <c r="E121"/>
  <c r="D121"/>
  <c r="B121"/>
  <c r="C121" s="1"/>
  <c r="I121"/>
  <c r="U29" s="1"/>
  <c r="B99" i="30"/>
  <c r="C99" s="1"/>
  <c r="H99"/>
  <c r="D99"/>
  <c r="N99"/>
  <c r="O99"/>
  <c r="E99"/>
  <c r="G98"/>
  <c r="K98"/>
  <c r="L98" s="1"/>
  <c r="H105" i="33" l="1"/>
  <c r="T23" s="1"/>
  <c r="E105"/>
  <c r="A106"/>
  <c r="B106" s="1"/>
  <c r="C106" s="1"/>
  <c r="B105"/>
  <c r="C105" s="1"/>
  <c r="D105"/>
  <c r="P98" i="34"/>
  <c r="A99" s="1"/>
  <c r="N99" s="1"/>
  <c r="F98"/>
  <c r="J98" s="1"/>
  <c r="J100" i="33"/>
  <c r="J111" s="1"/>
  <c r="K100"/>
  <c r="K111" s="1"/>
  <c r="F104"/>
  <c r="K104" s="1"/>
  <c r="K97" i="35"/>
  <c r="L97" s="1"/>
  <c r="G97"/>
  <c r="E98"/>
  <c r="B98"/>
  <c r="C98" s="1"/>
  <c r="I98"/>
  <c r="O98"/>
  <c r="H98"/>
  <c r="N98"/>
  <c r="J104" i="29"/>
  <c r="E114"/>
  <c r="G114" s="1"/>
  <c r="I114" s="1"/>
  <c r="I106"/>
  <c r="U24" s="1"/>
  <c r="K104"/>
  <c r="L100"/>
  <c r="J120" i="28"/>
  <c r="K120"/>
  <c r="F105" i="29"/>
  <c r="K105" s="1"/>
  <c r="E106"/>
  <c r="B106"/>
  <c r="C106" s="1"/>
  <c r="H106"/>
  <c r="T24" s="1"/>
  <c r="A107"/>
  <c r="I107" s="1"/>
  <c r="U25" s="1"/>
  <c r="L119" i="28"/>
  <c r="F121"/>
  <c r="K121" s="1"/>
  <c r="I122"/>
  <c r="U30" s="1"/>
  <c r="H122"/>
  <c r="T30" s="1"/>
  <c r="E122"/>
  <c r="B122"/>
  <c r="C122" s="1"/>
  <c r="A123"/>
  <c r="D123" s="1"/>
  <c r="P99" i="30"/>
  <c r="A100" s="1"/>
  <c r="E100" s="1"/>
  <c r="F99"/>
  <c r="G99" s="1"/>
  <c r="A107" i="33" l="1"/>
  <c r="H107" s="1"/>
  <c r="T25" s="1"/>
  <c r="E106"/>
  <c r="I106"/>
  <c r="U24" s="1"/>
  <c r="H106"/>
  <c r="T24" s="1"/>
  <c r="F105"/>
  <c r="J105" s="1"/>
  <c r="D106"/>
  <c r="E99" i="34"/>
  <c r="B99"/>
  <c r="C99" s="1"/>
  <c r="K98"/>
  <c r="L98" s="1"/>
  <c r="F106" i="33"/>
  <c r="J106" s="1"/>
  <c r="G98" i="34"/>
  <c r="H99"/>
  <c r="O99"/>
  <c r="P99" s="1"/>
  <c r="A100" s="1"/>
  <c r="E100" s="1"/>
  <c r="I99"/>
  <c r="D99"/>
  <c r="E114" i="33"/>
  <c r="H114" s="1"/>
  <c r="L100"/>
  <c r="D114"/>
  <c r="K105"/>
  <c r="J104"/>
  <c r="L104" s="1"/>
  <c r="G104"/>
  <c r="F98" i="35"/>
  <c r="K98" s="1"/>
  <c r="P98"/>
  <c r="A99" s="1"/>
  <c r="O99" s="1"/>
  <c r="L104" i="29"/>
  <c r="K114"/>
  <c r="H114"/>
  <c r="A130"/>
  <c r="E130" s="1"/>
  <c r="J114"/>
  <c r="A117"/>
  <c r="D117" s="1"/>
  <c r="L120" i="28"/>
  <c r="J105" i="29"/>
  <c r="L105" s="1"/>
  <c r="F106"/>
  <c r="J106" s="1"/>
  <c r="G105"/>
  <c r="D107"/>
  <c r="B107"/>
  <c r="C107" s="1"/>
  <c r="H107"/>
  <c r="T25" s="1"/>
  <c r="A108"/>
  <c r="B108" s="1"/>
  <c r="C108" s="1"/>
  <c r="E107"/>
  <c r="I123" i="28"/>
  <c r="U31" s="1"/>
  <c r="H123"/>
  <c r="T31" s="1"/>
  <c r="B123"/>
  <c r="C123" s="1"/>
  <c r="A124"/>
  <c r="E124" s="1"/>
  <c r="E123"/>
  <c r="F122"/>
  <c r="G122" s="1"/>
  <c r="J121"/>
  <c r="L121" s="1"/>
  <c r="G121"/>
  <c r="F87" i="30"/>
  <c r="A104" s="1"/>
  <c r="A105" s="1"/>
  <c r="E105" s="1"/>
  <c r="K99"/>
  <c r="O100"/>
  <c r="N100"/>
  <c r="AE36" s="1"/>
  <c r="D100"/>
  <c r="H100"/>
  <c r="H111" s="1"/>
  <c r="I100"/>
  <c r="I111" s="1"/>
  <c r="B100"/>
  <c r="C100" s="1"/>
  <c r="J99"/>
  <c r="E107" i="33" l="1"/>
  <c r="A108"/>
  <c r="E108" s="1"/>
  <c r="B107"/>
  <c r="C107" s="1"/>
  <c r="I107"/>
  <c r="U25" s="1"/>
  <c r="D107"/>
  <c r="G106"/>
  <c r="G105"/>
  <c r="K106"/>
  <c r="L106" s="1"/>
  <c r="F99" i="34"/>
  <c r="G99" s="1"/>
  <c r="L105" i="33"/>
  <c r="B100" i="34"/>
  <c r="C100" s="1"/>
  <c r="D100"/>
  <c r="H100"/>
  <c r="H111" s="1"/>
  <c r="N100"/>
  <c r="AE36" s="1"/>
  <c r="F87"/>
  <c r="A104" s="1"/>
  <c r="I104" s="1"/>
  <c r="U22" s="1"/>
  <c r="I100"/>
  <c r="I111" s="1"/>
  <c r="O100"/>
  <c r="F114" i="33"/>
  <c r="G114"/>
  <c r="I114" s="1"/>
  <c r="A119"/>
  <c r="B119" s="1"/>
  <c r="C119" s="1"/>
  <c r="J114"/>
  <c r="K114"/>
  <c r="J99" i="34"/>
  <c r="A105"/>
  <c r="A106" s="1"/>
  <c r="I106" s="1"/>
  <c r="U24" s="1"/>
  <c r="F107" i="33"/>
  <c r="G107" s="1"/>
  <c r="H108"/>
  <c r="T26" s="1"/>
  <c r="B108"/>
  <c r="C108" s="1"/>
  <c r="B99" i="35"/>
  <c r="C99" s="1"/>
  <c r="D99"/>
  <c r="J98"/>
  <c r="L98" s="1"/>
  <c r="G98"/>
  <c r="N99"/>
  <c r="P99" s="1"/>
  <c r="A100" s="1"/>
  <c r="I100" s="1"/>
  <c r="I111" s="1"/>
  <c r="I99"/>
  <c r="H99"/>
  <c r="E99"/>
  <c r="E117" i="29"/>
  <c r="H130"/>
  <c r="T27" s="1"/>
  <c r="B130"/>
  <c r="C130" s="1"/>
  <c r="G106"/>
  <c r="K106"/>
  <c r="L106" s="1"/>
  <c r="D130"/>
  <c r="I130"/>
  <c r="U27" s="1"/>
  <c r="O117"/>
  <c r="H117"/>
  <c r="B117"/>
  <c r="C117" s="1"/>
  <c r="I117"/>
  <c r="N117"/>
  <c r="D124" i="28"/>
  <c r="F123"/>
  <c r="K123" s="1"/>
  <c r="E108" i="29"/>
  <c r="D108"/>
  <c r="B124" i="28"/>
  <c r="C124" s="1"/>
  <c r="A125"/>
  <c r="D125" s="1"/>
  <c r="H108" i="29"/>
  <c r="T26" s="1"/>
  <c r="H124" i="28"/>
  <c r="T32" s="1"/>
  <c r="I124"/>
  <c r="U32" s="1"/>
  <c r="F107" i="29"/>
  <c r="J107" s="1"/>
  <c r="I108"/>
  <c r="U26" s="1"/>
  <c r="K122" i="28"/>
  <c r="J122"/>
  <c r="A106" i="30"/>
  <c r="D106" s="1"/>
  <c r="L99"/>
  <c r="I105"/>
  <c r="U23" s="1"/>
  <c r="D104"/>
  <c r="B105"/>
  <c r="C105" s="1"/>
  <c r="H104"/>
  <c r="T22" s="1"/>
  <c r="D105"/>
  <c r="I104"/>
  <c r="U22" s="1"/>
  <c r="H105"/>
  <c r="T23" s="1"/>
  <c r="E104"/>
  <c r="B104"/>
  <c r="C104" s="1"/>
  <c r="F100"/>
  <c r="K100" s="1"/>
  <c r="K111" s="1"/>
  <c r="P100"/>
  <c r="K99" i="34" l="1"/>
  <c r="L99" s="1"/>
  <c r="I108" i="33"/>
  <c r="U26" s="1"/>
  <c r="D108"/>
  <c r="H119"/>
  <c r="T27" s="1"/>
  <c r="A107" i="34"/>
  <c r="B104"/>
  <c r="C104" s="1"/>
  <c r="I119" i="33"/>
  <c r="U27" s="1"/>
  <c r="D104" i="34"/>
  <c r="E104"/>
  <c r="P100"/>
  <c r="F100"/>
  <c r="K100" s="1"/>
  <c r="K111" s="1"/>
  <c r="H104"/>
  <c r="T22" s="1"/>
  <c r="D119" i="33"/>
  <c r="A120"/>
  <c r="A121" s="1"/>
  <c r="E119"/>
  <c r="K107"/>
  <c r="H105" i="34"/>
  <c r="T23" s="1"/>
  <c r="H106"/>
  <c r="T24" s="1"/>
  <c r="E106"/>
  <c r="E105"/>
  <c r="B106"/>
  <c r="C106" s="1"/>
  <c r="B105"/>
  <c r="C105" s="1"/>
  <c r="D106"/>
  <c r="I105"/>
  <c r="U23" s="1"/>
  <c r="D105"/>
  <c r="J107" i="33"/>
  <c r="F108"/>
  <c r="G108" s="1"/>
  <c r="F99" i="35"/>
  <c r="J99" s="1"/>
  <c r="F87"/>
  <c r="A104" s="1"/>
  <c r="I104" s="1"/>
  <c r="U22" s="1"/>
  <c r="O100"/>
  <c r="N100"/>
  <c r="AE36" s="1"/>
  <c r="D100"/>
  <c r="E100"/>
  <c r="B100"/>
  <c r="C100" s="1"/>
  <c r="H100"/>
  <c r="H111" s="1"/>
  <c r="F117" i="29"/>
  <c r="J117" s="1"/>
  <c r="I107" i="34"/>
  <c r="U25" s="1"/>
  <c r="D107"/>
  <c r="E107"/>
  <c r="A108"/>
  <c r="B107"/>
  <c r="H107"/>
  <c r="T25" s="1"/>
  <c r="F130" i="29"/>
  <c r="K130" s="1"/>
  <c r="J123" i="28"/>
  <c r="L123" s="1"/>
  <c r="G123"/>
  <c r="P117" i="29"/>
  <c r="A118" s="1"/>
  <c r="I118" s="1"/>
  <c r="F124" i="28"/>
  <c r="K124" s="1"/>
  <c r="F108" i="29"/>
  <c r="G108" s="1"/>
  <c r="H125" i="28"/>
  <c r="T33" s="1"/>
  <c r="I125"/>
  <c r="U33" s="1"/>
  <c r="B125"/>
  <c r="C125" s="1"/>
  <c r="A126"/>
  <c r="H126" s="1"/>
  <c r="T34" s="1"/>
  <c r="E125"/>
  <c r="G107" i="29"/>
  <c r="K107"/>
  <c r="L107" s="1"/>
  <c r="L122" i="28"/>
  <c r="I106" i="30"/>
  <c r="U24" s="1"/>
  <c r="H106"/>
  <c r="T24" s="1"/>
  <c r="E106"/>
  <c r="A107"/>
  <c r="D107" s="1"/>
  <c r="B106"/>
  <c r="C106" s="1"/>
  <c r="F104"/>
  <c r="G104" s="1"/>
  <c r="F105"/>
  <c r="K105" s="1"/>
  <c r="G100"/>
  <c r="J100"/>
  <c r="L100" s="1"/>
  <c r="F104" i="34" l="1"/>
  <c r="K104" s="1"/>
  <c r="D120" i="33"/>
  <c r="B120"/>
  <c r="C120" s="1"/>
  <c r="E120"/>
  <c r="H120"/>
  <c r="T28" s="1"/>
  <c r="I120"/>
  <c r="U28" s="1"/>
  <c r="J100" i="34"/>
  <c r="G100"/>
  <c r="J104"/>
  <c r="L104" s="1"/>
  <c r="G104"/>
  <c r="F119" i="33"/>
  <c r="G119" s="1"/>
  <c r="F106" i="34"/>
  <c r="K106" s="1"/>
  <c r="L107" i="33"/>
  <c r="F105" i="34"/>
  <c r="G105" s="1"/>
  <c r="J108" i="33"/>
  <c r="K108"/>
  <c r="D121"/>
  <c r="E121"/>
  <c r="H121"/>
  <c r="T29" s="1"/>
  <c r="A122"/>
  <c r="I121"/>
  <c r="U29" s="1"/>
  <c r="B121"/>
  <c r="C121" s="1"/>
  <c r="F100" i="35"/>
  <c r="K100" s="1"/>
  <c r="K111" s="1"/>
  <c r="G99"/>
  <c r="K99"/>
  <c r="L99" s="1"/>
  <c r="B104"/>
  <c r="C104" s="1"/>
  <c r="D104"/>
  <c r="A105"/>
  <c r="A106" s="1"/>
  <c r="E104"/>
  <c r="H104"/>
  <c r="T22" s="1"/>
  <c r="P100"/>
  <c r="G117" i="29"/>
  <c r="K117"/>
  <c r="L117" s="1"/>
  <c r="J106" i="34"/>
  <c r="L106" s="1"/>
  <c r="H108"/>
  <c r="T26" s="1"/>
  <c r="D108"/>
  <c r="B108"/>
  <c r="C108" s="1"/>
  <c r="E108"/>
  <c r="I108"/>
  <c r="U26" s="1"/>
  <c r="C107"/>
  <c r="F107" s="1"/>
  <c r="G107" s="1"/>
  <c r="J130" i="29"/>
  <c r="L130" s="1"/>
  <c r="G130"/>
  <c r="K108"/>
  <c r="G124" i="28"/>
  <c r="J124"/>
  <c r="L124" s="1"/>
  <c r="O118" i="29"/>
  <c r="D118"/>
  <c r="N118"/>
  <c r="E118"/>
  <c r="B118"/>
  <c r="C118" s="1"/>
  <c r="H118"/>
  <c r="J108"/>
  <c r="F125" i="28"/>
  <c r="G125" s="1"/>
  <c r="A127"/>
  <c r="I127" s="1"/>
  <c r="U35" s="1"/>
  <c r="I126"/>
  <c r="U34" s="1"/>
  <c r="D126"/>
  <c r="B126"/>
  <c r="C126" s="1"/>
  <c r="E126"/>
  <c r="F106" i="30"/>
  <c r="G106" s="1"/>
  <c r="A108"/>
  <c r="I108" s="1"/>
  <c r="U26" s="1"/>
  <c r="B107"/>
  <c r="C107" s="1"/>
  <c r="I107"/>
  <c r="U25" s="1"/>
  <c r="E107"/>
  <c r="H107"/>
  <c r="T25" s="1"/>
  <c r="J105"/>
  <c r="L105" s="1"/>
  <c r="G105"/>
  <c r="J104"/>
  <c r="K104"/>
  <c r="J111"/>
  <c r="D114" s="1"/>
  <c r="F120" i="33" l="1"/>
  <c r="J120" s="1"/>
  <c r="L100" i="34"/>
  <c r="J111"/>
  <c r="J119" i="33"/>
  <c r="G106" i="34"/>
  <c r="K119" i="33"/>
  <c r="J105" i="34"/>
  <c r="K105"/>
  <c r="L108" i="33"/>
  <c r="A123"/>
  <c r="D122"/>
  <c r="I122"/>
  <c r="U30" s="1"/>
  <c r="H122"/>
  <c r="T30" s="1"/>
  <c r="B122"/>
  <c r="E122"/>
  <c r="F121"/>
  <c r="J121" s="1"/>
  <c r="K120"/>
  <c r="L120" s="1"/>
  <c r="G100" i="35"/>
  <c r="J100"/>
  <c r="L100" s="1"/>
  <c r="D105"/>
  <c r="E105"/>
  <c r="I105"/>
  <c r="U23" s="1"/>
  <c r="H105"/>
  <c r="T23" s="1"/>
  <c r="B105"/>
  <c r="C105" s="1"/>
  <c r="F104"/>
  <c r="G104" s="1"/>
  <c r="I106"/>
  <c r="U24" s="1"/>
  <c r="A107"/>
  <c r="H106"/>
  <c r="T24" s="1"/>
  <c r="E106"/>
  <c r="D106"/>
  <c r="B106"/>
  <c r="C106" s="1"/>
  <c r="J107" i="34"/>
  <c r="F108"/>
  <c r="K107"/>
  <c r="L108" i="29"/>
  <c r="P118"/>
  <c r="A119" s="1"/>
  <c r="H119" s="1"/>
  <c r="F118"/>
  <c r="J118" s="1"/>
  <c r="K125" i="28"/>
  <c r="J125"/>
  <c r="F126"/>
  <c r="K126" s="1"/>
  <c r="A128"/>
  <c r="B128" s="1"/>
  <c r="C128" s="1"/>
  <c r="E127"/>
  <c r="B127"/>
  <c r="C127" s="1"/>
  <c r="D127"/>
  <c r="H127"/>
  <c r="T35" s="1"/>
  <c r="K106" i="30"/>
  <c r="J106"/>
  <c r="B108"/>
  <c r="C108" s="1"/>
  <c r="E108"/>
  <c r="D108"/>
  <c r="H108"/>
  <c r="T26" s="1"/>
  <c r="F107"/>
  <c r="G107" s="1"/>
  <c r="L104"/>
  <c r="E114"/>
  <c r="K114" s="1"/>
  <c r="G120" i="33" l="1"/>
  <c r="D114" i="34"/>
  <c r="E114"/>
  <c r="L119" i="33"/>
  <c r="L105" i="34"/>
  <c r="E123" i="33"/>
  <c r="I123"/>
  <c r="U31" s="1"/>
  <c r="A124"/>
  <c r="B123"/>
  <c r="C123" s="1"/>
  <c r="H123"/>
  <c r="T31" s="1"/>
  <c r="D123"/>
  <c r="C122"/>
  <c r="F122" s="1"/>
  <c r="G122" s="1"/>
  <c r="G121"/>
  <c r="K121"/>
  <c r="L121" s="1"/>
  <c r="J111" i="35"/>
  <c r="D114" s="1"/>
  <c r="F105"/>
  <c r="K105" s="1"/>
  <c r="K104"/>
  <c r="J104"/>
  <c r="F106"/>
  <c r="A108"/>
  <c r="B107"/>
  <c r="C107" s="1"/>
  <c r="I107"/>
  <c r="U25" s="1"/>
  <c r="H107"/>
  <c r="T25" s="1"/>
  <c r="E107"/>
  <c r="D107"/>
  <c r="L107" i="34"/>
  <c r="K108"/>
  <c r="G108"/>
  <c r="J108"/>
  <c r="D119" i="29"/>
  <c r="N119"/>
  <c r="I119"/>
  <c r="O119"/>
  <c r="B119"/>
  <c r="C119" s="1"/>
  <c r="E119"/>
  <c r="G118"/>
  <c r="K118"/>
  <c r="L118" s="1"/>
  <c r="G126" i="28"/>
  <c r="L125"/>
  <c r="F127"/>
  <c r="K127" s="1"/>
  <c r="J126"/>
  <c r="L126" s="1"/>
  <c r="D128"/>
  <c r="I128"/>
  <c r="U36" s="1"/>
  <c r="A129"/>
  <c r="I129" s="1"/>
  <c r="U37" s="1"/>
  <c r="E128"/>
  <c r="H128"/>
  <c r="T36" s="1"/>
  <c r="J107" i="30"/>
  <c r="L106"/>
  <c r="F108"/>
  <c r="J108" s="1"/>
  <c r="K107"/>
  <c r="J114"/>
  <c r="A130"/>
  <c r="E130" s="1"/>
  <c r="A117"/>
  <c r="D117" s="1"/>
  <c r="G114"/>
  <c r="I114" s="1"/>
  <c r="H114"/>
  <c r="K114" i="34" l="1"/>
  <c r="H114"/>
  <c r="J114"/>
  <c r="A130"/>
  <c r="G114"/>
  <c r="I114" s="1"/>
  <c r="A117"/>
  <c r="F123" i="33"/>
  <c r="G123" s="1"/>
  <c r="D124"/>
  <c r="I124"/>
  <c r="U32" s="1"/>
  <c r="B124"/>
  <c r="C124" s="1"/>
  <c r="H124"/>
  <c r="T32" s="1"/>
  <c r="A125"/>
  <c r="E124"/>
  <c r="K122"/>
  <c r="J122"/>
  <c r="E114" i="35"/>
  <c r="K114" s="1"/>
  <c r="G105"/>
  <c r="J105"/>
  <c r="L105" s="1"/>
  <c r="L104"/>
  <c r="K106"/>
  <c r="G106"/>
  <c r="J106"/>
  <c r="D108"/>
  <c r="B108"/>
  <c r="C108" s="1"/>
  <c r="H108"/>
  <c r="T26" s="1"/>
  <c r="E108"/>
  <c r="I108"/>
  <c r="U26" s="1"/>
  <c r="F107"/>
  <c r="L108" i="34"/>
  <c r="F119" i="29"/>
  <c r="K119" s="1"/>
  <c r="P119"/>
  <c r="A120" s="1"/>
  <c r="H120" s="1"/>
  <c r="G127" i="28"/>
  <c r="J127"/>
  <c r="L127" s="1"/>
  <c r="F128"/>
  <c r="G128" s="1"/>
  <c r="E129"/>
  <c r="B129"/>
  <c r="C129" s="1"/>
  <c r="D129"/>
  <c r="A130"/>
  <c r="H130" s="1"/>
  <c r="T38" s="1"/>
  <c r="H129"/>
  <c r="T37" s="1"/>
  <c r="L107" i="30"/>
  <c r="G108"/>
  <c r="K108"/>
  <c r="L108" s="1"/>
  <c r="I130"/>
  <c r="U27" s="1"/>
  <c r="N117"/>
  <c r="B130"/>
  <c r="C130" s="1"/>
  <c r="D130"/>
  <c r="H130"/>
  <c r="T27" s="1"/>
  <c r="B117"/>
  <c r="C117" s="1"/>
  <c r="E117"/>
  <c r="O117"/>
  <c r="H117"/>
  <c r="I117"/>
  <c r="I117" i="34" l="1"/>
  <c r="H130"/>
  <c r="T27" s="1"/>
  <c r="H117"/>
  <c r="I130"/>
  <c r="U27" s="1"/>
  <c r="N117"/>
  <c r="O117"/>
  <c r="B130"/>
  <c r="C130" s="1"/>
  <c r="E130"/>
  <c r="D130"/>
  <c r="B117"/>
  <c r="C117" s="1"/>
  <c r="F117" s="1"/>
  <c r="G117" s="1"/>
  <c r="E117"/>
  <c r="D117"/>
  <c r="L122" i="33"/>
  <c r="K123"/>
  <c r="J123"/>
  <c r="F124"/>
  <c r="G124" s="1"/>
  <c r="A126"/>
  <c r="I125"/>
  <c r="U33" s="1"/>
  <c r="D125"/>
  <c r="E125"/>
  <c r="H125"/>
  <c r="T33" s="1"/>
  <c r="B125"/>
  <c r="C125" s="1"/>
  <c r="H114" i="35"/>
  <c r="J114"/>
  <c r="A130"/>
  <c r="B130" s="1"/>
  <c r="C130" s="1"/>
  <c r="A117"/>
  <c r="E117" s="1"/>
  <c r="G114"/>
  <c r="I114" s="1"/>
  <c r="L106"/>
  <c r="F108"/>
  <c r="K107"/>
  <c r="J107"/>
  <c r="G107"/>
  <c r="O120" i="29"/>
  <c r="J119"/>
  <c r="L119" s="1"/>
  <c r="B120"/>
  <c r="C120" s="1"/>
  <c r="D120"/>
  <c r="I120"/>
  <c r="G119"/>
  <c r="N120"/>
  <c r="E120"/>
  <c r="A131" i="28"/>
  <c r="E131" s="1"/>
  <c r="B130"/>
  <c r="C130" s="1"/>
  <c r="E130"/>
  <c r="D130"/>
  <c r="I130"/>
  <c r="U38" s="1"/>
  <c r="F129"/>
  <c r="K129" s="1"/>
  <c r="J128"/>
  <c r="K128"/>
  <c r="F117" i="30"/>
  <c r="G117" s="1"/>
  <c r="F130"/>
  <c r="G130" s="1"/>
  <c r="P117"/>
  <c r="A118" s="1"/>
  <c r="E118" s="1"/>
  <c r="P117" i="34" l="1"/>
  <c r="A118" s="1"/>
  <c r="D118" s="1"/>
  <c r="J117"/>
  <c r="L117" s="1"/>
  <c r="K117"/>
  <c r="F130"/>
  <c r="K124" i="33"/>
  <c r="L123"/>
  <c r="H126"/>
  <c r="T34" s="1"/>
  <c r="B126"/>
  <c r="C126" s="1"/>
  <c r="I126"/>
  <c r="U34" s="1"/>
  <c r="D126"/>
  <c r="A127"/>
  <c r="E126"/>
  <c r="J124"/>
  <c r="L124" s="1"/>
  <c r="I130" i="35"/>
  <c r="U27" s="1"/>
  <c r="F125" i="33"/>
  <c r="B117" i="35"/>
  <c r="C117" s="1"/>
  <c r="O117"/>
  <c r="I117"/>
  <c r="N117"/>
  <c r="H117"/>
  <c r="E130"/>
  <c r="H130"/>
  <c r="T27" s="1"/>
  <c r="D130"/>
  <c r="D117"/>
  <c r="L107"/>
  <c r="J108"/>
  <c r="G108"/>
  <c r="K108"/>
  <c r="P120" i="29"/>
  <c r="A121" s="1"/>
  <c r="H121" s="1"/>
  <c r="F120"/>
  <c r="K120" s="1"/>
  <c r="I131" i="28"/>
  <c r="U39" s="1"/>
  <c r="F130"/>
  <c r="G130" s="1"/>
  <c r="A132"/>
  <c r="E132" s="1"/>
  <c r="H131"/>
  <c r="T39" s="1"/>
  <c r="B131"/>
  <c r="C131" s="1"/>
  <c r="D131"/>
  <c r="G129"/>
  <c r="J129"/>
  <c r="L129" s="1"/>
  <c r="L128"/>
  <c r="K117" i="30"/>
  <c r="J117"/>
  <c r="K130"/>
  <c r="H118"/>
  <c r="J130"/>
  <c r="B118"/>
  <c r="C118" s="1"/>
  <c r="D118"/>
  <c r="I118"/>
  <c r="O118"/>
  <c r="N118"/>
  <c r="I118" i="34" l="1"/>
  <c r="H118"/>
  <c r="N118"/>
  <c r="P118" s="1"/>
  <c r="A119" s="1"/>
  <c r="H119" s="1"/>
  <c r="O118"/>
  <c r="B118"/>
  <c r="C118" s="1"/>
  <c r="F118" s="1"/>
  <c r="G118" s="1"/>
  <c r="E118"/>
  <c r="K130"/>
  <c r="J130"/>
  <c r="G130"/>
  <c r="F126" i="33"/>
  <c r="G126" s="1"/>
  <c r="G125"/>
  <c r="K125"/>
  <c r="J125"/>
  <c r="H127"/>
  <c r="T35" s="1"/>
  <c r="D127"/>
  <c r="B127"/>
  <c r="C127" s="1"/>
  <c r="I127"/>
  <c r="U35" s="1"/>
  <c r="E127"/>
  <c r="A128"/>
  <c r="F117" i="35"/>
  <c r="J117" s="1"/>
  <c r="P117"/>
  <c r="A118" s="1"/>
  <c r="I118" s="1"/>
  <c r="F130"/>
  <c r="J130" s="1"/>
  <c r="L108"/>
  <c r="I132" i="28"/>
  <c r="H132"/>
  <c r="D121" i="29"/>
  <c r="E121"/>
  <c r="I121"/>
  <c r="N121"/>
  <c r="K130" i="28"/>
  <c r="J130"/>
  <c r="A133"/>
  <c r="D133" s="1"/>
  <c r="D132"/>
  <c r="B121" i="29"/>
  <c r="C121" s="1"/>
  <c r="O121"/>
  <c r="B132" i="28"/>
  <c r="C132" s="1"/>
  <c r="F131"/>
  <c r="G131" s="1"/>
  <c r="J120" i="29"/>
  <c r="L120" s="1"/>
  <c r="G120"/>
  <c r="L117" i="30"/>
  <c r="L130"/>
  <c r="F118"/>
  <c r="J118" s="1"/>
  <c r="P118"/>
  <c r="A119" s="1"/>
  <c r="N119" s="1"/>
  <c r="I119" i="34" l="1"/>
  <c r="N119"/>
  <c r="P119" s="1"/>
  <c r="A120" s="1"/>
  <c r="D119"/>
  <c r="E119"/>
  <c r="O119"/>
  <c r="B119"/>
  <c r="C119" s="1"/>
  <c r="L130"/>
  <c r="J118"/>
  <c r="K118"/>
  <c r="L118" s="1"/>
  <c r="J126" i="33"/>
  <c r="K126"/>
  <c r="B128"/>
  <c r="C128" s="1"/>
  <c r="A129"/>
  <c r="H128"/>
  <c r="T36" s="1"/>
  <c r="I128"/>
  <c r="U36" s="1"/>
  <c r="D128"/>
  <c r="E128"/>
  <c r="L125"/>
  <c r="F127"/>
  <c r="K130" i="35"/>
  <c r="L130" s="1"/>
  <c r="G117"/>
  <c r="K117"/>
  <c r="L117" s="1"/>
  <c r="B118"/>
  <c r="C118" s="1"/>
  <c r="O118"/>
  <c r="N118"/>
  <c r="E118"/>
  <c r="D118"/>
  <c r="H118"/>
  <c r="G130"/>
  <c r="H133" i="28"/>
  <c r="P121" i="29"/>
  <c r="A122" s="1"/>
  <c r="H122" s="1"/>
  <c r="F121"/>
  <c r="K121" s="1"/>
  <c r="L130" i="28"/>
  <c r="I133"/>
  <c r="B133"/>
  <c r="C133" s="1"/>
  <c r="A134"/>
  <c r="B134" s="1"/>
  <c r="C134" s="1"/>
  <c r="E133"/>
  <c r="F132"/>
  <c r="G132" s="1"/>
  <c r="J131"/>
  <c r="K131"/>
  <c r="D119" i="30"/>
  <c r="I119"/>
  <c r="E119"/>
  <c r="K118"/>
  <c r="L118" s="1"/>
  <c r="G118"/>
  <c r="B119"/>
  <c r="C119" s="1"/>
  <c r="H119"/>
  <c r="O119"/>
  <c r="P119" s="1"/>
  <c r="A120" s="1"/>
  <c r="B120" s="1"/>
  <c r="C120" s="1"/>
  <c r="F119" i="34" l="1"/>
  <c r="G119" s="1"/>
  <c r="F128" i="33"/>
  <c r="K128" s="1"/>
  <c r="L126"/>
  <c r="J127"/>
  <c r="G127"/>
  <c r="K127"/>
  <c r="A130"/>
  <c r="D129"/>
  <c r="E129"/>
  <c r="H129"/>
  <c r="T37" s="1"/>
  <c r="I129"/>
  <c r="U37" s="1"/>
  <c r="B129"/>
  <c r="C129" s="1"/>
  <c r="H120" i="34"/>
  <c r="F118" i="35"/>
  <c r="J118" s="1"/>
  <c r="P118"/>
  <c r="A119" s="1"/>
  <c r="D119" s="1"/>
  <c r="B120" i="34"/>
  <c r="C120" s="1"/>
  <c r="J119"/>
  <c r="E120"/>
  <c r="I120"/>
  <c r="N120"/>
  <c r="O120"/>
  <c r="D120"/>
  <c r="J132" i="28"/>
  <c r="G121" i="29"/>
  <c r="F133" i="28"/>
  <c r="J133" s="1"/>
  <c r="J121" i="29"/>
  <c r="L121" s="1"/>
  <c r="O122"/>
  <c r="N122"/>
  <c r="D122"/>
  <c r="E122"/>
  <c r="B122"/>
  <c r="C122" s="1"/>
  <c r="I122"/>
  <c r="K132" i="28"/>
  <c r="A135"/>
  <c r="I135" s="1"/>
  <c r="I134"/>
  <c r="E134"/>
  <c r="H134"/>
  <c r="D134"/>
  <c r="L131"/>
  <c r="F119" i="30"/>
  <c r="G119" s="1"/>
  <c r="H120"/>
  <c r="N120"/>
  <c r="I120"/>
  <c r="O120"/>
  <c r="E120"/>
  <c r="D120"/>
  <c r="K119" i="34" l="1"/>
  <c r="L119" s="1"/>
  <c r="G128" i="33"/>
  <c r="J128"/>
  <c r="L128" s="1"/>
  <c r="F129"/>
  <c r="G129" s="1"/>
  <c r="L127"/>
  <c r="D130"/>
  <c r="B130"/>
  <c r="C130" s="1"/>
  <c r="I130"/>
  <c r="U38" s="1"/>
  <c r="H130"/>
  <c r="T38" s="1"/>
  <c r="A131"/>
  <c r="E130"/>
  <c r="P120" i="34"/>
  <c r="A121" s="1"/>
  <c r="G118" i="35"/>
  <c r="K118"/>
  <c r="L118" s="1"/>
  <c r="N119"/>
  <c r="B119"/>
  <c r="C119" s="1"/>
  <c r="I119"/>
  <c r="E119"/>
  <c r="O119"/>
  <c r="H119"/>
  <c r="F120" i="34"/>
  <c r="K120" s="1"/>
  <c r="L132" i="28"/>
  <c r="G133"/>
  <c r="K133"/>
  <c r="L133" s="1"/>
  <c r="P122" i="29"/>
  <c r="A123" s="1"/>
  <c r="H123" s="1"/>
  <c r="B135" i="28"/>
  <c r="C135" s="1"/>
  <c r="F122" i="29"/>
  <c r="J122" s="1"/>
  <c r="E135" i="28"/>
  <c r="A136"/>
  <c r="I136" s="1"/>
  <c r="F134"/>
  <c r="K134" s="1"/>
  <c r="D135"/>
  <c r="H135"/>
  <c r="J119" i="30"/>
  <c r="K119"/>
  <c r="F120"/>
  <c r="G120" s="1"/>
  <c r="P120"/>
  <c r="A121" s="1"/>
  <c r="I121" s="1"/>
  <c r="J129" i="33" l="1"/>
  <c r="K129"/>
  <c r="F130"/>
  <c r="I131"/>
  <c r="U39" s="1"/>
  <c r="A132"/>
  <c r="D131"/>
  <c r="E131"/>
  <c r="H131"/>
  <c r="T39" s="1"/>
  <c r="B131"/>
  <c r="C131" s="1"/>
  <c r="B121" i="34"/>
  <c r="C121" s="1"/>
  <c r="F119" i="35"/>
  <c r="J119" s="1"/>
  <c r="P119"/>
  <c r="A120" s="1"/>
  <c r="D120" s="1"/>
  <c r="D121" i="34"/>
  <c r="E121"/>
  <c r="I121"/>
  <c r="O121"/>
  <c r="N121"/>
  <c r="H121"/>
  <c r="J120"/>
  <c r="L120" s="1"/>
  <c r="G120"/>
  <c r="H136" i="28"/>
  <c r="B136"/>
  <c r="C136" s="1"/>
  <c r="E136"/>
  <c r="A137"/>
  <c r="D137" s="1"/>
  <c r="I123" i="29"/>
  <c r="B123"/>
  <c r="C123" s="1"/>
  <c r="O123"/>
  <c r="E123"/>
  <c r="N123"/>
  <c r="D123"/>
  <c r="K122"/>
  <c r="L122" s="1"/>
  <c r="G122"/>
  <c r="F135" i="28"/>
  <c r="G135" s="1"/>
  <c r="G134"/>
  <c r="D136"/>
  <c r="J134"/>
  <c r="L134" s="1"/>
  <c r="L119" i="30"/>
  <c r="D121"/>
  <c r="B121"/>
  <c r="C121" s="1"/>
  <c r="E121"/>
  <c r="H121"/>
  <c r="O121"/>
  <c r="N121"/>
  <c r="K120"/>
  <c r="J120"/>
  <c r="L129" i="33" l="1"/>
  <c r="G130"/>
  <c r="J130"/>
  <c r="L130" s="1"/>
  <c r="K130"/>
  <c r="H132"/>
  <c r="I132"/>
  <c r="E132"/>
  <c r="B132"/>
  <c r="C132" s="1"/>
  <c r="A133"/>
  <c r="D132"/>
  <c r="F131"/>
  <c r="P121" i="34"/>
  <c r="A122" s="1"/>
  <c r="I120" i="35"/>
  <c r="H120"/>
  <c r="K119"/>
  <c r="L119" s="1"/>
  <c r="G119"/>
  <c r="B120"/>
  <c r="C120" s="1"/>
  <c r="O120"/>
  <c r="E120"/>
  <c r="N120"/>
  <c r="F121" i="34"/>
  <c r="G121" s="1"/>
  <c r="I137" i="28"/>
  <c r="H137"/>
  <c r="A138"/>
  <c r="D138" s="1"/>
  <c r="B137"/>
  <c r="C137" s="1"/>
  <c r="E137"/>
  <c r="F136"/>
  <c r="G136" s="1"/>
  <c r="P123" i="29"/>
  <c r="A124" s="1"/>
  <c r="D124" s="1"/>
  <c r="F123"/>
  <c r="G123" s="1"/>
  <c r="K135" i="28"/>
  <c r="J135"/>
  <c r="P121" i="30"/>
  <c r="A122" s="1"/>
  <c r="D122" s="1"/>
  <c r="F121"/>
  <c r="J121" s="1"/>
  <c r="L120"/>
  <c r="F120" i="35" l="1"/>
  <c r="K120" s="1"/>
  <c r="G131" i="33"/>
  <c r="J131"/>
  <c r="L131" s="1"/>
  <c r="K131"/>
  <c r="F132"/>
  <c r="E133"/>
  <c r="I133"/>
  <c r="A134"/>
  <c r="D133"/>
  <c r="H133"/>
  <c r="B133"/>
  <c r="C133" s="1"/>
  <c r="D122" i="34"/>
  <c r="P120" i="35"/>
  <c r="A121" s="1"/>
  <c r="O121" s="1"/>
  <c r="J121" i="34"/>
  <c r="K121"/>
  <c r="B122"/>
  <c r="C122" s="1"/>
  <c r="E122"/>
  <c r="H122"/>
  <c r="N122"/>
  <c r="O122"/>
  <c r="I122"/>
  <c r="I138" i="28"/>
  <c r="H138"/>
  <c r="K136"/>
  <c r="J136"/>
  <c r="F137"/>
  <c r="G137" s="1"/>
  <c r="B138"/>
  <c r="C138" s="1"/>
  <c r="E138"/>
  <c r="A139"/>
  <c r="E139" s="1"/>
  <c r="I124" i="29"/>
  <c r="H124"/>
  <c r="E124"/>
  <c r="B124"/>
  <c r="C124" s="1"/>
  <c r="N124"/>
  <c r="O124"/>
  <c r="L135" i="28"/>
  <c r="K123" i="29"/>
  <c r="J123"/>
  <c r="I122" i="30"/>
  <c r="H122"/>
  <c r="N122"/>
  <c r="O122"/>
  <c r="B122"/>
  <c r="C122" s="1"/>
  <c r="E122"/>
  <c r="K121"/>
  <c r="L121" s="1"/>
  <c r="G121"/>
  <c r="F133" i="33" l="1"/>
  <c r="G133" s="1"/>
  <c r="J120" i="35"/>
  <c r="L120" s="1"/>
  <c r="G120"/>
  <c r="G132" i="33"/>
  <c r="J132"/>
  <c r="K132"/>
  <c r="H134"/>
  <c r="I134"/>
  <c r="D134"/>
  <c r="E134"/>
  <c r="B134"/>
  <c r="C134" s="1"/>
  <c r="A135"/>
  <c r="P122" i="34"/>
  <c r="A123" s="1"/>
  <c r="L121"/>
  <c r="F122"/>
  <c r="K122" s="1"/>
  <c r="D121" i="35"/>
  <c r="N121"/>
  <c r="P121" s="1"/>
  <c r="A122" s="1"/>
  <c r="H122" s="1"/>
  <c r="B121"/>
  <c r="C121" s="1"/>
  <c r="I121"/>
  <c r="H121"/>
  <c r="E121"/>
  <c r="L136" i="28"/>
  <c r="K137"/>
  <c r="J137"/>
  <c r="F138"/>
  <c r="J138" s="1"/>
  <c r="A140"/>
  <c r="E140" s="1"/>
  <c r="B139"/>
  <c r="C139" s="1"/>
  <c r="H139"/>
  <c r="I139"/>
  <c r="D139"/>
  <c r="F124" i="29"/>
  <c r="G124" s="1"/>
  <c r="P124"/>
  <c r="A125" s="1"/>
  <c r="B125" s="1"/>
  <c r="C125" s="1"/>
  <c r="L123"/>
  <c r="P122" i="30"/>
  <c r="A123" s="1"/>
  <c r="E123" s="1"/>
  <c r="F122"/>
  <c r="J122" s="1"/>
  <c r="L132" i="33" l="1"/>
  <c r="K133"/>
  <c r="F134"/>
  <c r="G134" s="1"/>
  <c r="J133"/>
  <c r="D135"/>
  <c r="I135"/>
  <c r="H135"/>
  <c r="B135"/>
  <c r="C135" s="1"/>
  <c r="A136"/>
  <c r="E135"/>
  <c r="J134"/>
  <c r="N123" i="34"/>
  <c r="J122"/>
  <c r="L122" s="1"/>
  <c r="G122"/>
  <c r="F121" i="35"/>
  <c r="G121" s="1"/>
  <c r="I122"/>
  <c r="D122"/>
  <c r="N122"/>
  <c r="O122"/>
  <c r="E122"/>
  <c r="B122"/>
  <c r="C122" s="1"/>
  <c r="D123" i="34"/>
  <c r="H123"/>
  <c r="I123"/>
  <c r="E123"/>
  <c r="B123"/>
  <c r="C123" s="1"/>
  <c r="O123"/>
  <c r="L137" i="28"/>
  <c r="G138"/>
  <c r="K138"/>
  <c r="L138" s="1"/>
  <c r="A141"/>
  <c r="B141" s="1"/>
  <c r="C141" s="1"/>
  <c r="F139"/>
  <c r="G139" s="1"/>
  <c r="H140"/>
  <c r="I140"/>
  <c r="B140"/>
  <c r="C140" s="1"/>
  <c r="D140"/>
  <c r="K124" i="29"/>
  <c r="J124"/>
  <c r="H125"/>
  <c r="I125"/>
  <c r="D125"/>
  <c r="O125"/>
  <c r="E125"/>
  <c r="N125"/>
  <c r="O123" i="30"/>
  <c r="D123"/>
  <c r="N123"/>
  <c r="I123"/>
  <c r="H123"/>
  <c r="B123"/>
  <c r="C123" s="1"/>
  <c r="K122"/>
  <c r="L122" s="1"/>
  <c r="G122"/>
  <c r="L133" i="33" l="1"/>
  <c r="K134"/>
  <c r="L134" s="1"/>
  <c r="F135"/>
  <c r="B136"/>
  <c r="C136" s="1"/>
  <c r="A137"/>
  <c r="I136"/>
  <c r="E136"/>
  <c r="H136"/>
  <c r="D136"/>
  <c r="P123" i="34"/>
  <c r="A124" s="1"/>
  <c r="K121" i="35"/>
  <c r="P122"/>
  <c r="A123" s="1"/>
  <c r="E123" s="1"/>
  <c r="J121"/>
  <c r="F122"/>
  <c r="K122" s="1"/>
  <c r="F123" i="34"/>
  <c r="J123" s="1"/>
  <c r="A142" i="28"/>
  <c r="A143" s="1"/>
  <c r="K139"/>
  <c r="J139"/>
  <c r="H141"/>
  <c r="F140"/>
  <c r="J140" s="1"/>
  <c r="L124" i="29"/>
  <c r="I141" i="28"/>
  <c r="E141"/>
  <c r="D141"/>
  <c r="P125" i="29"/>
  <c r="A126" s="1"/>
  <c r="I126" s="1"/>
  <c r="F125"/>
  <c r="J125" s="1"/>
  <c r="F123" i="30"/>
  <c r="K123" s="1"/>
  <c r="P123"/>
  <c r="A124" s="1"/>
  <c r="B124" s="1"/>
  <c r="C124" s="1"/>
  <c r="F136" i="33" l="1"/>
  <c r="G135"/>
  <c r="K135"/>
  <c r="D137"/>
  <c r="B137"/>
  <c r="C137" s="1"/>
  <c r="I137"/>
  <c r="H137"/>
  <c r="E137"/>
  <c r="A138"/>
  <c r="J135"/>
  <c r="G123" i="34"/>
  <c r="B124"/>
  <c r="C124" s="1"/>
  <c r="N124"/>
  <c r="H124"/>
  <c r="I124"/>
  <c r="D124"/>
  <c r="O124"/>
  <c r="E124"/>
  <c r="L121" i="35"/>
  <c r="I123"/>
  <c r="N123"/>
  <c r="D123"/>
  <c r="B123"/>
  <c r="C123" s="1"/>
  <c r="O123"/>
  <c r="H123"/>
  <c r="G122"/>
  <c r="J122"/>
  <c r="L122" s="1"/>
  <c r="K123" i="34"/>
  <c r="L123" s="1"/>
  <c r="H142" i="28"/>
  <c r="I142"/>
  <c r="D142"/>
  <c r="B142"/>
  <c r="C142" s="1"/>
  <c r="E142"/>
  <c r="G140"/>
  <c r="L139"/>
  <c r="K140"/>
  <c r="L140" s="1"/>
  <c r="F141"/>
  <c r="G141" s="1"/>
  <c r="N126" i="29"/>
  <c r="H126"/>
  <c r="E126"/>
  <c r="D126"/>
  <c r="B126"/>
  <c r="C126" s="1"/>
  <c r="O126"/>
  <c r="G125"/>
  <c r="K125"/>
  <c r="L125" s="1"/>
  <c r="G123" i="30"/>
  <c r="J123"/>
  <c r="L123" s="1"/>
  <c r="I124"/>
  <c r="N124"/>
  <c r="E124"/>
  <c r="D124"/>
  <c r="H124"/>
  <c r="O124"/>
  <c r="E143" i="28"/>
  <c r="A144"/>
  <c r="D143"/>
  <c r="B143"/>
  <c r="C143" s="1"/>
  <c r="I143"/>
  <c r="H143"/>
  <c r="G136" i="33" l="1"/>
  <c r="J136"/>
  <c r="K136"/>
  <c r="P124" i="34"/>
  <c r="A125" s="1"/>
  <c r="D125" s="1"/>
  <c r="L135" i="33"/>
  <c r="F137"/>
  <c r="F124" i="34"/>
  <c r="G124" s="1"/>
  <c r="E138" i="33"/>
  <c r="I138"/>
  <c r="A139"/>
  <c r="D138"/>
  <c r="B138"/>
  <c r="C138" s="1"/>
  <c r="H138"/>
  <c r="F123" i="35"/>
  <c r="G123" s="1"/>
  <c r="P123"/>
  <c r="A124" s="1"/>
  <c r="E124" s="1"/>
  <c r="F142" i="28"/>
  <c r="J142" s="1"/>
  <c r="P126" i="29"/>
  <c r="A127" s="1"/>
  <c r="H127" s="1"/>
  <c r="H138" s="1"/>
  <c r="K141" i="28"/>
  <c r="J141"/>
  <c r="F126" i="29"/>
  <c r="J126" s="1"/>
  <c r="F124" i="30"/>
  <c r="G124" s="1"/>
  <c r="P124"/>
  <c r="A125" s="1"/>
  <c r="O125" s="1"/>
  <c r="I144" i="28"/>
  <c r="A145"/>
  <c r="H144"/>
  <c r="B144"/>
  <c r="C144" s="1"/>
  <c r="D144"/>
  <c r="E144"/>
  <c r="F143"/>
  <c r="L136" i="33" l="1"/>
  <c r="J124" i="34"/>
  <c r="K124"/>
  <c r="I125"/>
  <c r="B125"/>
  <c r="C125" s="1"/>
  <c r="H125"/>
  <c r="N125"/>
  <c r="E125"/>
  <c r="O125"/>
  <c r="I139" i="33"/>
  <c r="D139"/>
  <c r="B139"/>
  <c r="C139" s="1"/>
  <c r="H139"/>
  <c r="A140"/>
  <c r="E139"/>
  <c r="K137"/>
  <c r="G137"/>
  <c r="J137"/>
  <c r="F138"/>
  <c r="B124" i="35"/>
  <c r="C124" s="1"/>
  <c r="N124"/>
  <c r="D124"/>
  <c r="H124"/>
  <c r="J123"/>
  <c r="K123"/>
  <c r="O124"/>
  <c r="I124"/>
  <c r="G142" i="28"/>
  <c r="K142"/>
  <c r="L142" s="1"/>
  <c r="G126" i="29"/>
  <c r="E127"/>
  <c r="I127"/>
  <c r="I138" s="1"/>
  <c r="F114"/>
  <c r="A131" s="1"/>
  <c r="B131" s="1"/>
  <c r="C131" s="1"/>
  <c r="N127"/>
  <c r="AF36" s="1"/>
  <c r="B127"/>
  <c r="C127" s="1"/>
  <c r="O127"/>
  <c r="D127"/>
  <c r="L141" i="28"/>
  <c r="K126" i="29"/>
  <c r="L126" s="1"/>
  <c r="D125" i="30"/>
  <c r="K124"/>
  <c r="E125"/>
  <c r="I125"/>
  <c r="H125"/>
  <c r="N125"/>
  <c r="P125" s="1"/>
  <c r="A126" s="1"/>
  <c r="N126" s="1"/>
  <c r="B125"/>
  <c r="C125" s="1"/>
  <c r="J124"/>
  <c r="F144" i="28"/>
  <c r="J144" s="1"/>
  <c r="B145"/>
  <c r="C145" s="1"/>
  <c r="H145"/>
  <c r="I145"/>
  <c r="A146"/>
  <c r="D145"/>
  <c r="E145"/>
  <c r="G143"/>
  <c r="J143"/>
  <c r="K143"/>
  <c r="L124" i="34" l="1"/>
  <c r="L123" i="35"/>
  <c r="F125" i="34"/>
  <c r="K125" s="1"/>
  <c r="P125"/>
  <c r="A126" s="1"/>
  <c r="O126" s="1"/>
  <c r="L137" i="33"/>
  <c r="F139"/>
  <c r="J139" s="1"/>
  <c r="A141"/>
  <c r="I140"/>
  <c r="E140"/>
  <c r="D140"/>
  <c r="H140"/>
  <c r="B140"/>
  <c r="C140" s="1"/>
  <c r="J138"/>
  <c r="G138"/>
  <c r="K138"/>
  <c r="P124" i="35"/>
  <c r="A125" s="1"/>
  <c r="E125" s="1"/>
  <c r="F124"/>
  <c r="J124" s="1"/>
  <c r="A132" i="29"/>
  <c r="A133" s="1"/>
  <c r="E133" s="1"/>
  <c r="H131"/>
  <c r="T28" s="1"/>
  <c r="F127"/>
  <c r="J127" s="1"/>
  <c r="J138" s="1"/>
  <c r="P127"/>
  <c r="E131"/>
  <c r="I131"/>
  <c r="U28" s="1"/>
  <c r="D131"/>
  <c r="F125" i="30"/>
  <c r="G125" s="1"/>
  <c r="L124"/>
  <c r="B126"/>
  <c r="C126" s="1"/>
  <c r="O126"/>
  <c r="P126" s="1"/>
  <c r="A127" s="1"/>
  <c r="N127" s="1"/>
  <c r="AF36" s="1"/>
  <c r="D126"/>
  <c r="H126"/>
  <c r="I126"/>
  <c r="E126"/>
  <c r="G144" i="28"/>
  <c r="K144"/>
  <c r="L144" s="1"/>
  <c r="F145"/>
  <c r="G145" s="1"/>
  <c r="L143"/>
  <c r="E146"/>
  <c r="B146"/>
  <c r="C146" s="1"/>
  <c r="A147"/>
  <c r="D146"/>
  <c r="H146"/>
  <c r="I146"/>
  <c r="G125" i="34" l="1"/>
  <c r="I125" i="35"/>
  <c r="J125" i="34"/>
  <c r="L125" s="1"/>
  <c r="I126"/>
  <c r="N126"/>
  <c r="P126" s="1"/>
  <c r="A127" s="1"/>
  <c r="F114" s="1"/>
  <c r="A131" s="1"/>
  <c r="A132" s="1"/>
  <c r="D132" s="1"/>
  <c r="B125" i="35"/>
  <c r="C125" s="1"/>
  <c r="H126" i="34"/>
  <c r="B126"/>
  <c r="C126" s="1"/>
  <c r="D126"/>
  <c r="E126"/>
  <c r="O125" i="35"/>
  <c r="D125"/>
  <c r="F125" s="1"/>
  <c r="G125" s="1"/>
  <c r="H125"/>
  <c r="N125"/>
  <c r="G139" i="33"/>
  <c r="K139"/>
  <c r="L139" s="1"/>
  <c r="E141"/>
  <c r="B141"/>
  <c r="C141" s="1"/>
  <c r="H141"/>
  <c r="I141"/>
  <c r="D141"/>
  <c r="A142"/>
  <c r="L138"/>
  <c r="F140"/>
  <c r="K124" i="35"/>
  <c r="L124" s="1"/>
  <c r="G124"/>
  <c r="D133" i="29"/>
  <c r="B132"/>
  <c r="C132" s="1"/>
  <c r="H133"/>
  <c r="T30" s="1"/>
  <c r="E132"/>
  <c r="I133"/>
  <c r="U30" s="1"/>
  <c r="A134"/>
  <c r="E134" s="1"/>
  <c r="B133"/>
  <c r="C133" s="1"/>
  <c r="H132"/>
  <c r="T29" s="1"/>
  <c r="I132"/>
  <c r="U29" s="1"/>
  <c r="D132"/>
  <c r="K127"/>
  <c r="K138" s="1"/>
  <c r="D141" s="1"/>
  <c r="G127"/>
  <c r="F131"/>
  <c r="J131" s="1"/>
  <c r="F126" i="30"/>
  <c r="G126" s="1"/>
  <c r="K125"/>
  <c r="J125"/>
  <c r="E127"/>
  <c r="O127"/>
  <c r="P127" s="1"/>
  <c r="B127"/>
  <c r="C127" s="1"/>
  <c r="F114"/>
  <c r="A131" s="1"/>
  <c r="D131" s="1"/>
  <c r="I127"/>
  <c r="I138" s="1"/>
  <c r="H127"/>
  <c r="H138" s="1"/>
  <c r="D127"/>
  <c r="K145" i="28"/>
  <c r="H147"/>
  <c r="D147"/>
  <c r="A148"/>
  <c r="B147"/>
  <c r="C147" s="1"/>
  <c r="E147"/>
  <c r="I147"/>
  <c r="J145"/>
  <c r="F146"/>
  <c r="F126" i="34" l="1"/>
  <c r="K126" s="1"/>
  <c r="P125" i="35"/>
  <c r="A126" s="1"/>
  <c r="O126" s="1"/>
  <c r="D142" i="33"/>
  <c r="B142"/>
  <c r="C142" s="1"/>
  <c r="H142"/>
  <c r="E142"/>
  <c r="I142"/>
  <c r="A143"/>
  <c r="G140"/>
  <c r="K140"/>
  <c r="J140"/>
  <c r="F141"/>
  <c r="D127" i="34"/>
  <c r="B127"/>
  <c r="C127" s="1"/>
  <c r="I127"/>
  <c r="I138" s="1"/>
  <c r="H127"/>
  <c r="H138" s="1"/>
  <c r="O127"/>
  <c r="N127"/>
  <c r="AF36" s="1"/>
  <c r="E127"/>
  <c r="E131"/>
  <c r="H131"/>
  <c r="T28" s="1"/>
  <c r="H132"/>
  <c r="T29" s="1"/>
  <c r="E132"/>
  <c r="B132"/>
  <c r="C132" s="1"/>
  <c r="A133"/>
  <c r="H133" s="1"/>
  <c r="T30" s="1"/>
  <c r="D131"/>
  <c r="J125" i="35"/>
  <c r="I132" i="34"/>
  <c r="U29" s="1"/>
  <c r="B131"/>
  <c r="C131" s="1"/>
  <c r="I131"/>
  <c r="U28" s="1"/>
  <c r="K125" i="35"/>
  <c r="A135" i="29"/>
  <c r="H135" s="1"/>
  <c r="T32" s="1"/>
  <c r="D134"/>
  <c r="B134"/>
  <c r="C134" s="1"/>
  <c r="H134"/>
  <c r="T31" s="1"/>
  <c r="F133"/>
  <c r="K133" s="1"/>
  <c r="I134"/>
  <c r="U31" s="1"/>
  <c r="F132"/>
  <c r="K132" s="1"/>
  <c r="L127"/>
  <c r="E141"/>
  <c r="J141" s="1"/>
  <c r="K131"/>
  <c r="L131" s="1"/>
  <c r="G131"/>
  <c r="F127" i="30"/>
  <c r="K127" s="1"/>
  <c r="K138" s="1"/>
  <c r="J126"/>
  <c r="K126"/>
  <c r="A132"/>
  <c r="E132" s="1"/>
  <c r="H131"/>
  <c r="T28" s="1"/>
  <c r="I131"/>
  <c r="U28" s="1"/>
  <c r="B131"/>
  <c r="C131" s="1"/>
  <c r="E131"/>
  <c r="L125"/>
  <c r="F134" i="29"/>
  <c r="L145" i="28"/>
  <c r="G146"/>
  <c r="J146"/>
  <c r="K146"/>
  <c r="H148"/>
  <c r="B148"/>
  <c r="C148" s="1"/>
  <c r="D148"/>
  <c r="E148"/>
  <c r="A149"/>
  <c r="I148"/>
  <c r="F147"/>
  <c r="G147" s="1"/>
  <c r="G126" i="34" l="1"/>
  <c r="J126"/>
  <c r="L126" s="1"/>
  <c r="H126" i="35"/>
  <c r="B126"/>
  <c r="C126" s="1"/>
  <c r="I126"/>
  <c r="D126"/>
  <c r="E126"/>
  <c r="N126"/>
  <c r="P126" s="1"/>
  <c r="A127" s="1"/>
  <c r="O127" s="1"/>
  <c r="L140" i="33"/>
  <c r="F127" i="34"/>
  <c r="K127" s="1"/>
  <c r="K138" s="1"/>
  <c r="F142" i="33"/>
  <c r="G142" s="1"/>
  <c r="K141"/>
  <c r="G141"/>
  <c r="J141"/>
  <c r="H143"/>
  <c r="B143"/>
  <c r="C143" s="1"/>
  <c r="I143"/>
  <c r="E143"/>
  <c r="A144"/>
  <c r="D143"/>
  <c r="P127" i="34"/>
  <c r="B133"/>
  <c r="C133" s="1"/>
  <c r="D133"/>
  <c r="I133"/>
  <c r="U30" s="1"/>
  <c r="A134"/>
  <c r="D134" s="1"/>
  <c r="F132"/>
  <c r="K132" s="1"/>
  <c r="L125" i="35"/>
  <c r="E133" i="34"/>
  <c r="F131"/>
  <c r="G131" s="1"/>
  <c r="E135" i="29"/>
  <c r="I135"/>
  <c r="U32" s="1"/>
  <c r="D135"/>
  <c r="B135"/>
  <c r="C135" s="1"/>
  <c r="J133"/>
  <c r="L133" s="1"/>
  <c r="G133"/>
  <c r="J132"/>
  <c r="L132" s="1"/>
  <c r="G132"/>
  <c r="G141"/>
  <c r="I141" s="1"/>
  <c r="A157"/>
  <c r="B157" s="1"/>
  <c r="C157" s="1"/>
  <c r="H141"/>
  <c r="A144"/>
  <c r="E144" s="1"/>
  <c r="K141"/>
  <c r="G127" i="30"/>
  <c r="J127"/>
  <c r="J138" s="1"/>
  <c r="F131"/>
  <c r="K131" s="1"/>
  <c r="L126"/>
  <c r="A133"/>
  <c r="B133" s="1"/>
  <c r="C133" s="1"/>
  <c r="H132"/>
  <c r="T29" s="1"/>
  <c r="B132"/>
  <c r="C132" s="1"/>
  <c r="I132"/>
  <c r="U29" s="1"/>
  <c r="D132"/>
  <c r="J134" i="29"/>
  <c r="G134"/>
  <c r="K134"/>
  <c r="L146" i="28"/>
  <c r="J147"/>
  <c r="F148"/>
  <c r="G148" s="1"/>
  <c r="K147"/>
  <c r="H149"/>
  <c r="I149"/>
  <c r="D149"/>
  <c r="B149"/>
  <c r="C149" s="1"/>
  <c r="E149"/>
  <c r="F126" i="35" l="1"/>
  <c r="K126" s="1"/>
  <c r="E127"/>
  <c r="I127"/>
  <c r="I138" s="1"/>
  <c r="D127"/>
  <c r="B127"/>
  <c r="C127" s="1"/>
  <c r="F114"/>
  <c r="A131" s="1"/>
  <c r="H131" s="1"/>
  <c r="T28" s="1"/>
  <c r="H127"/>
  <c r="H138" s="1"/>
  <c r="N127"/>
  <c r="AF36" s="1"/>
  <c r="J127" i="34"/>
  <c r="L127" s="1"/>
  <c r="G127"/>
  <c r="J142" i="33"/>
  <c r="B144"/>
  <c r="C144" s="1"/>
  <c r="H144"/>
  <c r="D144"/>
  <c r="I144"/>
  <c r="A145"/>
  <c r="E144"/>
  <c r="L141"/>
  <c r="K142"/>
  <c r="L142" s="1"/>
  <c r="F143"/>
  <c r="I134" i="34"/>
  <c r="U31" s="1"/>
  <c r="B134"/>
  <c r="C134" s="1"/>
  <c r="E134"/>
  <c r="H134"/>
  <c r="T31" s="1"/>
  <c r="A135"/>
  <c r="D135" s="1"/>
  <c r="F133"/>
  <c r="G133" s="1"/>
  <c r="G132"/>
  <c r="J132"/>
  <c r="L132" s="1"/>
  <c r="K131"/>
  <c r="J131"/>
  <c r="A132" i="35"/>
  <c r="E132" s="1"/>
  <c r="B131"/>
  <c r="C131" s="1"/>
  <c r="F135" i="29"/>
  <c r="G135" s="1"/>
  <c r="P127" i="35"/>
  <c r="I131"/>
  <c r="U28" s="1"/>
  <c r="D131"/>
  <c r="I157" i="29"/>
  <c r="U33" s="1"/>
  <c r="D157"/>
  <c r="E157"/>
  <c r="D144"/>
  <c r="N144"/>
  <c r="B144"/>
  <c r="C144" s="1"/>
  <c r="H157"/>
  <c r="T33" s="1"/>
  <c r="O144"/>
  <c r="H144"/>
  <c r="I144"/>
  <c r="L127" i="30"/>
  <c r="F132"/>
  <c r="K132" s="1"/>
  <c r="J131"/>
  <c r="L131" s="1"/>
  <c r="G131"/>
  <c r="I133"/>
  <c r="U30" s="1"/>
  <c r="A134"/>
  <c r="H134" s="1"/>
  <c r="T31" s="1"/>
  <c r="E133"/>
  <c r="H133"/>
  <c r="T30" s="1"/>
  <c r="D133"/>
  <c r="J135" i="29"/>
  <c r="L134"/>
  <c r="E141" i="30"/>
  <c r="D141"/>
  <c r="K148" i="28"/>
  <c r="J148"/>
  <c r="L147"/>
  <c r="AU35"/>
  <c r="H150"/>
  <c r="T40"/>
  <c r="AV35"/>
  <c r="U40"/>
  <c r="F149"/>
  <c r="F127" i="35" l="1"/>
  <c r="K127" s="1"/>
  <c r="K138" s="1"/>
  <c r="G126"/>
  <c r="J126"/>
  <c r="L126" s="1"/>
  <c r="E131"/>
  <c r="F131" s="1"/>
  <c r="K131" s="1"/>
  <c r="F144" i="33"/>
  <c r="G144" s="1"/>
  <c r="J138" i="34"/>
  <c r="E141" s="1"/>
  <c r="G143" i="33"/>
  <c r="K143"/>
  <c r="J143"/>
  <c r="E145"/>
  <c r="H145"/>
  <c r="A146"/>
  <c r="D145"/>
  <c r="I145"/>
  <c r="B145"/>
  <c r="C145" s="1"/>
  <c r="K133" i="34"/>
  <c r="I135"/>
  <c r="U32" s="1"/>
  <c r="K135" i="29"/>
  <c r="L135" s="1"/>
  <c r="H135" i="34"/>
  <c r="T32" s="1"/>
  <c r="E135"/>
  <c r="B135"/>
  <c r="C135" s="1"/>
  <c r="J133"/>
  <c r="F134"/>
  <c r="G134" s="1"/>
  <c r="L131"/>
  <c r="H132" i="35"/>
  <c r="T29" s="1"/>
  <c r="A133"/>
  <c r="H133" s="1"/>
  <c r="T30" s="1"/>
  <c r="D132"/>
  <c r="B132"/>
  <c r="C132" s="1"/>
  <c r="I132"/>
  <c r="U29" s="1"/>
  <c r="D141" i="34"/>
  <c r="F144" i="29"/>
  <c r="G144" s="1"/>
  <c r="F157"/>
  <c r="G157" s="1"/>
  <c r="P144"/>
  <c r="A145" s="1"/>
  <c r="B145" s="1"/>
  <c r="C145" s="1"/>
  <c r="G132" i="30"/>
  <c r="J132"/>
  <c r="L132" s="1"/>
  <c r="F133"/>
  <c r="J133" s="1"/>
  <c r="E134"/>
  <c r="B134"/>
  <c r="C134" s="1"/>
  <c r="D134"/>
  <c r="A135"/>
  <c r="E135" s="1"/>
  <c r="I134"/>
  <c r="U31" s="1"/>
  <c r="A157"/>
  <c r="A144"/>
  <c r="H141"/>
  <c r="J141"/>
  <c r="G141"/>
  <c r="I141" s="1"/>
  <c r="K141"/>
  <c r="L148" i="28"/>
  <c r="AW35"/>
  <c r="G149"/>
  <c r="K149"/>
  <c r="J149"/>
  <c r="G127" i="35" l="1"/>
  <c r="J127"/>
  <c r="L127" s="1"/>
  <c r="L133" i="34"/>
  <c r="F145" i="33"/>
  <c r="K145" s="1"/>
  <c r="J144"/>
  <c r="K144"/>
  <c r="L143"/>
  <c r="D146"/>
  <c r="E146"/>
  <c r="B146"/>
  <c r="C146" s="1"/>
  <c r="H146"/>
  <c r="I146"/>
  <c r="A147"/>
  <c r="F135" i="34"/>
  <c r="G135" s="1"/>
  <c r="J134"/>
  <c r="K134"/>
  <c r="G131" i="35"/>
  <c r="K141" i="34"/>
  <c r="J131" i="35"/>
  <c r="L131" s="1"/>
  <c r="F132"/>
  <c r="G132" s="1"/>
  <c r="B133"/>
  <c r="C133" s="1"/>
  <c r="D133"/>
  <c r="I133"/>
  <c r="U30" s="1"/>
  <c r="E133"/>
  <c r="A134"/>
  <c r="E134" s="1"/>
  <c r="J141" i="34"/>
  <c r="H141"/>
  <c r="A144"/>
  <c r="G141"/>
  <c r="I141" s="1"/>
  <c r="A157"/>
  <c r="J144" i="29"/>
  <c r="K144"/>
  <c r="K157"/>
  <c r="J157"/>
  <c r="O145"/>
  <c r="D145"/>
  <c r="N145"/>
  <c r="E145"/>
  <c r="I145"/>
  <c r="H145"/>
  <c r="G133" i="30"/>
  <c r="K133"/>
  <c r="L133" s="1"/>
  <c r="B135"/>
  <c r="C135" s="1"/>
  <c r="F134"/>
  <c r="G134" s="1"/>
  <c r="I135"/>
  <c r="U32" s="1"/>
  <c r="H135"/>
  <c r="T32" s="1"/>
  <c r="D135"/>
  <c r="E157"/>
  <c r="B157"/>
  <c r="C157" s="1"/>
  <c r="D157"/>
  <c r="E144"/>
  <c r="B144"/>
  <c r="C144" s="1"/>
  <c r="D144"/>
  <c r="H157"/>
  <c r="T33" s="1"/>
  <c r="I157"/>
  <c r="U33" s="1"/>
  <c r="N144"/>
  <c r="I144"/>
  <c r="H144"/>
  <c r="O144"/>
  <c r="L149" i="28"/>
  <c r="J138" i="35" l="1"/>
  <c r="D141" s="1"/>
  <c r="L144" i="33"/>
  <c r="J145"/>
  <c r="L145" s="1"/>
  <c r="G145"/>
  <c r="I147"/>
  <c r="D147"/>
  <c r="H147"/>
  <c r="B147"/>
  <c r="C147" s="1"/>
  <c r="E147"/>
  <c r="A148"/>
  <c r="F146"/>
  <c r="L134" i="34"/>
  <c r="K135"/>
  <c r="J135"/>
  <c r="I157"/>
  <c r="U33" s="1"/>
  <c r="H134" i="35"/>
  <c r="T31" s="1"/>
  <c r="J132"/>
  <c r="F133"/>
  <c r="G133" s="1"/>
  <c r="D134"/>
  <c r="K132"/>
  <c r="A135"/>
  <c r="B135" s="1"/>
  <c r="C135" s="1"/>
  <c r="B134"/>
  <c r="C134" s="1"/>
  <c r="I134"/>
  <c r="U31" s="1"/>
  <c r="B144" i="34"/>
  <c r="D144"/>
  <c r="E144"/>
  <c r="H157"/>
  <c r="T33" s="1"/>
  <c r="B157"/>
  <c r="E157"/>
  <c r="D157"/>
  <c r="O144"/>
  <c r="N144"/>
  <c r="I144"/>
  <c r="H144"/>
  <c r="L157" i="29"/>
  <c r="L144"/>
  <c r="F145"/>
  <c r="K145" s="1"/>
  <c r="P145"/>
  <c r="A146" s="1"/>
  <c r="I146" s="1"/>
  <c r="F135" i="30"/>
  <c r="G135" s="1"/>
  <c r="K134"/>
  <c r="J134"/>
  <c r="P144"/>
  <c r="A145" s="1"/>
  <c r="B145" s="1"/>
  <c r="C145" s="1"/>
  <c r="F144"/>
  <c r="G144" s="1"/>
  <c r="F157"/>
  <c r="G157" s="1"/>
  <c r="E141" i="35" l="1"/>
  <c r="G141" s="1"/>
  <c r="I141" s="1"/>
  <c r="K146" i="33"/>
  <c r="G146"/>
  <c r="J146"/>
  <c r="F147"/>
  <c r="G147" s="1"/>
  <c r="A149"/>
  <c r="E148"/>
  <c r="B148"/>
  <c r="C148" s="1"/>
  <c r="D148"/>
  <c r="I148"/>
  <c r="H148"/>
  <c r="P144" i="34"/>
  <c r="A145" s="1"/>
  <c r="K133" i="35"/>
  <c r="J133"/>
  <c r="H135"/>
  <c r="T32" s="1"/>
  <c r="E135"/>
  <c r="L135" i="34"/>
  <c r="I135" i="35"/>
  <c r="U32" s="1"/>
  <c r="D135"/>
  <c r="L132"/>
  <c r="F134"/>
  <c r="K134" s="1"/>
  <c r="C144" i="34"/>
  <c r="F144" s="1"/>
  <c r="J144" s="1"/>
  <c r="C157"/>
  <c r="F157" s="1"/>
  <c r="J145" i="29"/>
  <c r="L145" s="1"/>
  <c r="G145"/>
  <c r="N146"/>
  <c r="D146"/>
  <c r="H146"/>
  <c r="O146"/>
  <c r="B146"/>
  <c r="C146" s="1"/>
  <c r="E146"/>
  <c r="J135" i="30"/>
  <c r="K135"/>
  <c r="L134"/>
  <c r="O145"/>
  <c r="D145"/>
  <c r="E145"/>
  <c r="H145"/>
  <c r="I145"/>
  <c r="N145"/>
  <c r="J144"/>
  <c r="K144"/>
  <c r="K157"/>
  <c r="J157"/>
  <c r="H141" i="35" l="1"/>
  <c r="A144"/>
  <c r="E144" s="1"/>
  <c r="A157"/>
  <c r="E157" s="1"/>
  <c r="J141"/>
  <c r="K141"/>
  <c r="I157" s="1"/>
  <c r="U33" s="1"/>
  <c r="J147" i="33"/>
  <c r="F148"/>
  <c r="L146"/>
  <c r="B149"/>
  <c r="C149" s="1"/>
  <c r="H149"/>
  <c r="I149"/>
  <c r="E149"/>
  <c r="D149"/>
  <c r="K147"/>
  <c r="L147" s="1"/>
  <c r="O145" i="34"/>
  <c r="L133" i="35"/>
  <c r="F135"/>
  <c r="G135" s="1"/>
  <c r="J134"/>
  <c r="L134" s="1"/>
  <c r="G134"/>
  <c r="E145" i="34"/>
  <c r="D145"/>
  <c r="N145"/>
  <c r="H145"/>
  <c r="B145"/>
  <c r="C145" s="1"/>
  <c r="I145"/>
  <c r="G144"/>
  <c r="K144"/>
  <c r="L144" s="1"/>
  <c r="G157"/>
  <c r="K157"/>
  <c r="J157"/>
  <c r="F146" i="29"/>
  <c r="J146" s="1"/>
  <c r="P146"/>
  <c r="A147" s="1"/>
  <c r="E147" s="1"/>
  <c r="L135" i="30"/>
  <c r="F145"/>
  <c r="G145" s="1"/>
  <c r="P145"/>
  <c r="A146" s="1"/>
  <c r="H146" s="1"/>
  <c r="L144"/>
  <c r="L157"/>
  <c r="O144" i="35" l="1"/>
  <c r="J135"/>
  <c r="H144"/>
  <c r="I144"/>
  <c r="B157"/>
  <c r="C157" s="1"/>
  <c r="D157"/>
  <c r="N144"/>
  <c r="H157"/>
  <c r="T33" s="1"/>
  <c r="D144"/>
  <c r="B144"/>
  <c r="C144" s="1"/>
  <c r="F149" i="33"/>
  <c r="G149" s="1"/>
  <c r="G148"/>
  <c r="K148"/>
  <c r="J148"/>
  <c r="T40"/>
  <c r="AU35"/>
  <c r="H150"/>
  <c r="U40"/>
  <c r="AV35"/>
  <c r="P145" i="34"/>
  <c r="A146" s="1"/>
  <c r="K135" i="35"/>
  <c r="F145" i="34"/>
  <c r="G145" s="1"/>
  <c r="L157"/>
  <c r="K146" i="29"/>
  <c r="L146" s="1"/>
  <c r="G146"/>
  <c r="I147"/>
  <c r="O147"/>
  <c r="N147"/>
  <c r="B147"/>
  <c r="C147" s="1"/>
  <c r="H147"/>
  <c r="D147"/>
  <c r="K145" i="30"/>
  <c r="J145"/>
  <c r="N146"/>
  <c r="I146"/>
  <c r="E146"/>
  <c r="D146"/>
  <c r="O146"/>
  <c r="B146"/>
  <c r="C146" s="1"/>
  <c r="F144" i="35" l="1"/>
  <c r="G144" s="1"/>
  <c r="F157"/>
  <c r="K157" s="1"/>
  <c r="P144"/>
  <c r="A145" s="1"/>
  <c r="O145" s="1"/>
  <c r="L135"/>
  <c r="K149" i="33"/>
  <c r="J149"/>
  <c r="AW35"/>
  <c r="L148"/>
  <c r="O146" i="34"/>
  <c r="B146"/>
  <c r="C146" s="1"/>
  <c r="D146"/>
  <c r="E146"/>
  <c r="I146"/>
  <c r="H146"/>
  <c r="N146"/>
  <c r="K145"/>
  <c r="J145"/>
  <c r="F147" i="29"/>
  <c r="J147" s="1"/>
  <c r="P147"/>
  <c r="A148" s="1"/>
  <c r="E148" s="1"/>
  <c r="L145" i="30"/>
  <c r="P146"/>
  <c r="A147" s="1"/>
  <c r="D147" s="1"/>
  <c r="F146"/>
  <c r="J146" s="1"/>
  <c r="K144" i="35" l="1"/>
  <c r="D145"/>
  <c r="I145"/>
  <c r="E145"/>
  <c r="J144"/>
  <c r="J157"/>
  <c r="L157" s="1"/>
  <c r="G157"/>
  <c r="N145"/>
  <c r="P145" s="1"/>
  <c r="A146" s="1"/>
  <c r="B146" s="1"/>
  <c r="C146" s="1"/>
  <c r="H145"/>
  <c r="B145"/>
  <c r="C145" s="1"/>
  <c r="L149" i="33"/>
  <c r="P146" i="34"/>
  <c r="A147" s="1"/>
  <c r="F146"/>
  <c r="K146" s="1"/>
  <c r="L145"/>
  <c r="G147" i="29"/>
  <c r="K147"/>
  <c r="L147" s="1"/>
  <c r="D148"/>
  <c r="O148"/>
  <c r="I148"/>
  <c r="H148"/>
  <c r="N148"/>
  <c r="B148"/>
  <c r="C148" s="1"/>
  <c r="G146" i="30"/>
  <c r="I147"/>
  <c r="N147"/>
  <c r="O147"/>
  <c r="B147"/>
  <c r="C147" s="1"/>
  <c r="H147"/>
  <c r="E147"/>
  <c r="K146"/>
  <c r="L146" s="1"/>
  <c r="L144" i="35" l="1"/>
  <c r="F145"/>
  <c r="G145" s="1"/>
  <c r="H146"/>
  <c r="E146"/>
  <c r="N146"/>
  <c r="O146"/>
  <c r="D146"/>
  <c r="I146"/>
  <c r="J146" i="34"/>
  <c r="L146" s="1"/>
  <c r="G146"/>
  <c r="H147"/>
  <c r="I147"/>
  <c r="E147"/>
  <c r="N147"/>
  <c r="D147"/>
  <c r="B147"/>
  <c r="C147" s="1"/>
  <c r="O147"/>
  <c r="F146" i="35"/>
  <c r="G146" s="1"/>
  <c r="P148" i="29"/>
  <c r="A149" s="1"/>
  <c r="N149" s="1"/>
  <c r="F148"/>
  <c r="J148" s="1"/>
  <c r="F147" i="30"/>
  <c r="K147" s="1"/>
  <c r="P147"/>
  <c r="A148" s="1"/>
  <c r="E148" s="1"/>
  <c r="P146" i="35" l="1"/>
  <c r="A147" s="1"/>
  <c r="I147" s="1"/>
  <c r="J145"/>
  <c r="K145"/>
  <c r="P147" i="34"/>
  <c r="A148" s="1"/>
  <c r="D148" s="1"/>
  <c r="F147"/>
  <c r="J146" i="35"/>
  <c r="K146"/>
  <c r="D149" i="29"/>
  <c r="B149"/>
  <c r="C149" s="1"/>
  <c r="G148"/>
  <c r="I149"/>
  <c r="K148"/>
  <c r="L148" s="1"/>
  <c r="E149"/>
  <c r="O149"/>
  <c r="P149" s="1"/>
  <c r="A150" s="1"/>
  <c r="N150" s="1"/>
  <c r="H149"/>
  <c r="G147" i="30"/>
  <c r="J147"/>
  <c r="L147" s="1"/>
  <c r="D148"/>
  <c r="O148"/>
  <c r="N148"/>
  <c r="H148"/>
  <c r="B148"/>
  <c r="C148" s="1"/>
  <c r="I148"/>
  <c r="L145" i="35" l="1"/>
  <c r="O147"/>
  <c r="N147"/>
  <c r="E147"/>
  <c r="H147"/>
  <c r="D147"/>
  <c r="B147"/>
  <c r="C147" s="1"/>
  <c r="H148" i="34"/>
  <c r="B148"/>
  <c r="C148" s="1"/>
  <c r="E148"/>
  <c r="O148"/>
  <c r="I148"/>
  <c r="N148"/>
  <c r="K147"/>
  <c r="J147"/>
  <c r="G147"/>
  <c r="L146" i="35"/>
  <c r="F147"/>
  <c r="K147" s="1"/>
  <c r="F149" i="29"/>
  <c r="G149" s="1"/>
  <c r="H150"/>
  <c r="D150"/>
  <c r="I150"/>
  <c r="O150"/>
  <c r="P150" s="1"/>
  <c r="A151" s="1"/>
  <c r="D151" s="1"/>
  <c r="B150"/>
  <c r="C150" s="1"/>
  <c r="E150"/>
  <c r="F148" i="30"/>
  <c r="P148"/>
  <c r="A149" s="1"/>
  <c r="N149" s="1"/>
  <c r="P147" i="35" l="1"/>
  <c r="A148" s="1"/>
  <c r="H148" s="1"/>
  <c r="F148" i="34"/>
  <c r="G148" s="1"/>
  <c r="P148"/>
  <c r="A149" s="1"/>
  <c r="O149" s="1"/>
  <c r="L147"/>
  <c r="G147" i="35"/>
  <c r="J147"/>
  <c r="L147" s="1"/>
  <c r="K149" i="29"/>
  <c r="J149"/>
  <c r="F150"/>
  <c r="K150" s="1"/>
  <c r="I151"/>
  <c r="B151"/>
  <c r="C151" s="1"/>
  <c r="E151"/>
  <c r="O151"/>
  <c r="H151"/>
  <c r="N151"/>
  <c r="I149" i="30"/>
  <c r="O149"/>
  <c r="P149" s="1"/>
  <c r="A150" s="1"/>
  <c r="H150" s="1"/>
  <c r="J148"/>
  <c r="K148"/>
  <c r="G148"/>
  <c r="B149"/>
  <c r="C149" s="1"/>
  <c r="D149"/>
  <c r="E149"/>
  <c r="H149"/>
  <c r="O148" i="35" l="1"/>
  <c r="I148"/>
  <c r="D148"/>
  <c r="B148"/>
  <c r="C148" s="1"/>
  <c r="N148"/>
  <c r="E148"/>
  <c r="K148" i="34"/>
  <c r="J148"/>
  <c r="B149"/>
  <c r="C149" s="1"/>
  <c r="D149"/>
  <c r="H149"/>
  <c r="I149"/>
  <c r="N149"/>
  <c r="P149" s="1"/>
  <c r="A150" s="1"/>
  <c r="B150" s="1"/>
  <c r="C150" s="1"/>
  <c r="E149"/>
  <c r="F151" i="29"/>
  <c r="K151" s="1"/>
  <c r="L149"/>
  <c r="P151"/>
  <c r="A152" s="1"/>
  <c r="H152" s="1"/>
  <c r="G150"/>
  <c r="J150"/>
  <c r="L150" s="1"/>
  <c r="L148" i="30"/>
  <c r="F149"/>
  <c r="K149" s="1"/>
  <c r="E150"/>
  <c r="I150"/>
  <c r="B150"/>
  <c r="C150" s="1"/>
  <c r="N150"/>
  <c r="O150"/>
  <c r="D150"/>
  <c r="F148" i="35" l="1"/>
  <c r="G148" s="1"/>
  <c r="P148"/>
  <c r="A149" s="1"/>
  <c r="O149" s="1"/>
  <c r="L148" i="34"/>
  <c r="F149"/>
  <c r="K149" s="1"/>
  <c r="D150"/>
  <c r="N150"/>
  <c r="I150"/>
  <c r="O150"/>
  <c r="E150"/>
  <c r="H150"/>
  <c r="K148" i="35"/>
  <c r="J148"/>
  <c r="J151" i="29"/>
  <c r="L151" s="1"/>
  <c r="G151"/>
  <c r="O152"/>
  <c r="D152"/>
  <c r="B152"/>
  <c r="C152" s="1"/>
  <c r="E152"/>
  <c r="N152"/>
  <c r="I152"/>
  <c r="P150" i="30"/>
  <c r="A151" s="1"/>
  <c r="O151" s="1"/>
  <c r="J149"/>
  <c r="L149" s="1"/>
  <c r="G149"/>
  <c r="F150"/>
  <c r="K150" s="1"/>
  <c r="D149" i="35" l="1"/>
  <c r="I149"/>
  <c r="N149"/>
  <c r="P149" s="1"/>
  <c r="A150" s="1"/>
  <c r="E150" s="1"/>
  <c r="F150" i="34"/>
  <c r="K150" s="1"/>
  <c r="H149" i="35"/>
  <c r="B149"/>
  <c r="C149" s="1"/>
  <c r="F149" s="1"/>
  <c r="J149" s="1"/>
  <c r="E149"/>
  <c r="G149" i="34"/>
  <c r="J149"/>
  <c r="L149" s="1"/>
  <c r="G150"/>
  <c r="J150"/>
  <c r="L150" s="1"/>
  <c r="P150"/>
  <c r="A151" s="1"/>
  <c r="L148" i="35"/>
  <c r="F152" i="29"/>
  <c r="K152" s="1"/>
  <c r="P152"/>
  <c r="A153" s="1"/>
  <c r="H153" s="1"/>
  <c r="I151" i="30"/>
  <c r="B151"/>
  <c r="C151" s="1"/>
  <c r="H151"/>
  <c r="N151"/>
  <c r="P151" s="1"/>
  <c r="A152" s="1"/>
  <c r="B152" s="1"/>
  <c r="C152" s="1"/>
  <c r="E151"/>
  <c r="D151"/>
  <c r="J150"/>
  <c r="L150" s="1"/>
  <c r="G150"/>
  <c r="O150" i="35" l="1"/>
  <c r="D150"/>
  <c r="I150"/>
  <c r="H150"/>
  <c r="N150"/>
  <c r="P150" s="1"/>
  <c r="A151" s="1"/>
  <c r="I151" s="1"/>
  <c r="B150"/>
  <c r="C150" s="1"/>
  <c r="F150" s="1"/>
  <c r="K150" s="1"/>
  <c r="B151" i="34"/>
  <c r="C151" s="1"/>
  <c r="H151"/>
  <c r="E151"/>
  <c r="N151"/>
  <c r="I151"/>
  <c r="O151"/>
  <c r="D151"/>
  <c r="G149" i="35"/>
  <c r="K149"/>
  <c r="L149" s="1"/>
  <c r="J152" i="29"/>
  <c r="L152" s="1"/>
  <c r="G152"/>
  <c r="I153"/>
  <c r="E153"/>
  <c r="N153"/>
  <c r="D153"/>
  <c r="B153"/>
  <c r="C153" s="1"/>
  <c r="O153"/>
  <c r="F151" i="30"/>
  <c r="K151" s="1"/>
  <c r="E152"/>
  <c r="N152"/>
  <c r="D152"/>
  <c r="O152"/>
  <c r="H152"/>
  <c r="I152"/>
  <c r="F151" i="34" l="1"/>
  <c r="J151" s="1"/>
  <c r="P151"/>
  <c r="A152" s="1"/>
  <c r="N152" s="1"/>
  <c r="G150" i="35"/>
  <c r="J150"/>
  <c r="L150" s="1"/>
  <c r="O151"/>
  <c r="B151"/>
  <c r="C151" s="1"/>
  <c r="E151"/>
  <c r="H151"/>
  <c r="D151"/>
  <c r="N151"/>
  <c r="P153" i="29"/>
  <c r="A154" s="1"/>
  <c r="O154" s="1"/>
  <c r="F153"/>
  <c r="K153" s="1"/>
  <c r="G151" i="30"/>
  <c r="J151"/>
  <c r="L151" s="1"/>
  <c r="P152"/>
  <c r="A153" s="1"/>
  <c r="H153" s="1"/>
  <c r="F152"/>
  <c r="K152" s="1"/>
  <c r="K151" i="34" l="1"/>
  <c r="L151" s="1"/>
  <c r="G151"/>
  <c r="B152"/>
  <c r="C152" s="1"/>
  <c r="O152"/>
  <c r="P152" s="1"/>
  <c r="A153" s="1"/>
  <c r="N153" s="1"/>
  <c r="H152"/>
  <c r="I152"/>
  <c r="D152"/>
  <c r="E152"/>
  <c r="F151" i="35"/>
  <c r="J151" s="1"/>
  <c r="P151"/>
  <c r="A152" s="1"/>
  <c r="I152" s="1"/>
  <c r="E154" i="29"/>
  <c r="F141"/>
  <c r="A158" s="1"/>
  <c r="D158" s="1"/>
  <c r="B154"/>
  <c r="C154" s="1"/>
  <c r="I154"/>
  <c r="I165" s="1"/>
  <c r="N154"/>
  <c r="AG36" s="1"/>
  <c r="D154"/>
  <c r="H154"/>
  <c r="H165" s="1"/>
  <c r="G153"/>
  <c r="J153"/>
  <c r="L153" s="1"/>
  <c r="E153" i="30"/>
  <c r="I153"/>
  <c r="B153"/>
  <c r="C153" s="1"/>
  <c r="N153"/>
  <c r="O153"/>
  <c r="D153"/>
  <c r="G152"/>
  <c r="J152"/>
  <c r="L152" s="1"/>
  <c r="B153" i="34" l="1"/>
  <c r="C153" s="1"/>
  <c r="O153"/>
  <c r="P153" s="1"/>
  <c r="A154" s="1"/>
  <c r="H154" s="1"/>
  <c r="H165" s="1"/>
  <c r="F152"/>
  <c r="I153"/>
  <c r="D153"/>
  <c r="H153"/>
  <c r="E153"/>
  <c r="D152" i="35"/>
  <c r="H152"/>
  <c r="N152"/>
  <c r="O152"/>
  <c r="G151"/>
  <c r="E152"/>
  <c r="K151"/>
  <c r="L151" s="1"/>
  <c r="B152"/>
  <c r="C152" s="1"/>
  <c r="F154" i="29"/>
  <c r="G154" s="1"/>
  <c r="A159"/>
  <c r="B159" s="1"/>
  <c r="C159" s="1"/>
  <c r="P154"/>
  <c r="H158"/>
  <c r="T34" s="1"/>
  <c r="B158"/>
  <c r="C158" s="1"/>
  <c r="E158"/>
  <c r="I158"/>
  <c r="U34" s="1"/>
  <c r="P153" i="30"/>
  <c r="A154" s="1"/>
  <c r="D154" s="1"/>
  <c r="F153"/>
  <c r="G153" s="1"/>
  <c r="N154" i="34" l="1"/>
  <c r="AG36" s="1"/>
  <c r="K152"/>
  <c r="G152"/>
  <c r="D154"/>
  <c r="I154"/>
  <c r="I165" s="1"/>
  <c r="O154"/>
  <c r="J152"/>
  <c r="E154"/>
  <c r="F153"/>
  <c r="F141"/>
  <c r="A158" s="1"/>
  <c r="A159" s="1"/>
  <c r="D159" s="1"/>
  <c r="B154"/>
  <c r="C154" s="1"/>
  <c r="P152" i="35"/>
  <c r="A153" s="1"/>
  <c r="H153" s="1"/>
  <c r="F152"/>
  <c r="G152" s="1"/>
  <c r="F158" i="29"/>
  <c r="K158" s="1"/>
  <c r="K154"/>
  <c r="K165" s="1"/>
  <c r="E159"/>
  <c r="D159"/>
  <c r="J154"/>
  <c r="J165" s="1"/>
  <c r="A160"/>
  <c r="E160" s="1"/>
  <c r="I159"/>
  <c r="U35" s="1"/>
  <c r="H159"/>
  <c r="T35" s="1"/>
  <c r="J158"/>
  <c r="O154" i="30"/>
  <c r="F141"/>
  <c r="A158" s="1"/>
  <c r="A159" s="1"/>
  <c r="D159" s="1"/>
  <c r="H154"/>
  <c r="H165" s="1"/>
  <c r="E154"/>
  <c r="N154"/>
  <c r="AG36" s="1"/>
  <c r="I154"/>
  <c r="I165" s="1"/>
  <c r="B154"/>
  <c r="C154" s="1"/>
  <c r="J153"/>
  <c r="K153"/>
  <c r="F154" i="34" l="1"/>
  <c r="K154" s="1"/>
  <c r="K165" s="1"/>
  <c r="I158"/>
  <c r="U34" s="1"/>
  <c r="K153"/>
  <c r="J153"/>
  <c r="G153"/>
  <c r="E158"/>
  <c r="D158"/>
  <c r="H158"/>
  <c r="T34" s="1"/>
  <c r="B159"/>
  <c r="C159" s="1"/>
  <c r="I159"/>
  <c r="U35" s="1"/>
  <c r="L152"/>
  <c r="P154"/>
  <c r="A160"/>
  <c r="H160" s="1"/>
  <c r="T36" s="1"/>
  <c r="E159"/>
  <c r="B158"/>
  <c r="C158" s="1"/>
  <c r="H159"/>
  <c r="T35" s="1"/>
  <c r="D160"/>
  <c r="I160"/>
  <c r="U36" s="1"/>
  <c r="A161"/>
  <c r="A162" s="1"/>
  <c r="I162" s="1"/>
  <c r="U38" s="1"/>
  <c r="N153" i="35"/>
  <c r="B153"/>
  <c r="C153" s="1"/>
  <c r="E153"/>
  <c r="O153"/>
  <c r="D153"/>
  <c r="I153"/>
  <c r="J152"/>
  <c r="K152"/>
  <c r="L158" i="29"/>
  <c r="H160"/>
  <c r="T36" s="1"/>
  <c r="G158"/>
  <c r="D168"/>
  <c r="I160"/>
  <c r="U36" s="1"/>
  <c r="A161"/>
  <c r="A162" s="1"/>
  <c r="E162" s="1"/>
  <c r="B160"/>
  <c r="C160" s="1"/>
  <c r="E168"/>
  <c r="A171" s="1"/>
  <c r="D171" s="1"/>
  <c r="F159"/>
  <c r="J159" s="1"/>
  <c r="L154"/>
  <c r="D160"/>
  <c r="F154" i="30"/>
  <c r="K154" s="1"/>
  <c r="K165" s="1"/>
  <c r="P154"/>
  <c r="H159"/>
  <c r="T35" s="1"/>
  <c r="D158"/>
  <c r="E159"/>
  <c r="A160"/>
  <c r="B160" s="1"/>
  <c r="C160" s="1"/>
  <c r="B159"/>
  <c r="C159" s="1"/>
  <c r="H158"/>
  <c r="T34" s="1"/>
  <c r="B158"/>
  <c r="C158" s="1"/>
  <c r="I159"/>
  <c r="U35" s="1"/>
  <c r="I158"/>
  <c r="U34" s="1"/>
  <c r="E158"/>
  <c r="L153"/>
  <c r="G154" i="34" l="1"/>
  <c r="F159"/>
  <c r="J159" s="1"/>
  <c r="J154"/>
  <c r="J165" s="1"/>
  <c r="D168" s="1"/>
  <c r="F158"/>
  <c r="K158" s="1"/>
  <c r="L153"/>
  <c r="I161"/>
  <c r="U37" s="1"/>
  <c r="B161"/>
  <c r="C161" s="1"/>
  <c r="B160"/>
  <c r="C160" s="1"/>
  <c r="E160"/>
  <c r="D161"/>
  <c r="D162"/>
  <c r="H161"/>
  <c r="T37" s="1"/>
  <c r="B162"/>
  <c r="C162" s="1"/>
  <c r="E162"/>
  <c r="E161"/>
  <c r="H162"/>
  <c r="T38" s="1"/>
  <c r="G158"/>
  <c r="F153" i="35"/>
  <c r="K153" s="1"/>
  <c r="P153"/>
  <c r="A154" s="1"/>
  <c r="O154" s="1"/>
  <c r="L152"/>
  <c r="H161" i="29"/>
  <c r="T37" s="1"/>
  <c r="F160"/>
  <c r="G160" s="1"/>
  <c r="B161"/>
  <c r="C161" s="1"/>
  <c r="D162"/>
  <c r="H162"/>
  <c r="T38" s="1"/>
  <c r="B162"/>
  <c r="C162" s="1"/>
  <c r="D161"/>
  <c r="E161"/>
  <c r="I162"/>
  <c r="U38" s="1"/>
  <c r="I161"/>
  <c r="U37" s="1"/>
  <c r="H168"/>
  <c r="G159"/>
  <c r="J168"/>
  <c r="K159"/>
  <c r="L159" s="1"/>
  <c r="A184"/>
  <c r="E184" s="1"/>
  <c r="K168"/>
  <c r="N171" s="1"/>
  <c r="B171"/>
  <c r="C171" s="1"/>
  <c r="G168"/>
  <c r="I168" s="1"/>
  <c r="E171"/>
  <c r="J154" i="30"/>
  <c r="J165" s="1"/>
  <c r="D168" s="1"/>
  <c r="G154"/>
  <c r="F158"/>
  <c r="K158" s="1"/>
  <c r="F159"/>
  <c r="J159" s="1"/>
  <c r="E160"/>
  <c r="D160"/>
  <c r="A161"/>
  <c r="A162" s="1"/>
  <c r="I160"/>
  <c r="U36" s="1"/>
  <c r="H160"/>
  <c r="T36" s="1"/>
  <c r="G159" i="34" l="1"/>
  <c r="K159"/>
  <c r="L159" s="1"/>
  <c r="J158"/>
  <c r="L158" s="1"/>
  <c r="E168"/>
  <c r="J168" s="1"/>
  <c r="L154"/>
  <c r="F160"/>
  <c r="G160" s="1"/>
  <c r="F161"/>
  <c r="G161" s="1"/>
  <c r="F162"/>
  <c r="G162" s="1"/>
  <c r="G153" i="35"/>
  <c r="J153"/>
  <c r="L153" s="1"/>
  <c r="F141"/>
  <c r="A158" s="1"/>
  <c r="E158" s="1"/>
  <c r="E154"/>
  <c r="H154"/>
  <c r="H165" s="1"/>
  <c r="B154"/>
  <c r="C154" s="1"/>
  <c r="N154"/>
  <c r="AG36" s="1"/>
  <c r="D154"/>
  <c r="I154"/>
  <c r="I165" s="1"/>
  <c r="J160" i="29"/>
  <c r="K160"/>
  <c r="F162"/>
  <c r="J162" s="1"/>
  <c r="F161"/>
  <c r="K161" s="1"/>
  <c r="H171"/>
  <c r="I171"/>
  <c r="O171"/>
  <c r="P171" s="1"/>
  <c r="A172" s="1"/>
  <c r="H172" s="1"/>
  <c r="I184"/>
  <c r="U39" s="1"/>
  <c r="F171"/>
  <c r="J171" s="1"/>
  <c r="H184"/>
  <c r="T39" s="1"/>
  <c r="D184"/>
  <c r="B184"/>
  <c r="C184" s="1"/>
  <c r="E168" i="30"/>
  <c r="G168" s="1"/>
  <c r="I168" s="1"/>
  <c r="L154"/>
  <c r="G159"/>
  <c r="G158"/>
  <c r="J158"/>
  <c r="L158" s="1"/>
  <c r="K159"/>
  <c r="L159" s="1"/>
  <c r="E161"/>
  <c r="B161"/>
  <c r="C161" s="1"/>
  <c r="F160"/>
  <c r="K160" s="1"/>
  <c r="D161"/>
  <c r="I161"/>
  <c r="U37" s="1"/>
  <c r="H161"/>
  <c r="T37" s="1"/>
  <c r="B162"/>
  <c r="C162" s="1"/>
  <c r="H162"/>
  <c r="T38" s="1"/>
  <c r="D162"/>
  <c r="I162"/>
  <c r="U38" s="1"/>
  <c r="E162"/>
  <c r="H168" i="34" l="1"/>
  <c r="A171"/>
  <c r="B171" s="1"/>
  <c r="C171" s="1"/>
  <c r="K168"/>
  <c r="I171" s="1"/>
  <c r="G168"/>
  <c r="I168" s="1"/>
  <c r="A184"/>
  <c r="E184" s="1"/>
  <c r="J160"/>
  <c r="K160"/>
  <c r="J162"/>
  <c r="J161"/>
  <c r="K161"/>
  <c r="K162"/>
  <c r="F154" i="35"/>
  <c r="K154" s="1"/>
  <c r="K165" s="1"/>
  <c r="I158"/>
  <c r="U34" s="1"/>
  <c r="B158"/>
  <c r="C158" s="1"/>
  <c r="A159"/>
  <c r="H159" s="1"/>
  <c r="T35" s="1"/>
  <c r="D158"/>
  <c r="H158"/>
  <c r="T34" s="1"/>
  <c r="P154"/>
  <c r="K162" i="29"/>
  <c r="L162" s="1"/>
  <c r="G162"/>
  <c r="L160"/>
  <c r="N172"/>
  <c r="B172"/>
  <c r="C172" s="1"/>
  <c r="J161"/>
  <c r="L161" s="1"/>
  <c r="G161"/>
  <c r="F184"/>
  <c r="K184" s="1"/>
  <c r="E172"/>
  <c r="D172"/>
  <c r="I172"/>
  <c r="O172"/>
  <c r="K171"/>
  <c r="L171" s="1"/>
  <c r="G171"/>
  <c r="H168" i="30"/>
  <c r="A171"/>
  <c r="E171" s="1"/>
  <c r="K168"/>
  <c r="J168"/>
  <c r="A184"/>
  <c r="D184" s="1"/>
  <c r="F161"/>
  <c r="G161" s="1"/>
  <c r="G160"/>
  <c r="J160"/>
  <c r="L160" s="1"/>
  <c r="F162"/>
  <c r="K162" s="1"/>
  <c r="D184" i="34" l="1"/>
  <c r="B184"/>
  <c r="C184" s="1"/>
  <c r="E171"/>
  <c r="N171"/>
  <c r="D171"/>
  <c r="O171"/>
  <c r="H184"/>
  <c r="T39" s="1"/>
  <c r="I184"/>
  <c r="U39" s="1"/>
  <c r="H171"/>
  <c r="L160"/>
  <c r="L161"/>
  <c r="L162"/>
  <c r="F158" i="35"/>
  <c r="G158" s="1"/>
  <c r="J154"/>
  <c r="J165" s="1"/>
  <c r="D168" s="1"/>
  <c r="G154"/>
  <c r="I159"/>
  <c r="U35" s="1"/>
  <c r="E159"/>
  <c r="B159"/>
  <c r="C159" s="1"/>
  <c r="D159"/>
  <c r="A160"/>
  <c r="A161" s="1"/>
  <c r="A162" s="1"/>
  <c r="H162" s="1"/>
  <c r="T38" s="1"/>
  <c r="P172" i="29"/>
  <c r="A173" s="1"/>
  <c r="D173" s="1"/>
  <c r="F172"/>
  <c r="G172" s="1"/>
  <c r="G184"/>
  <c r="J184"/>
  <c r="L184" s="1"/>
  <c r="N171" i="30"/>
  <c r="E184"/>
  <c r="I184"/>
  <c r="U39" s="1"/>
  <c r="I171"/>
  <c r="O171"/>
  <c r="H184"/>
  <c r="T39" s="1"/>
  <c r="D171"/>
  <c r="B171"/>
  <c r="C171" s="1"/>
  <c r="H171"/>
  <c r="B184"/>
  <c r="C184" s="1"/>
  <c r="K161"/>
  <c r="J161"/>
  <c r="G162"/>
  <c r="J162"/>
  <c r="L162" s="1"/>
  <c r="F184" i="34" l="1"/>
  <c r="G184" s="1"/>
  <c r="F171"/>
  <c r="G171" s="1"/>
  <c r="P171"/>
  <c r="A172" s="1"/>
  <c r="N172" s="1"/>
  <c r="K158" i="35"/>
  <c r="J158"/>
  <c r="E168"/>
  <c r="J168" s="1"/>
  <c r="L154"/>
  <c r="D162"/>
  <c r="E161"/>
  <c r="F159"/>
  <c r="K159" s="1"/>
  <c r="D160"/>
  <c r="E162"/>
  <c r="D161"/>
  <c r="I162"/>
  <c r="U38" s="1"/>
  <c r="B162"/>
  <c r="C162" s="1"/>
  <c r="E160"/>
  <c r="H160"/>
  <c r="T36" s="1"/>
  <c r="H161"/>
  <c r="T37" s="1"/>
  <c r="B160"/>
  <c r="C160" s="1"/>
  <c r="I160"/>
  <c r="U36" s="1"/>
  <c r="B161"/>
  <c r="C161" s="1"/>
  <c r="I161"/>
  <c r="U37" s="1"/>
  <c r="H173" i="29"/>
  <c r="B173"/>
  <c r="C173" s="1"/>
  <c r="O173"/>
  <c r="E173"/>
  <c r="I173"/>
  <c r="N173"/>
  <c r="J172"/>
  <c r="K172"/>
  <c r="F184" i="30"/>
  <c r="J184" s="1"/>
  <c r="P171"/>
  <c r="A172" s="1"/>
  <c r="I172" s="1"/>
  <c r="F171"/>
  <c r="G171" s="1"/>
  <c r="L161"/>
  <c r="K171" i="34" l="1"/>
  <c r="J184"/>
  <c r="K184"/>
  <c r="B172"/>
  <c r="C172" s="1"/>
  <c r="J171"/>
  <c r="E172"/>
  <c r="I172"/>
  <c r="D172"/>
  <c r="H172"/>
  <c r="J159" i="35"/>
  <c r="L159" s="1"/>
  <c r="O172" i="34"/>
  <c r="P172" s="1"/>
  <c r="A173" s="1"/>
  <c r="H173" s="1"/>
  <c r="F160" i="35"/>
  <c r="G160" s="1"/>
  <c r="L158"/>
  <c r="K168"/>
  <c r="G168"/>
  <c r="I168" s="1"/>
  <c r="A171"/>
  <c r="D171" s="1"/>
  <c r="A184"/>
  <c r="H168"/>
  <c r="F162"/>
  <c r="K162" s="1"/>
  <c r="F161"/>
  <c r="G161" s="1"/>
  <c r="G159"/>
  <c r="F173" i="29"/>
  <c r="K173" s="1"/>
  <c r="P173"/>
  <c r="A174" s="1"/>
  <c r="H174" s="1"/>
  <c r="L172"/>
  <c r="K184" i="30"/>
  <c r="L184" s="1"/>
  <c r="G184"/>
  <c r="O172"/>
  <c r="N172"/>
  <c r="E172"/>
  <c r="B172"/>
  <c r="C172" s="1"/>
  <c r="D172"/>
  <c r="H172"/>
  <c r="K171"/>
  <c r="J171"/>
  <c r="L171" i="34" l="1"/>
  <c r="L184"/>
  <c r="F172"/>
  <c r="K172" s="1"/>
  <c r="E173"/>
  <c r="O173"/>
  <c r="P173" s="1"/>
  <c r="A174" s="1"/>
  <c r="H174" s="1"/>
  <c r="B173"/>
  <c r="C173" s="1"/>
  <c r="N173"/>
  <c r="D173"/>
  <c r="I173"/>
  <c r="J160" i="35"/>
  <c r="K160"/>
  <c r="G162"/>
  <c r="H184"/>
  <c r="T39" s="1"/>
  <c r="D184"/>
  <c r="B184"/>
  <c r="C184" s="1"/>
  <c r="I171"/>
  <c r="I184"/>
  <c r="U39" s="1"/>
  <c r="E184"/>
  <c r="B171"/>
  <c r="C171" s="1"/>
  <c r="O171"/>
  <c r="H171"/>
  <c r="E171"/>
  <c r="N171"/>
  <c r="J162"/>
  <c r="L162" s="1"/>
  <c r="J161"/>
  <c r="K161"/>
  <c r="G173" i="29"/>
  <c r="J173"/>
  <c r="L173" s="1"/>
  <c r="D174"/>
  <c r="E174"/>
  <c r="I174"/>
  <c r="B174"/>
  <c r="C174" s="1"/>
  <c r="O174"/>
  <c r="N174"/>
  <c r="P172" i="30"/>
  <c r="A173" s="1"/>
  <c r="N173" s="1"/>
  <c r="F172"/>
  <c r="G172" s="1"/>
  <c r="L171"/>
  <c r="J172" i="34" l="1"/>
  <c r="L172" s="1"/>
  <c r="G172"/>
  <c r="F173"/>
  <c r="L160" i="35"/>
  <c r="D174" i="34"/>
  <c r="L161" i="35"/>
  <c r="B174" i="34"/>
  <c r="C174" s="1"/>
  <c r="I174"/>
  <c r="E174"/>
  <c r="O174"/>
  <c r="N174"/>
  <c r="P171" i="35"/>
  <c r="A172" s="1"/>
  <c r="O172" s="1"/>
  <c r="F184"/>
  <c r="J184" s="1"/>
  <c r="F171"/>
  <c r="G171" s="1"/>
  <c r="F174" i="29"/>
  <c r="K174" s="1"/>
  <c r="P174"/>
  <c r="A175" s="1"/>
  <c r="N175" s="1"/>
  <c r="O173" i="30"/>
  <c r="P173" s="1"/>
  <c r="A174" s="1"/>
  <c r="D174" s="1"/>
  <c r="H173"/>
  <c r="B173"/>
  <c r="C173" s="1"/>
  <c r="D173"/>
  <c r="E173"/>
  <c r="I173"/>
  <c r="K172"/>
  <c r="J172"/>
  <c r="K173" i="34" l="1"/>
  <c r="J173"/>
  <c r="G173"/>
  <c r="P174"/>
  <c r="A175" s="1"/>
  <c r="B175" s="1"/>
  <c r="C175" s="1"/>
  <c r="F174"/>
  <c r="K174" s="1"/>
  <c r="D172" i="35"/>
  <c r="I172"/>
  <c r="B172"/>
  <c r="C172" s="1"/>
  <c r="N172"/>
  <c r="P172" s="1"/>
  <c r="A173" s="1"/>
  <c r="D173" s="1"/>
  <c r="H172"/>
  <c r="E172"/>
  <c r="G184"/>
  <c r="K171"/>
  <c r="K184"/>
  <c r="L184" s="1"/>
  <c r="J171"/>
  <c r="I175" i="29"/>
  <c r="H175"/>
  <c r="O175"/>
  <c r="P175" s="1"/>
  <c r="A176" s="1"/>
  <c r="I176" s="1"/>
  <c r="E175"/>
  <c r="D175"/>
  <c r="B175"/>
  <c r="C175" s="1"/>
  <c r="G174"/>
  <c r="J174"/>
  <c r="L174" s="1"/>
  <c r="F173" i="30"/>
  <c r="K173" s="1"/>
  <c r="E174"/>
  <c r="B174"/>
  <c r="C174" s="1"/>
  <c r="I174"/>
  <c r="H174"/>
  <c r="O174"/>
  <c r="N174"/>
  <c r="L172"/>
  <c r="L173" i="34" l="1"/>
  <c r="D175"/>
  <c r="E175"/>
  <c r="G174"/>
  <c r="O175"/>
  <c r="H175"/>
  <c r="N175"/>
  <c r="I175"/>
  <c r="J174"/>
  <c r="L174" s="1"/>
  <c r="F172" i="35"/>
  <c r="J172" s="1"/>
  <c r="H173"/>
  <c r="B173"/>
  <c r="C173" s="1"/>
  <c r="I173"/>
  <c r="E173"/>
  <c r="N173"/>
  <c r="O173"/>
  <c r="L171"/>
  <c r="B176" i="29"/>
  <c r="C176" s="1"/>
  <c r="D176"/>
  <c r="E176"/>
  <c r="F175"/>
  <c r="K175" s="1"/>
  <c r="O176"/>
  <c r="N176"/>
  <c r="H176"/>
  <c r="F174" i="30"/>
  <c r="K174" s="1"/>
  <c r="G173"/>
  <c r="J173"/>
  <c r="L173" s="1"/>
  <c r="P174"/>
  <c r="A175" s="1"/>
  <c r="O175" s="1"/>
  <c r="F175" i="34" l="1"/>
  <c r="J175" s="1"/>
  <c r="P175"/>
  <c r="A176" s="1"/>
  <c r="H176" s="1"/>
  <c r="F173" i="35"/>
  <c r="J173" s="1"/>
  <c r="P173"/>
  <c r="A174" s="1"/>
  <c r="H174" s="1"/>
  <c r="G172"/>
  <c r="K172"/>
  <c r="L172" s="1"/>
  <c r="F176" i="29"/>
  <c r="J176" s="1"/>
  <c r="P176"/>
  <c r="A177" s="1"/>
  <c r="O177" s="1"/>
  <c r="J175"/>
  <c r="L175" s="1"/>
  <c r="G175"/>
  <c r="G174" i="30"/>
  <c r="J174"/>
  <c r="L174" s="1"/>
  <c r="I175"/>
  <c r="B175"/>
  <c r="C175" s="1"/>
  <c r="D175"/>
  <c r="H175"/>
  <c r="N175"/>
  <c r="P175" s="1"/>
  <c r="A176" s="1"/>
  <c r="O176" s="1"/>
  <c r="E175"/>
  <c r="G175" i="34" l="1"/>
  <c r="K175"/>
  <c r="L175" s="1"/>
  <c r="D176"/>
  <c r="I176"/>
  <c r="O176"/>
  <c r="N176"/>
  <c r="E176"/>
  <c r="B176"/>
  <c r="C176" s="1"/>
  <c r="O174" i="35"/>
  <c r="K173"/>
  <c r="L173" s="1"/>
  <c r="G173"/>
  <c r="B174"/>
  <c r="C174" s="1"/>
  <c r="N174"/>
  <c r="D174"/>
  <c r="I174"/>
  <c r="E174"/>
  <c r="B177" i="29"/>
  <c r="C177" s="1"/>
  <c r="H177"/>
  <c r="I177"/>
  <c r="D177"/>
  <c r="N177"/>
  <c r="P177" s="1"/>
  <c r="A178" s="1"/>
  <c r="O178" s="1"/>
  <c r="E177"/>
  <c r="K176"/>
  <c r="L176" s="1"/>
  <c r="G176"/>
  <c r="F175" i="30"/>
  <c r="K175" s="1"/>
  <c r="I176"/>
  <c r="D176"/>
  <c r="H176"/>
  <c r="N176"/>
  <c r="P176" s="1"/>
  <c r="A177" s="1"/>
  <c r="O177" s="1"/>
  <c r="B176"/>
  <c r="C176" s="1"/>
  <c r="E176"/>
  <c r="F176" i="34" l="1"/>
  <c r="K176" s="1"/>
  <c r="P176"/>
  <c r="A177" s="1"/>
  <c r="B177" s="1"/>
  <c r="C177" s="1"/>
  <c r="P174" i="35"/>
  <c r="A175" s="1"/>
  <c r="O175" s="1"/>
  <c r="F174"/>
  <c r="J174" s="1"/>
  <c r="F177" i="29"/>
  <c r="G177" s="1"/>
  <c r="H178"/>
  <c r="N178"/>
  <c r="P178" s="1"/>
  <c r="A179" s="1"/>
  <c r="I179" s="1"/>
  <c r="E178"/>
  <c r="D178"/>
  <c r="B178"/>
  <c r="C178" s="1"/>
  <c r="I178"/>
  <c r="G175" i="30"/>
  <c r="J175"/>
  <c r="L175" s="1"/>
  <c r="B177"/>
  <c r="C177" s="1"/>
  <c r="F176"/>
  <c r="K176" s="1"/>
  <c r="I177"/>
  <c r="N177"/>
  <c r="P177" s="1"/>
  <c r="A178" s="1"/>
  <c r="N178" s="1"/>
  <c r="H177"/>
  <c r="D177"/>
  <c r="E177"/>
  <c r="J177" i="29"/>
  <c r="J176" i="34" l="1"/>
  <c r="L176" s="1"/>
  <c r="G176"/>
  <c r="O177"/>
  <c r="E177"/>
  <c r="I177"/>
  <c r="D177"/>
  <c r="N177"/>
  <c r="H177"/>
  <c r="I175" i="35"/>
  <c r="D175"/>
  <c r="B175"/>
  <c r="C175" s="1"/>
  <c r="H175"/>
  <c r="N175"/>
  <c r="P175" s="1"/>
  <c r="A176" s="1"/>
  <c r="E176" s="1"/>
  <c r="G174"/>
  <c r="K174"/>
  <c r="L174" s="1"/>
  <c r="E175"/>
  <c r="K177" i="29"/>
  <c r="L177" s="1"/>
  <c r="F178"/>
  <c r="G178" s="1"/>
  <c r="O179"/>
  <c r="H179"/>
  <c r="E179"/>
  <c r="B179"/>
  <c r="C179" s="1"/>
  <c r="D179"/>
  <c r="N179"/>
  <c r="F177" i="30"/>
  <c r="K177" s="1"/>
  <c r="G176"/>
  <c r="J176"/>
  <c r="L176" s="1"/>
  <c r="I178"/>
  <c r="H178"/>
  <c r="E178"/>
  <c r="B178"/>
  <c r="C178" s="1"/>
  <c r="D178"/>
  <c r="O178"/>
  <c r="P178" s="1"/>
  <c r="A179" s="1"/>
  <c r="O179" s="1"/>
  <c r="F177" i="34" l="1"/>
  <c r="P177"/>
  <c r="A178" s="1"/>
  <c r="H178" s="1"/>
  <c r="N176" i="35"/>
  <c r="F175"/>
  <c r="K175" s="1"/>
  <c r="O176"/>
  <c r="I176"/>
  <c r="D176"/>
  <c r="B176"/>
  <c r="C176" s="1"/>
  <c r="H176"/>
  <c r="J175"/>
  <c r="J178" i="29"/>
  <c r="K178"/>
  <c r="F179"/>
  <c r="G179" s="1"/>
  <c r="P179"/>
  <c r="A180" s="1"/>
  <c r="O180" s="1"/>
  <c r="F178" i="30"/>
  <c r="J178" s="1"/>
  <c r="G177"/>
  <c r="J177"/>
  <c r="L177" s="1"/>
  <c r="D179"/>
  <c r="E179"/>
  <c r="B179"/>
  <c r="C179" s="1"/>
  <c r="I179"/>
  <c r="H179"/>
  <c r="N179"/>
  <c r="P179" s="1"/>
  <c r="A180" s="1"/>
  <c r="H180" s="1"/>
  <c r="K177" i="34" l="1"/>
  <c r="G177"/>
  <c r="J177"/>
  <c r="I178"/>
  <c r="B178"/>
  <c r="C178" s="1"/>
  <c r="P176" i="35"/>
  <c r="A177" s="1"/>
  <c r="N177" s="1"/>
  <c r="E178" i="34"/>
  <c r="O178"/>
  <c r="D178"/>
  <c r="N178"/>
  <c r="G175" i="35"/>
  <c r="F176"/>
  <c r="J176" s="1"/>
  <c r="L175"/>
  <c r="L178" i="29"/>
  <c r="I180"/>
  <c r="D180"/>
  <c r="H180"/>
  <c r="E180"/>
  <c r="B180"/>
  <c r="C180" s="1"/>
  <c r="N180"/>
  <c r="P180" s="1"/>
  <c r="A181" s="1"/>
  <c r="E181" s="1"/>
  <c r="J179"/>
  <c r="K179"/>
  <c r="G178" i="30"/>
  <c r="K178"/>
  <c r="L178" s="1"/>
  <c r="F179"/>
  <c r="J179" s="1"/>
  <c r="O180"/>
  <c r="E180"/>
  <c r="D180"/>
  <c r="N180"/>
  <c r="B180"/>
  <c r="C180" s="1"/>
  <c r="I180"/>
  <c r="L177" i="34" l="1"/>
  <c r="F178"/>
  <c r="G178" s="1"/>
  <c r="I177" i="35"/>
  <c r="H177"/>
  <c r="D177"/>
  <c r="B177"/>
  <c r="C177" s="1"/>
  <c r="P178" i="34"/>
  <c r="A179" s="1"/>
  <c r="E177" i="35"/>
  <c r="O177"/>
  <c r="P177" s="1"/>
  <c r="A178" s="1"/>
  <c r="N178" s="1"/>
  <c r="K178" i="34"/>
  <c r="K176" i="35"/>
  <c r="L176" s="1"/>
  <c r="G176"/>
  <c r="L179" i="29"/>
  <c r="F180"/>
  <c r="G180" s="1"/>
  <c r="N181"/>
  <c r="AH36" s="1"/>
  <c r="D181"/>
  <c r="F168"/>
  <c r="A185" s="1"/>
  <c r="H185" s="1"/>
  <c r="T40" s="1"/>
  <c r="H181"/>
  <c r="H192" s="1"/>
  <c r="B181"/>
  <c r="C181" s="1"/>
  <c r="I181"/>
  <c r="I192" s="1"/>
  <c r="O181"/>
  <c r="G179" i="30"/>
  <c r="K179"/>
  <c r="L179" s="1"/>
  <c r="P180"/>
  <c r="A181" s="1"/>
  <c r="B181" s="1"/>
  <c r="C181" s="1"/>
  <c r="F180"/>
  <c r="K180" s="1"/>
  <c r="J178" i="34" l="1"/>
  <c r="L178" s="1"/>
  <c r="F177" i="35"/>
  <c r="G177" s="1"/>
  <c r="O178"/>
  <c r="P178" s="1"/>
  <c r="A179" s="1"/>
  <c r="B179" s="1"/>
  <c r="C179" s="1"/>
  <c r="I179" i="34"/>
  <c r="E179"/>
  <c r="N179"/>
  <c r="D179"/>
  <c r="H179"/>
  <c r="O179"/>
  <c r="B179"/>
  <c r="C179" s="1"/>
  <c r="E178" i="35"/>
  <c r="H178"/>
  <c r="B178"/>
  <c r="C178" s="1"/>
  <c r="D178"/>
  <c r="I178"/>
  <c r="F181" i="29"/>
  <c r="J181" s="1"/>
  <c r="J192" s="1"/>
  <c r="B185"/>
  <c r="C185" s="1"/>
  <c r="A186"/>
  <c r="I186" s="1"/>
  <c r="U41" s="1"/>
  <c r="I185"/>
  <c r="U40" s="1"/>
  <c r="K180"/>
  <c r="J180"/>
  <c r="P181"/>
  <c r="E185"/>
  <c r="D185"/>
  <c r="I181" i="30"/>
  <c r="I192" s="1"/>
  <c r="N181"/>
  <c r="AH36" s="1"/>
  <c r="O181"/>
  <c r="G180"/>
  <c r="F168"/>
  <c r="A185" s="1"/>
  <c r="D185" s="1"/>
  <c r="J180"/>
  <c r="L180" s="1"/>
  <c r="H181"/>
  <c r="H192" s="1"/>
  <c r="D181"/>
  <c r="E181"/>
  <c r="P179" i="34" l="1"/>
  <c r="A180" s="1"/>
  <c r="N180" s="1"/>
  <c r="K177" i="35"/>
  <c r="F178"/>
  <c r="G178" s="1"/>
  <c r="J177"/>
  <c r="N179"/>
  <c r="E179"/>
  <c r="O179"/>
  <c r="D179"/>
  <c r="H179"/>
  <c r="I179"/>
  <c r="F179" i="34"/>
  <c r="F179" i="35"/>
  <c r="G179" s="1"/>
  <c r="K181" i="29"/>
  <c r="K192" s="1"/>
  <c r="D195" s="1"/>
  <c r="G181"/>
  <c r="E186"/>
  <c r="A187"/>
  <c r="B187" s="1"/>
  <c r="C187" s="1"/>
  <c r="D186"/>
  <c r="H186"/>
  <c r="T41" s="1"/>
  <c r="B186"/>
  <c r="C186" s="1"/>
  <c r="L180"/>
  <c r="F185"/>
  <c r="J185" s="1"/>
  <c r="F181" i="30"/>
  <c r="K181" s="1"/>
  <c r="K192" s="1"/>
  <c r="E185"/>
  <c r="H185"/>
  <c r="T40" s="1"/>
  <c r="B185"/>
  <c r="C185" s="1"/>
  <c r="P181"/>
  <c r="I185"/>
  <c r="U40" s="1"/>
  <c r="A186"/>
  <c r="I186" s="1"/>
  <c r="U41" s="1"/>
  <c r="B180" i="34" l="1"/>
  <c r="C180" s="1"/>
  <c r="F180" s="1"/>
  <c r="G180" s="1"/>
  <c r="I180"/>
  <c r="E180"/>
  <c r="O180"/>
  <c r="P180" s="1"/>
  <c r="A181" s="1"/>
  <c r="D180"/>
  <c r="H180"/>
  <c r="J178" i="35"/>
  <c r="L177"/>
  <c r="K178"/>
  <c r="P179"/>
  <c r="A180" s="1"/>
  <c r="N180" s="1"/>
  <c r="G179" i="34"/>
  <c r="J179"/>
  <c r="K179"/>
  <c r="K179" i="35"/>
  <c r="J179"/>
  <c r="L181" i="29"/>
  <c r="E195"/>
  <c r="A211" s="1"/>
  <c r="A188"/>
  <c r="A189" s="1"/>
  <c r="B189" s="1"/>
  <c r="C189" s="1"/>
  <c r="D187"/>
  <c r="F186"/>
  <c r="G186" s="1"/>
  <c r="H187"/>
  <c r="T42" s="1"/>
  <c r="I187"/>
  <c r="U42" s="1"/>
  <c r="E187"/>
  <c r="K185"/>
  <c r="L185" s="1"/>
  <c r="G185"/>
  <c r="G181" i="30"/>
  <c r="J181"/>
  <c r="J192" s="1"/>
  <c r="B186"/>
  <c r="C186" s="1"/>
  <c r="D186"/>
  <c r="H186"/>
  <c r="T41" s="1"/>
  <c r="A187"/>
  <c r="D187" s="1"/>
  <c r="F185"/>
  <c r="G185" s="1"/>
  <c r="E186"/>
  <c r="K180" i="34" l="1"/>
  <c r="J180"/>
  <c r="L178" i="35"/>
  <c r="B180"/>
  <c r="C180" s="1"/>
  <c r="I180"/>
  <c r="L179" i="34"/>
  <c r="O180" i="35"/>
  <c r="P180" s="1"/>
  <c r="A181" s="1"/>
  <c r="E181" s="1"/>
  <c r="H180"/>
  <c r="D180"/>
  <c r="E180"/>
  <c r="H181" i="34"/>
  <c r="H192" s="1"/>
  <c r="F168"/>
  <c r="A185" s="1"/>
  <c r="D181"/>
  <c r="I181"/>
  <c r="I192" s="1"/>
  <c r="O181"/>
  <c r="B181"/>
  <c r="C181" s="1"/>
  <c r="E181"/>
  <c r="N181"/>
  <c r="L179" i="35"/>
  <c r="K195" i="29"/>
  <c r="H211" s="1"/>
  <c r="T45" s="1"/>
  <c r="H195"/>
  <c r="A198"/>
  <c r="B198" s="1"/>
  <c r="C198" s="1"/>
  <c r="G195"/>
  <c r="I195" s="1"/>
  <c r="J195"/>
  <c r="I189"/>
  <c r="U44" s="1"/>
  <c r="E189"/>
  <c r="E188"/>
  <c r="I188"/>
  <c r="U43" s="1"/>
  <c r="B188"/>
  <c r="C188" s="1"/>
  <c r="H188"/>
  <c r="T43" s="1"/>
  <c r="H189"/>
  <c r="T44" s="1"/>
  <c r="D189"/>
  <c r="D188"/>
  <c r="F187"/>
  <c r="G187" s="1"/>
  <c r="K186"/>
  <c r="J186"/>
  <c r="L181" i="30"/>
  <c r="E187"/>
  <c r="B211" i="29"/>
  <c r="C211" s="1"/>
  <c r="E211"/>
  <c r="D211"/>
  <c r="H187" i="30"/>
  <c r="T42" s="1"/>
  <c r="A188"/>
  <c r="I188" s="1"/>
  <c r="U43" s="1"/>
  <c r="F186"/>
  <c r="G186" s="1"/>
  <c r="J185"/>
  <c r="B187"/>
  <c r="C187" s="1"/>
  <c r="I187"/>
  <c r="U42" s="1"/>
  <c r="K185"/>
  <c r="E195"/>
  <c r="D195"/>
  <c r="L180" i="34" l="1"/>
  <c r="F180" i="35"/>
  <c r="G180" s="1"/>
  <c r="D181"/>
  <c r="B181"/>
  <c r="C181" s="1"/>
  <c r="F168"/>
  <c r="A185" s="1"/>
  <c r="D185" s="1"/>
  <c r="H181"/>
  <c r="H192" s="1"/>
  <c r="I181"/>
  <c r="I192" s="1"/>
  <c r="N181"/>
  <c r="AH36" s="1"/>
  <c r="O181"/>
  <c r="I185" i="34"/>
  <c r="U40" s="1"/>
  <c r="D185"/>
  <c r="E185"/>
  <c r="B185"/>
  <c r="C185" s="1"/>
  <c r="H185"/>
  <c r="T40" s="1"/>
  <c r="A186"/>
  <c r="F181"/>
  <c r="AH36"/>
  <c r="P181"/>
  <c r="E198" i="29"/>
  <c r="I211"/>
  <c r="U45" s="1"/>
  <c r="I198"/>
  <c r="D198"/>
  <c r="H198"/>
  <c r="O198"/>
  <c r="N198"/>
  <c r="F189"/>
  <c r="J189" s="1"/>
  <c r="F188"/>
  <c r="K188" s="1"/>
  <c r="J187"/>
  <c r="K187"/>
  <c r="L186"/>
  <c r="E188" i="30"/>
  <c r="A189"/>
  <c r="D189" s="1"/>
  <c r="H188"/>
  <c r="T43" s="1"/>
  <c r="F187"/>
  <c r="G187" s="1"/>
  <c r="D188"/>
  <c r="F211" i="29"/>
  <c r="J211" s="1"/>
  <c r="B188" i="30"/>
  <c r="C188" s="1"/>
  <c r="K186"/>
  <c r="J186"/>
  <c r="L185"/>
  <c r="A211"/>
  <c r="G195"/>
  <c r="I195" s="1"/>
  <c r="H195"/>
  <c r="J195"/>
  <c r="A198"/>
  <c r="K195"/>
  <c r="J180" i="35" l="1"/>
  <c r="K180"/>
  <c r="I185"/>
  <c r="U40" s="1"/>
  <c r="H185"/>
  <c r="T40" s="1"/>
  <c r="F181"/>
  <c r="J181" s="1"/>
  <c r="J192" s="1"/>
  <c r="E185"/>
  <c r="P181"/>
  <c r="B185"/>
  <c r="C185" s="1"/>
  <c r="A186"/>
  <c r="E186" s="1"/>
  <c r="F185" i="34"/>
  <c r="I186"/>
  <c r="U41" s="1"/>
  <c r="E186"/>
  <c r="H186"/>
  <c r="T41" s="1"/>
  <c r="A187"/>
  <c r="D186"/>
  <c r="B186"/>
  <c r="K181"/>
  <c r="K192" s="1"/>
  <c r="J181"/>
  <c r="G181"/>
  <c r="K181" i="35"/>
  <c r="K192" s="1"/>
  <c r="F198" i="29"/>
  <c r="K198" s="1"/>
  <c r="P198"/>
  <c r="A199" s="1"/>
  <c r="O199" s="1"/>
  <c r="G189"/>
  <c r="K189"/>
  <c r="L189" s="1"/>
  <c r="G188"/>
  <c r="J188"/>
  <c r="L188" s="1"/>
  <c r="L187"/>
  <c r="H189" i="30"/>
  <c r="T44" s="1"/>
  <c r="J187"/>
  <c r="K187"/>
  <c r="E189"/>
  <c r="B189"/>
  <c r="C189" s="1"/>
  <c r="I189"/>
  <c r="U44" s="1"/>
  <c r="F188"/>
  <c r="G188" s="1"/>
  <c r="K211" i="29"/>
  <c r="L211" s="1"/>
  <c r="G211"/>
  <c r="L186" i="30"/>
  <c r="E211"/>
  <c r="B211"/>
  <c r="D211"/>
  <c r="E198"/>
  <c r="D198"/>
  <c r="B198"/>
  <c r="C198" s="1"/>
  <c r="H211"/>
  <c r="T45" s="1"/>
  <c r="O198"/>
  <c r="I211"/>
  <c r="U45" s="1"/>
  <c r="I198"/>
  <c r="H198"/>
  <c r="N198"/>
  <c r="F185" i="35" l="1"/>
  <c r="G185" s="1"/>
  <c r="H186"/>
  <c r="T41" s="1"/>
  <c r="L180"/>
  <c r="A187"/>
  <c r="I187" s="1"/>
  <c r="U42" s="1"/>
  <c r="I186"/>
  <c r="U41" s="1"/>
  <c r="B186"/>
  <c r="C186" s="1"/>
  <c r="D186"/>
  <c r="G181"/>
  <c r="D195"/>
  <c r="J192" i="34"/>
  <c r="L181"/>
  <c r="G185"/>
  <c r="K185"/>
  <c r="J185"/>
  <c r="B187"/>
  <c r="E187"/>
  <c r="A188"/>
  <c r="H187"/>
  <c r="T42" s="1"/>
  <c r="D187"/>
  <c r="I187"/>
  <c r="U42" s="1"/>
  <c r="C186"/>
  <c r="F186" s="1"/>
  <c r="J186" s="1"/>
  <c r="L181" i="35"/>
  <c r="E195"/>
  <c r="A198" s="1"/>
  <c r="I199" i="29"/>
  <c r="N199"/>
  <c r="P199" s="1"/>
  <c r="A200" s="1"/>
  <c r="B200" s="1"/>
  <c r="C200" s="1"/>
  <c r="G198"/>
  <c r="J198"/>
  <c r="L198" s="1"/>
  <c r="D199"/>
  <c r="E199"/>
  <c r="H199"/>
  <c r="B199"/>
  <c r="C199" s="1"/>
  <c r="L187" i="30"/>
  <c r="F189"/>
  <c r="G189" s="1"/>
  <c r="K188"/>
  <c r="J188"/>
  <c r="P198"/>
  <c r="A199" s="1"/>
  <c r="N199" s="1"/>
  <c r="C211"/>
  <c r="F211" s="1"/>
  <c r="G211" s="1"/>
  <c r="F198"/>
  <c r="K185" i="35" l="1"/>
  <c r="J185"/>
  <c r="F186"/>
  <c r="K186" s="1"/>
  <c r="H187"/>
  <c r="T42" s="1"/>
  <c r="B187"/>
  <c r="C187" s="1"/>
  <c r="E187"/>
  <c r="D187"/>
  <c r="A188"/>
  <c r="A189" s="1"/>
  <c r="I189" s="1"/>
  <c r="U44" s="1"/>
  <c r="K195"/>
  <c r="N198" s="1"/>
  <c r="A211"/>
  <c r="E211" s="1"/>
  <c r="H195"/>
  <c r="E195" i="34"/>
  <c r="D195"/>
  <c r="G186"/>
  <c r="K186"/>
  <c r="L186" s="1"/>
  <c r="L185"/>
  <c r="C187"/>
  <c r="F187" s="1"/>
  <c r="G187" s="1"/>
  <c r="E188"/>
  <c r="I188"/>
  <c r="U43" s="1"/>
  <c r="D188"/>
  <c r="A189"/>
  <c r="H188"/>
  <c r="T43" s="1"/>
  <c r="B188"/>
  <c r="H189" i="35"/>
  <c r="T44" s="1"/>
  <c r="G195"/>
  <c r="I195" s="1"/>
  <c r="J195"/>
  <c r="J186"/>
  <c r="H188"/>
  <c r="T43" s="1"/>
  <c r="B189"/>
  <c r="C189" s="1"/>
  <c r="I188"/>
  <c r="U43" s="1"/>
  <c r="E189"/>
  <c r="D189"/>
  <c r="D188"/>
  <c r="D198"/>
  <c r="B198"/>
  <c r="E198"/>
  <c r="F199" i="29"/>
  <c r="J199" s="1"/>
  <c r="D200"/>
  <c r="E200"/>
  <c r="I200"/>
  <c r="O200"/>
  <c r="N200"/>
  <c r="H200"/>
  <c r="J189" i="30"/>
  <c r="K189"/>
  <c r="L188"/>
  <c r="B199"/>
  <c r="C199" s="1"/>
  <c r="D199"/>
  <c r="H199"/>
  <c r="I199"/>
  <c r="O199"/>
  <c r="P199" s="1"/>
  <c r="A200" s="1"/>
  <c r="E199"/>
  <c r="J211"/>
  <c r="K211"/>
  <c r="G198"/>
  <c r="K198"/>
  <c r="J198"/>
  <c r="L185" i="35" l="1"/>
  <c r="B211"/>
  <c r="C211" s="1"/>
  <c r="D211"/>
  <c r="E188"/>
  <c r="F187"/>
  <c r="G187" s="1"/>
  <c r="G186"/>
  <c r="L186"/>
  <c r="B188"/>
  <c r="C188" s="1"/>
  <c r="H211"/>
  <c r="T45" s="1"/>
  <c r="H198"/>
  <c r="I198"/>
  <c r="I211"/>
  <c r="U45" s="1"/>
  <c r="O198"/>
  <c r="P198" s="1"/>
  <c r="A199" s="1"/>
  <c r="I199" s="1"/>
  <c r="K195" i="34"/>
  <c r="K187"/>
  <c r="H195"/>
  <c r="A211"/>
  <c r="J195"/>
  <c r="G195"/>
  <c r="I195" s="1"/>
  <c r="A198"/>
  <c r="B189"/>
  <c r="I189"/>
  <c r="U44" s="1"/>
  <c r="H189"/>
  <c r="T44" s="1"/>
  <c r="E189"/>
  <c r="D189"/>
  <c r="C188"/>
  <c r="F188" s="1"/>
  <c r="G188" s="1"/>
  <c r="J187"/>
  <c r="F189" i="35"/>
  <c r="G189" s="1"/>
  <c r="K187"/>
  <c r="C198"/>
  <c r="F198" s="1"/>
  <c r="K199" i="29"/>
  <c r="L199" s="1"/>
  <c r="G199"/>
  <c r="F200"/>
  <c r="J200" s="1"/>
  <c r="P200"/>
  <c r="A201" s="1"/>
  <c r="O201" s="1"/>
  <c r="L189" i="30"/>
  <c r="F199"/>
  <c r="G199" s="1"/>
  <c r="L211"/>
  <c r="L198"/>
  <c r="O200"/>
  <c r="H200"/>
  <c r="N200"/>
  <c r="D200"/>
  <c r="E200"/>
  <c r="B200"/>
  <c r="C200" s="1"/>
  <c r="I200"/>
  <c r="F211" i="35" l="1"/>
  <c r="J211" s="1"/>
  <c r="J187"/>
  <c r="L187" s="1"/>
  <c r="F188"/>
  <c r="J188" s="1"/>
  <c r="I211" i="34"/>
  <c r="U45" s="1"/>
  <c r="L187"/>
  <c r="I198"/>
  <c r="J188"/>
  <c r="B211"/>
  <c r="C211" s="1"/>
  <c r="D211"/>
  <c r="E211"/>
  <c r="C189"/>
  <c r="F189" s="1"/>
  <c r="G189" s="1"/>
  <c r="O198"/>
  <c r="D198"/>
  <c r="B198"/>
  <c r="C198" s="1"/>
  <c r="E198"/>
  <c r="H211"/>
  <c r="T45" s="1"/>
  <c r="H198"/>
  <c r="K188"/>
  <c r="N198"/>
  <c r="J189" i="35"/>
  <c r="K189"/>
  <c r="D199"/>
  <c r="E199"/>
  <c r="B199"/>
  <c r="C199" s="1"/>
  <c r="H199"/>
  <c r="O199"/>
  <c r="N199"/>
  <c r="K198"/>
  <c r="G198"/>
  <c r="J198"/>
  <c r="G200" i="29"/>
  <c r="K200"/>
  <c r="L200" s="1"/>
  <c r="B201"/>
  <c r="C201" s="1"/>
  <c r="E201"/>
  <c r="N201"/>
  <c r="P201" s="1"/>
  <c r="A202" s="1"/>
  <c r="I202" s="1"/>
  <c r="H201"/>
  <c r="I201"/>
  <c r="D201"/>
  <c r="K199" i="30"/>
  <c r="J199"/>
  <c r="P200"/>
  <c r="A201" s="1"/>
  <c r="F200"/>
  <c r="G211" i="35" l="1"/>
  <c r="K211"/>
  <c r="L211" s="1"/>
  <c r="L188" i="34"/>
  <c r="G188" i="35"/>
  <c r="K188"/>
  <c r="L188" s="1"/>
  <c r="P198" i="34"/>
  <c r="A199" s="1"/>
  <c r="O199" s="1"/>
  <c r="F211"/>
  <c r="G211" s="1"/>
  <c r="F198"/>
  <c r="G198" s="1"/>
  <c r="K189"/>
  <c r="J189"/>
  <c r="L189" i="35"/>
  <c r="P199"/>
  <c r="A200" s="1"/>
  <c r="I200" s="1"/>
  <c r="F199"/>
  <c r="K199" s="1"/>
  <c r="L198"/>
  <c r="F201" i="29"/>
  <c r="J201" s="1"/>
  <c r="N202"/>
  <c r="B202"/>
  <c r="C202" s="1"/>
  <c r="H202"/>
  <c r="E202"/>
  <c r="O202"/>
  <c r="D202"/>
  <c r="L199" i="30"/>
  <c r="N201"/>
  <c r="H201"/>
  <c r="E201"/>
  <c r="O201"/>
  <c r="D201"/>
  <c r="B201"/>
  <c r="C201" s="1"/>
  <c r="I201"/>
  <c r="G200"/>
  <c r="J200"/>
  <c r="K200"/>
  <c r="D199" i="34" l="1"/>
  <c r="E199"/>
  <c r="H199"/>
  <c r="I199"/>
  <c r="B199"/>
  <c r="C199" s="1"/>
  <c r="K198"/>
  <c r="N199"/>
  <c r="P199" s="1"/>
  <c r="A200" s="1"/>
  <c r="I200" s="1"/>
  <c r="J211"/>
  <c r="K211"/>
  <c r="J198"/>
  <c r="L198" s="1"/>
  <c r="O200"/>
  <c r="L189"/>
  <c r="H200" i="35"/>
  <c r="N200"/>
  <c r="E200"/>
  <c r="D200"/>
  <c r="B200"/>
  <c r="C200" s="1"/>
  <c r="O200"/>
  <c r="J199"/>
  <c r="L199" s="1"/>
  <c r="G199"/>
  <c r="F202" i="29"/>
  <c r="J202" s="1"/>
  <c r="P202"/>
  <c r="A203" s="1"/>
  <c r="E203" s="1"/>
  <c r="K201"/>
  <c r="L201" s="1"/>
  <c r="G201"/>
  <c r="L200" i="30"/>
  <c r="P201"/>
  <c r="A202" s="1"/>
  <c r="N202" s="1"/>
  <c r="F201"/>
  <c r="F199" i="34" l="1"/>
  <c r="G199" s="1"/>
  <c r="H200"/>
  <c r="N200"/>
  <c r="P200" s="1"/>
  <c r="A201" s="1"/>
  <c r="D201" s="1"/>
  <c r="B200"/>
  <c r="C200" s="1"/>
  <c r="E200"/>
  <c r="D200"/>
  <c r="L211"/>
  <c r="P200" i="35"/>
  <c r="A201" s="1"/>
  <c r="D201" s="1"/>
  <c r="F200"/>
  <c r="J200" s="1"/>
  <c r="K202" i="29"/>
  <c r="L202" s="1"/>
  <c r="G202"/>
  <c r="O203"/>
  <c r="N203"/>
  <c r="H203"/>
  <c r="B203"/>
  <c r="C203" s="1"/>
  <c r="D203"/>
  <c r="I203"/>
  <c r="E202" i="30"/>
  <c r="I202"/>
  <c r="B202"/>
  <c r="C202" s="1"/>
  <c r="H202"/>
  <c r="D202"/>
  <c r="O202"/>
  <c r="P202" s="1"/>
  <c r="A203" s="1"/>
  <c r="B203" s="1"/>
  <c r="C203" s="1"/>
  <c r="G201"/>
  <c r="K201"/>
  <c r="J201"/>
  <c r="J199" i="34" l="1"/>
  <c r="K199"/>
  <c r="F200"/>
  <c r="J200" s="1"/>
  <c r="E201"/>
  <c r="O201"/>
  <c r="B201"/>
  <c r="C201" s="1"/>
  <c r="I201"/>
  <c r="N201"/>
  <c r="H201"/>
  <c r="N201" i="35"/>
  <c r="E201"/>
  <c r="H201"/>
  <c r="B201"/>
  <c r="C201" s="1"/>
  <c r="O201"/>
  <c r="I201"/>
  <c r="G200"/>
  <c r="K200"/>
  <c r="L200" s="1"/>
  <c r="F203" i="29"/>
  <c r="K203" s="1"/>
  <c r="P203"/>
  <c r="A204" s="1"/>
  <c r="N204" s="1"/>
  <c r="F202" i="30"/>
  <c r="G202" s="1"/>
  <c r="H203"/>
  <c r="N203"/>
  <c r="O203"/>
  <c r="D203"/>
  <c r="I203"/>
  <c r="E203"/>
  <c r="L201"/>
  <c r="L199" i="34" l="1"/>
  <c r="K200"/>
  <c r="L200" s="1"/>
  <c r="G200"/>
  <c r="F201"/>
  <c r="J201" s="1"/>
  <c r="P201"/>
  <c r="A202" s="1"/>
  <c r="H202" s="1"/>
  <c r="F201" i="35"/>
  <c r="G201" s="1"/>
  <c r="P201"/>
  <c r="A202" s="1"/>
  <c r="B202" s="1"/>
  <c r="C202" s="1"/>
  <c r="G203" i="29"/>
  <c r="J203"/>
  <c r="L203" s="1"/>
  <c r="H204"/>
  <c r="D204"/>
  <c r="E204"/>
  <c r="B204"/>
  <c r="C204" s="1"/>
  <c r="O204"/>
  <c r="P204" s="1"/>
  <c r="A205" s="1"/>
  <c r="B205" s="1"/>
  <c r="C205" s="1"/>
  <c r="I204"/>
  <c r="K202" i="30"/>
  <c r="J202"/>
  <c r="F203"/>
  <c r="K203" s="1"/>
  <c r="P203"/>
  <c r="A204" s="1"/>
  <c r="D204" s="1"/>
  <c r="G201" i="34" l="1"/>
  <c r="K201"/>
  <c r="L201" s="1"/>
  <c r="D202"/>
  <c r="N202"/>
  <c r="P202" s="1"/>
  <c r="A203" s="1"/>
  <c r="O202"/>
  <c r="E202"/>
  <c r="I202"/>
  <c r="B202"/>
  <c r="C202" s="1"/>
  <c r="J201" i="35"/>
  <c r="N202"/>
  <c r="K201"/>
  <c r="D202"/>
  <c r="H202"/>
  <c r="E202"/>
  <c r="I202"/>
  <c r="O202"/>
  <c r="F204" i="29"/>
  <c r="J204" s="1"/>
  <c r="I205"/>
  <c r="H205"/>
  <c r="N205"/>
  <c r="D205"/>
  <c r="O205"/>
  <c r="E205"/>
  <c r="L202" i="30"/>
  <c r="J203"/>
  <c r="L203" s="1"/>
  <c r="G203"/>
  <c r="E204"/>
  <c r="O204"/>
  <c r="I204"/>
  <c r="B204"/>
  <c r="C204" s="1"/>
  <c r="H204"/>
  <c r="N204"/>
  <c r="F202" i="34" l="1"/>
  <c r="J202" s="1"/>
  <c r="H203"/>
  <c r="B203"/>
  <c r="C203" s="1"/>
  <c r="D203"/>
  <c r="N203"/>
  <c r="I203"/>
  <c r="E203"/>
  <c r="O203"/>
  <c r="F202" i="35"/>
  <c r="J202" s="1"/>
  <c r="L201"/>
  <c r="P202"/>
  <c r="A203" s="1"/>
  <c r="K204" i="29"/>
  <c r="L204" s="1"/>
  <c r="P205"/>
  <c r="A206" s="1"/>
  <c r="E206" s="1"/>
  <c r="G204"/>
  <c r="F205"/>
  <c r="K205" s="1"/>
  <c r="P204" i="30"/>
  <c r="A205" s="1"/>
  <c r="N205" s="1"/>
  <c r="F204"/>
  <c r="K204" s="1"/>
  <c r="K202" i="34" l="1"/>
  <c r="L202" s="1"/>
  <c r="G202"/>
  <c r="F203"/>
  <c r="G203" s="1"/>
  <c r="P203"/>
  <c r="A204" s="1"/>
  <c r="K202" i="35"/>
  <c r="L202" s="1"/>
  <c r="G202"/>
  <c r="O203"/>
  <c r="I203"/>
  <c r="E203"/>
  <c r="N203"/>
  <c r="B203"/>
  <c r="C203" s="1"/>
  <c r="H203"/>
  <c r="D203"/>
  <c r="D206" i="29"/>
  <c r="O206"/>
  <c r="B206"/>
  <c r="C206" s="1"/>
  <c r="I206"/>
  <c r="N206"/>
  <c r="H206"/>
  <c r="J205"/>
  <c r="L205" s="1"/>
  <c r="G205"/>
  <c r="B205" i="30"/>
  <c r="C205" s="1"/>
  <c r="H205"/>
  <c r="I205"/>
  <c r="O205"/>
  <c r="P205" s="1"/>
  <c r="A206" s="1"/>
  <c r="D206" s="1"/>
  <c r="E205"/>
  <c r="D205"/>
  <c r="G204"/>
  <c r="J204"/>
  <c r="L204" s="1"/>
  <c r="K203" i="34" l="1"/>
  <c r="J203"/>
  <c r="I204"/>
  <c r="D204"/>
  <c r="B204"/>
  <c r="C204" s="1"/>
  <c r="N204"/>
  <c r="H204"/>
  <c r="E204"/>
  <c r="O204"/>
  <c r="P203" i="35"/>
  <c r="A204" s="1"/>
  <c r="F203"/>
  <c r="P206" i="29"/>
  <c r="A207" s="1"/>
  <c r="N207" s="1"/>
  <c r="F206"/>
  <c r="J206" s="1"/>
  <c r="F205" i="30"/>
  <c r="K205" s="1"/>
  <c r="N206"/>
  <c r="H206"/>
  <c r="E206"/>
  <c r="B206"/>
  <c r="C206" s="1"/>
  <c r="I206"/>
  <c r="O206"/>
  <c r="L203" i="34" l="1"/>
  <c r="F204"/>
  <c r="P204"/>
  <c r="A205" s="1"/>
  <c r="H204" i="35"/>
  <c r="O204"/>
  <c r="I204"/>
  <c r="D204"/>
  <c r="N204"/>
  <c r="E204"/>
  <c r="B204"/>
  <c r="C204" s="1"/>
  <c r="G203"/>
  <c r="J203"/>
  <c r="K203"/>
  <c r="D207" i="29"/>
  <c r="H207"/>
  <c r="I207"/>
  <c r="E207"/>
  <c r="B207"/>
  <c r="C207" s="1"/>
  <c r="O207"/>
  <c r="P207" s="1"/>
  <c r="A208" s="1"/>
  <c r="F195" s="1"/>
  <c r="A212" s="1"/>
  <c r="A213" s="1"/>
  <c r="B213" s="1"/>
  <c r="C213" s="1"/>
  <c r="K206"/>
  <c r="L206" s="1"/>
  <c r="G206"/>
  <c r="G205" i="30"/>
  <c r="J205"/>
  <c r="L205" s="1"/>
  <c r="P206"/>
  <c r="A207" s="1"/>
  <c r="E207" s="1"/>
  <c r="F206"/>
  <c r="J206" s="1"/>
  <c r="J204" i="34" l="1"/>
  <c r="G204"/>
  <c r="D205"/>
  <c r="N205"/>
  <c r="I205"/>
  <c r="O205"/>
  <c r="E205"/>
  <c r="H205"/>
  <c r="B205"/>
  <c r="C205" s="1"/>
  <c r="K204"/>
  <c r="L203" i="35"/>
  <c r="P204"/>
  <c r="A205" s="1"/>
  <c r="F204"/>
  <c r="F207" i="29"/>
  <c r="J207" s="1"/>
  <c r="E208"/>
  <c r="D212"/>
  <c r="D213"/>
  <c r="B208"/>
  <c r="C208" s="1"/>
  <c r="I213"/>
  <c r="U47" s="1"/>
  <c r="E213"/>
  <c r="H208"/>
  <c r="H219" s="1"/>
  <c r="H213"/>
  <c r="T47" s="1"/>
  <c r="B212"/>
  <c r="C212" s="1"/>
  <c r="N208"/>
  <c r="AI36" s="1"/>
  <c r="O208"/>
  <c r="E212"/>
  <c r="A214"/>
  <c r="H214" s="1"/>
  <c r="T48" s="1"/>
  <c r="D208"/>
  <c r="I208"/>
  <c r="I219" s="1"/>
  <c r="H212"/>
  <c r="T46" s="1"/>
  <c r="I212"/>
  <c r="U46" s="1"/>
  <c r="H207" i="30"/>
  <c r="B207"/>
  <c r="C207" s="1"/>
  <c r="N207"/>
  <c r="O207"/>
  <c r="I207"/>
  <c r="D207"/>
  <c r="K206"/>
  <c r="L206" s="1"/>
  <c r="G206"/>
  <c r="F205" i="34" l="1"/>
  <c r="G205" s="1"/>
  <c r="L204"/>
  <c r="P205"/>
  <c r="A206" s="1"/>
  <c r="E214" i="29"/>
  <c r="D205" i="35"/>
  <c r="H205"/>
  <c r="N205"/>
  <c r="O205"/>
  <c r="E205"/>
  <c r="I205"/>
  <c r="B205"/>
  <c r="C205" s="1"/>
  <c r="J204"/>
  <c r="G204"/>
  <c r="K204"/>
  <c r="F213" i="29"/>
  <c r="K213" s="1"/>
  <c r="B214"/>
  <c r="C214" s="1"/>
  <c r="F212"/>
  <c r="K212" s="1"/>
  <c r="F208"/>
  <c r="K208" s="1"/>
  <c r="K219" s="1"/>
  <c r="G207"/>
  <c r="A215"/>
  <c r="I215" s="1"/>
  <c r="U49" s="1"/>
  <c r="P208"/>
  <c r="D214"/>
  <c r="K207"/>
  <c r="L207" s="1"/>
  <c r="I214"/>
  <c r="U48" s="1"/>
  <c r="P207" i="30"/>
  <c r="A208" s="1"/>
  <c r="E208" s="1"/>
  <c r="F207"/>
  <c r="K205" i="34" l="1"/>
  <c r="J205"/>
  <c r="O206"/>
  <c r="I206"/>
  <c r="N206"/>
  <c r="B206"/>
  <c r="C206" s="1"/>
  <c r="E206"/>
  <c r="H206"/>
  <c r="D206"/>
  <c r="B215" i="29"/>
  <c r="C215" s="1"/>
  <c r="P205" i="35"/>
  <c r="A206" s="1"/>
  <c r="I206" s="1"/>
  <c r="J213" i="29"/>
  <c r="L213" s="1"/>
  <c r="G213"/>
  <c r="L204" i="35"/>
  <c r="F205"/>
  <c r="D215" i="29"/>
  <c r="A216"/>
  <c r="B216" s="1"/>
  <c r="C216" s="1"/>
  <c r="F214"/>
  <c r="G214" s="1"/>
  <c r="J212"/>
  <c r="L212" s="1"/>
  <c r="G208"/>
  <c r="H215"/>
  <c r="T49" s="1"/>
  <c r="G212"/>
  <c r="E215"/>
  <c r="J208"/>
  <c r="L208" s="1"/>
  <c r="F195" i="30"/>
  <c r="A212" s="1"/>
  <c r="I212" s="1"/>
  <c r="U46" s="1"/>
  <c r="I208"/>
  <c r="I219" s="1"/>
  <c r="O208"/>
  <c r="H208"/>
  <c r="H219" s="1"/>
  <c r="N208"/>
  <c r="AI36" s="1"/>
  <c r="D208"/>
  <c r="B208"/>
  <c r="C208" s="1"/>
  <c r="K207"/>
  <c r="J207"/>
  <c r="G207"/>
  <c r="L205" i="34" l="1"/>
  <c r="F206"/>
  <c r="G206" s="1"/>
  <c r="P206"/>
  <c r="A207" s="1"/>
  <c r="N207" s="1"/>
  <c r="J214" i="29"/>
  <c r="B206" i="35"/>
  <c r="C206" s="1"/>
  <c r="D206"/>
  <c r="N206"/>
  <c r="H206"/>
  <c r="O206"/>
  <c r="E206"/>
  <c r="G205"/>
  <c r="K205"/>
  <c r="J205"/>
  <c r="J219" i="29"/>
  <c r="E222" s="1"/>
  <c r="F222" s="1"/>
  <c r="F215"/>
  <c r="K215" s="1"/>
  <c r="H216"/>
  <c r="T50" s="1"/>
  <c r="D216"/>
  <c r="I216"/>
  <c r="U50" s="1"/>
  <c r="E216"/>
  <c r="K214"/>
  <c r="L214" s="1"/>
  <c r="F208" i="30"/>
  <c r="J208" s="1"/>
  <c r="J219" s="1"/>
  <c r="A213"/>
  <c r="A214" s="1"/>
  <c r="H212"/>
  <c r="T46" s="1"/>
  <c r="E212"/>
  <c r="D212"/>
  <c r="B212"/>
  <c r="C212" s="1"/>
  <c r="P208"/>
  <c r="L207"/>
  <c r="K206" i="34" l="1"/>
  <c r="J206"/>
  <c r="I207"/>
  <c r="B207"/>
  <c r="D207"/>
  <c r="O207"/>
  <c r="P207" s="1"/>
  <c r="A208" s="1"/>
  <c r="D208" s="1"/>
  <c r="H207"/>
  <c r="E207"/>
  <c r="F206" i="35"/>
  <c r="K206" s="1"/>
  <c r="P206"/>
  <c r="A207" s="1"/>
  <c r="D207" s="1"/>
  <c r="L205"/>
  <c r="F216" i="29"/>
  <c r="J216" s="1"/>
  <c r="G222"/>
  <c r="I222" s="1"/>
  <c r="A227"/>
  <c r="B227" s="1"/>
  <c r="C227" s="1"/>
  <c r="J222"/>
  <c r="D222"/>
  <c r="K222" s="1"/>
  <c r="J215"/>
  <c r="L215" s="1"/>
  <c r="G215"/>
  <c r="H222"/>
  <c r="K208" i="30"/>
  <c r="K219" s="1"/>
  <c r="E222" s="1"/>
  <c r="H222" s="1"/>
  <c r="G208"/>
  <c r="H213"/>
  <c r="T47" s="1"/>
  <c r="I213"/>
  <c r="U47" s="1"/>
  <c r="B213"/>
  <c r="C213" s="1"/>
  <c r="D213"/>
  <c r="E213"/>
  <c r="F212"/>
  <c r="J212" s="1"/>
  <c r="E214"/>
  <c r="A215"/>
  <c r="D214"/>
  <c r="H214"/>
  <c r="T48" s="1"/>
  <c r="B214"/>
  <c r="C214" s="1"/>
  <c r="I214"/>
  <c r="U48" s="1"/>
  <c r="L206" i="34" l="1"/>
  <c r="C207"/>
  <c r="F207" s="1"/>
  <c r="I208"/>
  <c r="I219" s="1"/>
  <c r="N208"/>
  <c r="AI36" s="1"/>
  <c r="B208"/>
  <c r="C208" s="1"/>
  <c r="O208"/>
  <c r="F195"/>
  <c r="A212" s="1"/>
  <c r="H208"/>
  <c r="H219" s="1"/>
  <c r="E208"/>
  <c r="D212"/>
  <c r="H212"/>
  <c r="T46" s="1"/>
  <c r="A213"/>
  <c r="I212"/>
  <c r="U46" s="1"/>
  <c r="B212"/>
  <c r="C212" s="1"/>
  <c r="E212"/>
  <c r="K216" i="29"/>
  <c r="L216" s="1"/>
  <c r="J206" i="35"/>
  <c r="L206" s="1"/>
  <c r="G206"/>
  <c r="N207"/>
  <c r="I207"/>
  <c r="H207"/>
  <c r="O207"/>
  <c r="B207"/>
  <c r="C207" s="1"/>
  <c r="E207"/>
  <c r="G216" i="29"/>
  <c r="D227"/>
  <c r="E227"/>
  <c r="I227"/>
  <c r="U51" s="1"/>
  <c r="A228"/>
  <c r="B228" s="1"/>
  <c r="C228" s="1"/>
  <c r="H227"/>
  <c r="T51" s="1"/>
  <c r="D222" i="30"/>
  <c r="K222" s="1"/>
  <c r="L208"/>
  <c r="F213"/>
  <c r="J213" s="1"/>
  <c r="G212"/>
  <c r="K212"/>
  <c r="L212" s="1"/>
  <c r="A225"/>
  <c r="E225" s="1"/>
  <c r="J222"/>
  <c r="G222"/>
  <c r="I222" s="1"/>
  <c r="A238"/>
  <c r="E215"/>
  <c r="B215"/>
  <c r="C215" s="1"/>
  <c r="I215"/>
  <c r="U49" s="1"/>
  <c r="D215"/>
  <c r="A216"/>
  <c r="H215"/>
  <c r="T49" s="1"/>
  <c r="F214"/>
  <c r="F208" i="34" l="1"/>
  <c r="K208" s="1"/>
  <c r="K219" s="1"/>
  <c r="G207"/>
  <c r="K207"/>
  <c r="J207"/>
  <c r="P208"/>
  <c r="B213"/>
  <c r="C213" s="1"/>
  <c r="D213"/>
  <c r="E213"/>
  <c r="I213"/>
  <c r="U47" s="1"/>
  <c r="A214"/>
  <c r="H213"/>
  <c r="T47" s="1"/>
  <c r="F212"/>
  <c r="G212" s="1"/>
  <c r="P207" i="35"/>
  <c r="A208" s="1"/>
  <c r="E208" s="1"/>
  <c r="F207"/>
  <c r="K207" s="1"/>
  <c r="D228" i="29"/>
  <c r="F227"/>
  <c r="G227" s="1"/>
  <c r="A229"/>
  <c r="D229" s="1"/>
  <c r="I228"/>
  <c r="U52" s="1"/>
  <c r="H228"/>
  <c r="T52" s="1"/>
  <c r="E228"/>
  <c r="K227"/>
  <c r="J227"/>
  <c r="G213" i="30"/>
  <c r="K213"/>
  <c r="L213" s="1"/>
  <c r="I238"/>
  <c r="U51" s="1"/>
  <c r="O225"/>
  <c r="N225"/>
  <c r="E238"/>
  <c r="D238"/>
  <c r="I225"/>
  <c r="H238"/>
  <c r="T51" s="1"/>
  <c r="B225"/>
  <c r="C225" s="1"/>
  <c r="D225"/>
  <c r="H225"/>
  <c r="B238"/>
  <c r="C238" s="1"/>
  <c r="F215"/>
  <c r="G215" s="1"/>
  <c r="H216"/>
  <c r="T50" s="1"/>
  <c r="D216"/>
  <c r="B216"/>
  <c r="C216" s="1"/>
  <c r="I216"/>
  <c r="U50" s="1"/>
  <c r="E216"/>
  <c r="G214"/>
  <c r="J214"/>
  <c r="K214"/>
  <c r="G208" i="34" l="1"/>
  <c r="J208"/>
  <c r="J219" s="1"/>
  <c r="L207"/>
  <c r="F213"/>
  <c r="K212"/>
  <c r="J212"/>
  <c r="D214"/>
  <c r="H214"/>
  <c r="T48" s="1"/>
  <c r="E214"/>
  <c r="A215"/>
  <c r="I214"/>
  <c r="U48" s="1"/>
  <c r="B214"/>
  <c r="C214" s="1"/>
  <c r="F195" i="35"/>
  <c r="A212" s="1"/>
  <c r="A213" s="1"/>
  <c r="A214" s="1"/>
  <c r="B214" s="1"/>
  <c r="C214" s="1"/>
  <c r="I208"/>
  <c r="I219" s="1"/>
  <c r="N208"/>
  <c r="AI36" s="1"/>
  <c r="H208"/>
  <c r="H219" s="1"/>
  <c r="O208"/>
  <c r="D208"/>
  <c r="B208"/>
  <c r="J207"/>
  <c r="L207" s="1"/>
  <c r="G207"/>
  <c r="F228" i="29"/>
  <c r="G228" s="1"/>
  <c r="E229"/>
  <c r="H229"/>
  <c r="T53" s="1"/>
  <c r="B229"/>
  <c r="C229" s="1"/>
  <c r="I229"/>
  <c r="U53" s="1"/>
  <c r="A230"/>
  <c r="E230" s="1"/>
  <c r="L227"/>
  <c r="F238" i="30"/>
  <c r="G238" s="1"/>
  <c r="F225"/>
  <c r="P225"/>
  <c r="A226" s="1"/>
  <c r="I226" s="1"/>
  <c r="K215"/>
  <c r="J215"/>
  <c r="F216"/>
  <c r="K216" s="1"/>
  <c r="L214"/>
  <c r="L208" i="34" l="1"/>
  <c r="G213"/>
  <c r="J213"/>
  <c r="K213"/>
  <c r="F214"/>
  <c r="G214" s="1"/>
  <c r="A216"/>
  <c r="D215"/>
  <c r="I215"/>
  <c r="U49" s="1"/>
  <c r="E215"/>
  <c r="H215"/>
  <c r="T49" s="1"/>
  <c r="B215"/>
  <c r="C215" s="1"/>
  <c r="D222"/>
  <c r="E222"/>
  <c r="L212"/>
  <c r="K228" i="29"/>
  <c r="H212" i="35"/>
  <c r="T46" s="1"/>
  <c r="E213"/>
  <c r="D213"/>
  <c r="D214"/>
  <c r="H214"/>
  <c r="T48" s="1"/>
  <c r="A215"/>
  <c r="D215" s="1"/>
  <c r="H213"/>
  <c r="T47" s="1"/>
  <c r="I212"/>
  <c r="U46" s="1"/>
  <c r="E212"/>
  <c r="D212"/>
  <c r="I214"/>
  <c r="U48" s="1"/>
  <c r="B212"/>
  <c r="C212" s="1"/>
  <c r="E214"/>
  <c r="B213"/>
  <c r="C213" s="1"/>
  <c r="I213"/>
  <c r="U47" s="1"/>
  <c r="P208"/>
  <c r="C208"/>
  <c r="F208" s="1"/>
  <c r="J228" i="29"/>
  <c r="I230"/>
  <c r="U54" s="1"/>
  <c r="F229"/>
  <c r="G229" s="1"/>
  <c r="D230"/>
  <c r="A231"/>
  <c r="A232" s="1"/>
  <c r="H232" s="1"/>
  <c r="T56" s="1"/>
  <c r="B230"/>
  <c r="C230" s="1"/>
  <c r="H230"/>
  <c r="T54" s="1"/>
  <c r="J238" i="30"/>
  <c r="K238"/>
  <c r="G225"/>
  <c r="K225"/>
  <c r="J225"/>
  <c r="B226"/>
  <c r="C226" s="1"/>
  <c r="O226"/>
  <c r="D226"/>
  <c r="H226"/>
  <c r="E226"/>
  <c r="N226"/>
  <c r="L215"/>
  <c r="G216"/>
  <c r="J216"/>
  <c r="L216" s="1"/>
  <c r="L213" i="34" l="1"/>
  <c r="J214"/>
  <c r="K214"/>
  <c r="K222"/>
  <c r="I216"/>
  <c r="U50" s="1"/>
  <c r="E216"/>
  <c r="H216"/>
  <c r="T50" s="1"/>
  <c r="D216"/>
  <c r="B216"/>
  <c r="C216" s="1"/>
  <c r="G222"/>
  <c r="I222" s="1"/>
  <c r="A227"/>
  <c r="F222"/>
  <c r="J222"/>
  <c r="H222"/>
  <c r="F215"/>
  <c r="G215" s="1"/>
  <c r="I215" i="35"/>
  <c r="U49" s="1"/>
  <c r="F214"/>
  <c r="G214" s="1"/>
  <c r="E215"/>
  <c r="L228" i="29"/>
  <c r="F213" i="35"/>
  <c r="G213" s="1"/>
  <c r="H215"/>
  <c r="T49" s="1"/>
  <c r="B215"/>
  <c r="C215" s="1"/>
  <c r="F212"/>
  <c r="A216"/>
  <c r="D216" s="1"/>
  <c r="G208"/>
  <c r="J208"/>
  <c r="K208"/>
  <c r="K219" s="1"/>
  <c r="F230" i="29"/>
  <c r="G230" s="1"/>
  <c r="B231"/>
  <c r="C231" s="1"/>
  <c r="K229"/>
  <c r="J229"/>
  <c r="D232"/>
  <c r="E231"/>
  <c r="I232"/>
  <c r="U56" s="1"/>
  <c r="A233"/>
  <c r="H233" s="1"/>
  <c r="T57" s="1"/>
  <c r="E232"/>
  <c r="I231"/>
  <c r="U55" s="1"/>
  <c r="B232"/>
  <c r="C232" s="1"/>
  <c r="H231"/>
  <c r="T55" s="1"/>
  <c r="D231"/>
  <c r="L238" i="30"/>
  <c r="L225"/>
  <c r="F226"/>
  <c r="K226" s="1"/>
  <c r="P226"/>
  <c r="A227" s="1"/>
  <c r="E227" s="1"/>
  <c r="L214" i="34" l="1"/>
  <c r="F215" i="35"/>
  <c r="K215" s="1"/>
  <c r="K215" i="34"/>
  <c r="J215"/>
  <c r="I227"/>
  <c r="U51" s="1"/>
  <c r="H227"/>
  <c r="T51" s="1"/>
  <c r="E227"/>
  <c r="D227"/>
  <c r="B227"/>
  <c r="C227" s="1"/>
  <c r="A228"/>
  <c r="I228" s="1"/>
  <c r="U52" s="1"/>
  <c r="F216"/>
  <c r="K214" i="35"/>
  <c r="J214"/>
  <c r="K213"/>
  <c r="J213"/>
  <c r="H216"/>
  <c r="T50" s="1"/>
  <c r="E216"/>
  <c r="K212"/>
  <c r="G212"/>
  <c r="J212"/>
  <c r="B216"/>
  <c r="C216" s="1"/>
  <c r="I216"/>
  <c r="U50" s="1"/>
  <c r="L208"/>
  <c r="J219"/>
  <c r="J215"/>
  <c r="G215"/>
  <c r="B233" i="29"/>
  <c r="C233" s="1"/>
  <c r="L229"/>
  <c r="F231"/>
  <c r="G231" s="1"/>
  <c r="J230"/>
  <c r="L230" s="1"/>
  <c r="K230"/>
  <c r="F232"/>
  <c r="J232" s="1"/>
  <c r="A234"/>
  <c r="A235" s="1"/>
  <c r="D233"/>
  <c r="I233"/>
  <c r="U57" s="1"/>
  <c r="E233"/>
  <c r="O227" i="30"/>
  <c r="G226"/>
  <c r="J226"/>
  <c r="L226" s="1"/>
  <c r="D227"/>
  <c r="I227"/>
  <c r="H227"/>
  <c r="N227"/>
  <c r="B227"/>
  <c r="C227" s="1"/>
  <c r="L215" i="34" l="1"/>
  <c r="H228"/>
  <c r="T52" s="1"/>
  <c r="F227"/>
  <c r="D228"/>
  <c r="B228"/>
  <c r="C228" s="1"/>
  <c r="E228"/>
  <c r="A229"/>
  <c r="G216"/>
  <c r="K216"/>
  <c r="J216"/>
  <c r="L214" i="35"/>
  <c r="F216"/>
  <c r="G216" s="1"/>
  <c r="L213"/>
  <c r="L212"/>
  <c r="E222"/>
  <c r="D222"/>
  <c r="L215"/>
  <c r="K232" i="29"/>
  <c r="L232" s="1"/>
  <c r="K231"/>
  <c r="J231"/>
  <c r="F233"/>
  <c r="K233" s="1"/>
  <c r="I234"/>
  <c r="U58" s="1"/>
  <c r="G232"/>
  <c r="D234"/>
  <c r="H234"/>
  <c r="T58" s="1"/>
  <c r="B234"/>
  <c r="C234" s="1"/>
  <c r="E234"/>
  <c r="I235"/>
  <c r="U59" s="1"/>
  <c r="E235"/>
  <c r="D235"/>
  <c r="A236"/>
  <c r="H235"/>
  <c r="T59" s="1"/>
  <c r="B235"/>
  <c r="C235" s="1"/>
  <c r="P227" i="30"/>
  <c r="A228" s="1"/>
  <c r="I228" s="1"/>
  <c r="F227"/>
  <c r="J227" s="1"/>
  <c r="L216" i="34" l="1"/>
  <c r="G227"/>
  <c r="J227"/>
  <c r="L227" s="1"/>
  <c r="K227"/>
  <c r="F228"/>
  <c r="G228" s="1"/>
  <c r="E229"/>
  <c r="D229"/>
  <c r="A230"/>
  <c r="B229"/>
  <c r="C229" s="1"/>
  <c r="H229"/>
  <c r="T53" s="1"/>
  <c r="I229"/>
  <c r="U53" s="1"/>
  <c r="K216" i="35"/>
  <c r="J216"/>
  <c r="H222"/>
  <c r="A225"/>
  <c r="A238"/>
  <c r="G222"/>
  <c r="I222" s="1"/>
  <c r="J222"/>
  <c r="K222"/>
  <c r="L231" i="29"/>
  <c r="J233"/>
  <c r="L233" s="1"/>
  <c r="G233"/>
  <c r="F234"/>
  <c r="G234" s="1"/>
  <c r="I236"/>
  <c r="U60" s="1"/>
  <c r="D236"/>
  <c r="A237"/>
  <c r="E236"/>
  <c r="B236"/>
  <c r="H236"/>
  <c r="T60" s="1"/>
  <c r="F235"/>
  <c r="G227" i="30"/>
  <c r="K227"/>
  <c r="L227" s="1"/>
  <c r="N228"/>
  <c r="H228"/>
  <c r="O228"/>
  <c r="B228"/>
  <c r="C228" s="1"/>
  <c r="D228"/>
  <c r="E228"/>
  <c r="K228" i="34" l="1"/>
  <c r="J228"/>
  <c r="B230"/>
  <c r="C230" s="1"/>
  <c r="E230"/>
  <c r="A231"/>
  <c r="D230"/>
  <c r="I230"/>
  <c r="U54" s="1"/>
  <c r="H230"/>
  <c r="T54" s="1"/>
  <c r="F229"/>
  <c r="L216" i="35"/>
  <c r="K234" i="29"/>
  <c r="B225" i="35"/>
  <c r="E225"/>
  <c r="D225"/>
  <c r="D238"/>
  <c r="E238"/>
  <c r="B238"/>
  <c r="H238"/>
  <c r="T51" s="1"/>
  <c r="O225"/>
  <c r="N225"/>
  <c r="H225"/>
  <c r="I225"/>
  <c r="I238"/>
  <c r="U51" s="1"/>
  <c r="J234" i="29"/>
  <c r="P228" i="30"/>
  <c r="A229" s="1"/>
  <c r="B229" s="1"/>
  <c r="C229" s="1"/>
  <c r="H237" i="29"/>
  <c r="T61" s="1"/>
  <c r="D237"/>
  <c r="I237"/>
  <c r="U61" s="1"/>
  <c r="B237"/>
  <c r="C237" s="1"/>
  <c r="E237"/>
  <c r="A238"/>
  <c r="C236"/>
  <c r="F236" s="1"/>
  <c r="G236" s="1"/>
  <c r="J235"/>
  <c r="K235"/>
  <c r="G235"/>
  <c r="F228" i="30"/>
  <c r="G228" s="1"/>
  <c r="F230" i="34" l="1"/>
  <c r="K230" s="1"/>
  <c r="L228"/>
  <c r="G229"/>
  <c r="J229"/>
  <c r="K229"/>
  <c r="A232"/>
  <c r="D231"/>
  <c r="B231"/>
  <c r="C231" s="1"/>
  <c r="E231"/>
  <c r="I231"/>
  <c r="U55" s="1"/>
  <c r="H231"/>
  <c r="T55" s="1"/>
  <c r="P225" i="35"/>
  <c r="A226" s="1"/>
  <c r="O226" s="1"/>
  <c r="L234" i="29"/>
  <c r="C225" i="35"/>
  <c r="F225" s="1"/>
  <c r="G225" s="1"/>
  <c r="C238"/>
  <c r="F238" s="1"/>
  <c r="G238" s="1"/>
  <c r="E229" i="30"/>
  <c r="D229"/>
  <c r="H229"/>
  <c r="I229"/>
  <c r="O229"/>
  <c r="N229"/>
  <c r="K228"/>
  <c r="L235" i="29"/>
  <c r="J236"/>
  <c r="F237"/>
  <c r="G237" s="1"/>
  <c r="D238"/>
  <c r="I238"/>
  <c r="U62" s="1"/>
  <c r="B238"/>
  <c r="C238" s="1"/>
  <c r="E238"/>
  <c r="A239"/>
  <c r="H238"/>
  <c r="T62" s="1"/>
  <c r="K236"/>
  <c r="J228" i="30"/>
  <c r="L229" i="34" l="1"/>
  <c r="G230"/>
  <c r="J230"/>
  <c r="L230" s="1"/>
  <c r="D232"/>
  <c r="H232"/>
  <c r="T56" s="1"/>
  <c r="B232"/>
  <c r="C232" s="1"/>
  <c r="I232"/>
  <c r="U56" s="1"/>
  <c r="A233"/>
  <c r="E232"/>
  <c r="F231"/>
  <c r="N226" i="35"/>
  <c r="P226" s="1"/>
  <c r="A227" s="1"/>
  <c r="E227" s="1"/>
  <c r="I226"/>
  <c r="D226"/>
  <c r="B226"/>
  <c r="C226" s="1"/>
  <c r="E226"/>
  <c r="H226"/>
  <c r="J238"/>
  <c r="K238"/>
  <c r="J225"/>
  <c r="K225"/>
  <c r="P229" i="30"/>
  <c r="A230" s="1"/>
  <c r="H230" s="1"/>
  <c r="F229"/>
  <c r="G229" s="1"/>
  <c r="K237" i="29"/>
  <c r="L228" i="30"/>
  <c r="L236" i="29"/>
  <c r="J237"/>
  <c r="F238"/>
  <c r="B239"/>
  <c r="C239" s="1"/>
  <c r="D239"/>
  <c r="I239"/>
  <c r="U63" s="1"/>
  <c r="E239"/>
  <c r="A240"/>
  <c r="H239"/>
  <c r="T63" s="1"/>
  <c r="F232" i="34" l="1"/>
  <c r="K232" s="1"/>
  <c r="B233"/>
  <c r="C233" s="1"/>
  <c r="D233"/>
  <c r="A234"/>
  <c r="E233"/>
  <c r="H233"/>
  <c r="T57" s="1"/>
  <c r="I233"/>
  <c r="U57" s="1"/>
  <c r="G231"/>
  <c r="K231"/>
  <c r="J231"/>
  <c r="F226" i="35"/>
  <c r="J226" s="1"/>
  <c r="B227"/>
  <c r="C227" s="1"/>
  <c r="N227"/>
  <c r="O227"/>
  <c r="I227"/>
  <c r="H227"/>
  <c r="D227"/>
  <c r="L238"/>
  <c r="L225"/>
  <c r="O230" i="30"/>
  <c r="D230"/>
  <c r="I230"/>
  <c r="E230"/>
  <c r="B230"/>
  <c r="C230" s="1"/>
  <c r="N230"/>
  <c r="J229"/>
  <c r="K229"/>
  <c r="L237" i="29"/>
  <c r="F239"/>
  <c r="K239" s="1"/>
  <c r="J238"/>
  <c r="K238"/>
  <c r="G238"/>
  <c r="I240"/>
  <c r="D240"/>
  <c r="B240"/>
  <c r="C240" s="1"/>
  <c r="A241"/>
  <c r="H240"/>
  <c r="E240"/>
  <c r="L231" i="34" l="1"/>
  <c r="F233"/>
  <c r="G233" s="1"/>
  <c r="J232"/>
  <c r="L232" s="1"/>
  <c r="G232"/>
  <c r="D234"/>
  <c r="A235"/>
  <c r="B234"/>
  <c r="C234" s="1"/>
  <c r="E234"/>
  <c r="I234"/>
  <c r="U58" s="1"/>
  <c r="H234"/>
  <c r="T58" s="1"/>
  <c r="K226" i="35"/>
  <c r="L226" s="1"/>
  <c r="G226"/>
  <c r="P227"/>
  <c r="A228" s="1"/>
  <c r="E228" s="1"/>
  <c r="F227"/>
  <c r="J227" s="1"/>
  <c r="F230" i="30"/>
  <c r="J230" s="1"/>
  <c r="P230"/>
  <c r="A231" s="1"/>
  <c r="B231" s="1"/>
  <c r="C231" s="1"/>
  <c r="L229"/>
  <c r="G239" i="29"/>
  <c r="J239"/>
  <c r="L239" s="1"/>
  <c r="L238"/>
  <c r="F240"/>
  <c r="I241"/>
  <c r="D241"/>
  <c r="A242"/>
  <c r="H241"/>
  <c r="B241"/>
  <c r="C241" s="1"/>
  <c r="E241"/>
  <c r="J233" i="34" l="1"/>
  <c r="K233"/>
  <c r="I235"/>
  <c r="U59" s="1"/>
  <c r="H235"/>
  <c r="T59" s="1"/>
  <c r="D235"/>
  <c r="E235"/>
  <c r="B235"/>
  <c r="C235" s="1"/>
  <c r="A236"/>
  <c r="F234"/>
  <c r="N228" i="35"/>
  <c r="B228"/>
  <c r="C228" s="1"/>
  <c r="H228"/>
  <c r="K227"/>
  <c r="L227" s="1"/>
  <c r="G227"/>
  <c r="O228"/>
  <c r="I228"/>
  <c r="D228"/>
  <c r="K230" i="30"/>
  <c r="L230" s="1"/>
  <c r="G230"/>
  <c r="O231"/>
  <c r="N231"/>
  <c r="E231"/>
  <c r="D231"/>
  <c r="I231"/>
  <c r="H231"/>
  <c r="G240" i="29"/>
  <c r="J240"/>
  <c r="K240"/>
  <c r="A243"/>
  <c r="E242"/>
  <c r="D242"/>
  <c r="H242"/>
  <c r="B242"/>
  <c r="C242" s="1"/>
  <c r="I242"/>
  <c r="F241"/>
  <c r="L233" i="34" l="1"/>
  <c r="F235"/>
  <c r="G235" s="1"/>
  <c r="H236"/>
  <c r="T60" s="1"/>
  <c r="D236"/>
  <c r="E236"/>
  <c r="I236"/>
  <c r="U60" s="1"/>
  <c r="B236"/>
  <c r="C236" s="1"/>
  <c r="A237"/>
  <c r="G234"/>
  <c r="K234"/>
  <c r="J234"/>
  <c r="F228" i="35"/>
  <c r="K228" s="1"/>
  <c r="P228"/>
  <c r="A229" s="1"/>
  <c r="F231" i="30"/>
  <c r="G231" s="1"/>
  <c r="P231"/>
  <c r="A232" s="1"/>
  <c r="O232" s="1"/>
  <c r="L240" i="29"/>
  <c r="H243"/>
  <c r="B243"/>
  <c r="C243" s="1"/>
  <c r="E243"/>
  <c r="A244"/>
  <c r="D243"/>
  <c r="I243"/>
  <c r="G241"/>
  <c r="J241"/>
  <c r="K241"/>
  <c r="F242"/>
  <c r="L234" i="34" l="1"/>
  <c r="F236"/>
  <c r="A238"/>
  <c r="H237"/>
  <c r="T61" s="1"/>
  <c r="D237"/>
  <c r="B237"/>
  <c r="C237" s="1"/>
  <c r="I237"/>
  <c r="U61" s="1"/>
  <c r="E237"/>
  <c r="K235"/>
  <c r="J235"/>
  <c r="G228" i="35"/>
  <c r="J228"/>
  <c r="L228" s="1"/>
  <c r="I229"/>
  <c r="D229"/>
  <c r="E229"/>
  <c r="H229"/>
  <c r="B229"/>
  <c r="C229" s="1"/>
  <c r="O229"/>
  <c r="N229"/>
  <c r="K231" i="30"/>
  <c r="J231"/>
  <c r="I232"/>
  <c r="E232"/>
  <c r="H232"/>
  <c r="B232"/>
  <c r="C232" s="1"/>
  <c r="N232"/>
  <c r="P232" s="1"/>
  <c r="A233" s="1"/>
  <c r="O233" s="1"/>
  <c r="D232"/>
  <c r="L241" i="29"/>
  <c r="F243"/>
  <c r="E244"/>
  <c r="B244"/>
  <c r="C244" s="1"/>
  <c r="D244"/>
  <c r="H244"/>
  <c r="I244"/>
  <c r="A245"/>
  <c r="K242"/>
  <c r="G242"/>
  <c r="J242"/>
  <c r="L235" i="34" l="1"/>
  <c r="G236"/>
  <c r="J236"/>
  <c r="H238"/>
  <c r="T62" s="1"/>
  <c r="E238"/>
  <c r="A239"/>
  <c r="I238"/>
  <c r="U62" s="1"/>
  <c r="B238"/>
  <c r="C238" s="1"/>
  <c r="D238"/>
  <c r="K236"/>
  <c r="F237"/>
  <c r="F229" i="35"/>
  <c r="P229"/>
  <c r="A230" s="1"/>
  <c r="L231" i="30"/>
  <c r="F232"/>
  <c r="J232" s="1"/>
  <c r="B233"/>
  <c r="C233" s="1"/>
  <c r="E233"/>
  <c r="I233"/>
  <c r="H233"/>
  <c r="D233"/>
  <c r="N233"/>
  <c r="P233" s="1"/>
  <c r="A234" s="1"/>
  <c r="B234" s="1"/>
  <c r="C234" s="1"/>
  <c r="F244" i="29"/>
  <c r="G244" s="1"/>
  <c r="G243"/>
  <c r="K243"/>
  <c r="J243"/>
  <c r="A246"/>
  <c r="H245"/>
  <c r="B245"/>
  <c r="C245" s="1"/>
  <c r="E245"/>
  <c r="D245"/>
  <c r="I245"/>
  <c r="L242"/>
  <c r="L236" i="34" l="1"/>
  <c r="G237"/>
  <c r="K237"/>
  <c r="J237"/>
  <c r="I239"/>
  <c r="U63" s="1"/>
  <c r="B239"/>
  <c r="C239" s="1"/>
  <c r="H239"/>
  <c r="T63" s="1"/>
  <c r="A240"/>
  <c r="D239"/>
  <c r="E239"/>
  <c r="F238"/>
  <c r="J229" i="35"/>
  <c r="G229"/>
  <c r="N230"/>
  <c r="D230"/>
  <c r="I230"/>
  <c r="H230"/>
  <c r="E230"/>
  <c r="O230"/>
  <c r="B230"/>
  <c r="C230" s="1"/>
  <c r="K229"/>
  <c r="F233" i="30"/>
  <c r="G233" s="1"/>
  <c r="N234"/>
  <c r="H234"/>
  <c r="E234"/>
  <c r="G232"/>
  <c r="K232"/>
  <c r="L232" s="1"/>
  <c r="O234"/>
  <c r="I234"/>
  <c r="D234"/>
  <c r="L243" i="29"/>
  <c r="J244"/>
  <c r="K244"/>
  <c r="F245"/>
  <c r="D246"/>
  <c r="I246"/>
  <c r="E246"/>
  <c r="H246"/>
  <c r="B246"/>
  <c r="A247"/>
  <c r="L237" i="34" l="1"/>
  <c r="F239"/>
  <c r="G238"/>
  <c r="J238"/>
  <c r="K238"/>
  <c r="H240"/>
  <c r="B240"/>
  <c r="C240" s="1"/>
  <c r="D240"/>
  <c r="I240"/>
  <c r="E240"/>
  <c r="A241"/>
  <c r="F230" i="35"/>
  <c r="G230" s="1"/>
  <c r="L229"/>
  <c r="P230"/>
  <c r="A231" s="1"/>
  <c r="K233" i="30"/>
  <c r="J233"/>
  <c r="P234"/>
  <c r="A235" s="1"/>
  <c r="O235" s="1"/>
  <c r="F234"/>
  <c r="K234" s="1"/>
  <c r="L244" i="29"/>
  <c r="G245"/>
  <c r="J245"/>
  <c r="K245"/>
  <c r="C246"/>
  <c r="F246" s="1"/>
  <c r="G246" s="1"/>
  <c r="B247"/>
  <c r="C247" s="1"/>
  <c r="D247"/>
  <c r="A248"/>
  <c r="E247"/>
  <c r="H247"/>
  <c r="I247"/>
  <c r="L238" i="34" l="1"/>
  <c r="G239"/>
  <c r="K239"/>
  <c r="J239"/>
  <c r="H241"/>
  <c r="D241"/>
  <c r="B241"/>
  <c r="C241" s="1"/>
  <c r="I241"/>
  <c r="A242"/>
  <c r="E241"/>
  <c r="F240"/>
  <c r="J230" i="35"/>
  <c r="K230"/>
  <c r="E231"/>
  <c r="D231"/>
  <c r="N231"/>
  <c r="B231"/>
  <c r="C231" s="1"/>
  <c r="I231"/>
  <c r="H231"/>
  <c r="O231"/>
  <c r="L233" i="30"/>
  <c r="N235"/>
  <c r="AJ36" s="1"/>
  <c r="I235"/>
  <c r="I246" s="1"/>
  <c r="B235"/>
  <c r="C235" s="1"/>
  <c r="E235"/>
  <c r="H235"/>
  <c r="H246" s="1"/>
  <c r="F222"/>
  <c r="A239" s="1"/>
  <c r="D239" s="1"/>
  <c r="D235"/>
  <c r="G234"/>
  <c r="J234"/>
  <c r="L234" s="1"/>
  <c r="F247" i="29"/>
  <c r="G247" s="1"/>
  <c r="L245"/>
  <c r="J246"/>
  <c r="E248"/>
  <c r="D248"/>
  <c r="A249"/>
  <c r="B248"/>
  <c r="H248"/>
  <c r="I248"/>
  <c r="K246"/>
  <c r="L239" i="34" l="1"/>
  <c r="G240"/>
  <c r="J240"/>
  <c r="L240" s="1"/>
  <c r="K240"/>
  <c r="L230" i="35"/>
  <c r="F241" i="34"/>
  <c r="H242"/>
  <c r="B242"/>
  <c r="C242" s="1"/>
  <c r="I242"/>
  <c r="E242"/>
  <c r="D242"/>
  <c r="A243"/>
  <c r="P231" i="35"/>
  <c r="A232" s="1"/>
  <c r="O232" s="1"/>
  <c r="F231"/>
  <c r="E239" i="30"/>
  <c r="A240"/>
  <c r="I240" s="1"/>
  <c r="U53" s="1"/>
  <c r="I239"/>
  <c r="U52" s="1"/>
  <c r="H239"/>
  <c r="T52" s="1"/>
  <c r="B239"/>
  <c r="C239" s="1"/>
  <c r="F235"/>
  <c r="G235" s="1"/>
  <c r="P235"/>
  <c r="J247" i="29"/>
  <c r="K247"/>
  <c r="L246"/>
  <c r="H249"/>
  <c r="I249"/>
  <c r="E249"/>
  <c r="D249"/>
  <c r="B249"/>
  <c r="A250"/>
  <c r="C248"/>
  <c r="F248" s="1"/>
  <c r="G248" s="1"/>
  <c r="I243" i="34" l="1"/>
  <c r="H243"/>
  <c r="A244"/>
  <c r="B243"/>
  <c r="C243" s="1"/>
  <c r="E243"/>
  <c r="D243"/>
  <c r="G241"/>
  <c r="J241"/>
  <c r="K241"/>
  <c r="F242"/>
  <c r="B232" i="35"/>
  <c r="C232" s="1"/>
  <c r="I232"/>
  <c r="H232"/>
  <c r="D232"/>
  <c r="E232"/>
  <c r="N232"/>
  <c r="P232" s="1"/>
  <c r="A233" s="1"/>
  <c r="B233" s="1"/>
  <c r="C233" s="1"/>
  <c r="K231"/>
  <c r="G231"/>
  <c r="J231"/>
  <c r="F239" i="30"/>
  <c r="G239" s="1"/>
  <c r="H240"/>
  <c r="T53" s="1"/>
  <c r="A241"/>
  <c r="D241" s="1"/>
  <c r="E240"/>
  <c r="B240"/>
  <c r="C240" s="1"/>
  <c r="D240"/>
  <c r="K235"/>
  <c r="K246" s="1"/>
  <c r="J235"/>
  <c r="J246" s="1"/>
  <c r="L247" i="29"/>
  <c r="K248"/>
  <c r="C249"/>
  <c r="F249" s="1"/>
  <c r="G249" s="1"/>
  <c r="J248"/>
  <c r="D250"/>
  <c r="I250"/>
  <c r="E250"/>
  <c r="A251"/>
  <c r="B250"/>
  <c r="C250" s="1"/>
  <c r="H250"/>
  <c r="F243" i="34" l="1"/>
  <c r="G243" s="1"/>
  <c r="L241"/>
  <c r="E244"/>
  <c r="A245"/>
  <c r="H244"/>
  <c r="D244"/>
  <c r="B244"/>
  <c r="C244" s="1"/>
  <c r="I244"/>
  <c r="G242"/>
  <c r="K242"/>
  <c r="J242"/>
  <c r="F232" i="35"/>
  <c r="K232" s="1"/>
  <c r="O233"/>
  <c r="H233"/>
  <c r="E233"/>
  <c r="N233"/>
  <c r="D233"/>
  <c r="I233"/>
  <c r="L231"/>
  <c r="J239" i="30"/>
  <c r="K239"/>
  <c r="E241"/>
  <c r="I241"/>
  <c r="U54" s="1"/>
  <c r="H241"/>
  <c r="T54" s="1"/>
  <c r="B241"/>
  <c r="C241" s="1"/>
  <c r="F240"/>
  <c r="J240" s="1"/>
  <c r="A242"/>
  <c r="H242" s="1"/>
  <c r="T55" s="1"/>
  <c r="D249"/>
  <c r="E249"/>
  <c r="J249" s="1"/>
  <c r="L235"/>
  <c r="L248" i="29"/>
  <c r="K249"/>
  <c r="F250"/>
  <c r="K250" s="1"/>
  <c r="E251"/>
  <c r="A252"/>
  <c r="I251"/>
  <c r="H251"/>
  <c r="D251"/>
  <c r="B251"/>
  <c r="C251" s="1"/>
  <c r="J249"/>
  <c r="K243" i="34" l="1"/>
  <c r="J243"/>
  <c r="L242"/>
  <c r="A246"/>
  <c r="D245"/>
  <c r="I245"/>
  <c r="H245"/>
  <c r="B245"/>
  <c r="C245" s="1"/>
  <c r="E245"/>
  <c r="F244"/>
  <c r="G244" s="1"/>
  <c r="G232" i="35"/>
  <c r="J232"/>
  <c r="L232" s="1"/>
  <c r="F233"/>
  <c r="G233" s="1"/>
  <c r="P233"/>
  <c r="A234" s="1"/>
  <c r="H234" s="1"/>
  <c r="L239" i="30"/>
  <c r="B242"/>
  <c r="C242" s="1"/>
  <c r="D242"/>
  <c r="E242"/>
  <c r="I242"/>
  <c r="U55" s="1"/>
  <c r="A243"/>
  <c r="E243" s="1"/>
  <c r="F241"/>
  <c r="J241" s="1"/>
  <c r="K240"/>
  <c r="L240" s="1"/>
  <c r="G240"/>
  <c r="A252"/>
  <c r="D252" s="1"/>
  <c r="K249"/>
  <c r="A265"/>
  <c r="D265" s="1"/>
  <c r="H249"/>
  <c r="G249"/>
  <c r="I249" s="1"/>
  <c r="L249" i="29"/>
  <c r="J250"/>
  <c r="L250" s="1"/>
  <c r="G250"/>
  <c r="E252"/>
  <c r="I252"/>
  <c r="H252"/>
  <c r="D252"/>
  <c r="B252"/>
  <c r="C252" s="1"/>
  <c r="A253"/>
  <c r="F251"/>
  <c r="L243" i="34" l="1"/>
  <c r="K244"/>
  <c r="E246"/>
  <c r="D246"/>
  <c r="A247"/>
  <c r="H246"/>
  <c r="I246"/>
  <c r="B246"/>
  <c r="C246" s="1"/>
  <c r="J244"/>
  <c r="F245"/>
  <c r="G245" s="1"/>
  <c r="K233" i="35"/>
  <c r="J233"/>
  <c r="N234"/>
  <c r="B234"/>
  <c r="C234" s="1"/>
  <c r="I234"/>
  <c r="D234"/>
  <c r="E234"/>
  <c r="O234"/>
  <c r="H243" i="30"/>
  <c r="T56" s="1"/>
  <c r="I243"/>
  <c r="U56" s="1"/>
  <c r="B243"/>
  <c r="C243" s="1"/>
  <c r="D243"/>
  <c r="F242"/>
  <c r="J242" s="1"/>
  <c r="K241"/>
  <c r="L241" s="1"/>
  <c r="G241"/>
  <c r="O252"/>
  <c r="H265"/>
  <c r="T57" s="1"/>
  <c r="B252"/>
  <c r="C252" s="1"/>
  <c r="H252"/>
  <c r="I252"/>
  <c r="E252"/>
  <c r="N252"/>
  <c r="I265"/>
  <c r="U57" s="1"/>
  <c r="B265"/>
  <c r="C265" s="1"/>
  <c r="E265"/>
  <c r="J251" i="29"/>
  <c r="G251"/>
  <c r="F252"/>
  <c r="D253"/>
  <c r="H253"/>
  <c r="I253"/>
  <c r="E253"/>
  <c r="B253"/>
  <c r="C253" s="1"/>
  <c r="A254"/>
  <c r="K251"/>
  <c r="L244" i="34" l="1"/>
  <c r="I247"/>
  <c r="E247"/>
  <c r="D247"/>
  <c r="H247"/>
  <c r="B247"/>
  <c r="C247" s="1"/>
  <c r="A248"/>
  <c r="J245"/>
  <c r="F246"/>
  <c r="G246" s="1"/>
  <c r="K245"/>
  <c r="F234" i="35"/>
  <c r="G234" s="1"/>
  <c r="P234"/>
  <c r="A235" s="1"/>
  <c r="B235" s="1"/>
  <c r="C235" s="1"/>
  <c r="L233"/>
  <c r="F243" i="30"/>
  <c r="K243" s="1"/>
  <c r="G242"/>
  <c r="P252"/>
  <c r="A253" s="1"/>
  <c r="O253" s="1"/>
  <c r="K242"/>
  <c r="L242" s="1"/>
  <c r="F252"/>
  <c r="K252" s="1"/>
  <c r="F265"/>
  <c r="L251" i="29"/>
  <c r="F253"/>
  <c r="K253" s="1"/>
  <c r="B254"/>
  <c r="C254" s="1"/>
  <c r="H254"/>
  <c r="I254"/>
  <c r="A255"/>
  <c r="D254"/>
  <c r="E254"/>
  <c r="K252"/>
  <c r="G252"/>
  <c r="J252"/>
  <c r="L245" i="34" l="1"/>
  <c r="F247"/>
  <c r="G247" s="1"/>
  <c r="D248"/>
  <c r="E248"/>
  <c r="A249"/>
  <c r="B248"/>
  <c r="C248" s="1"/>
  <c r="H248"/>
  <c r="I248"/>
  <c r="J246"/>
  <c r="J247"/>
  <c r="K246"/>
  <c r="J234" i="35"/>
  <c r="K234"/>
  <c r="F222"/>
  <c r="A239" s="1"/>
  <c r="E239" s="1"/>
  <c r="I235"/>
  <c r="I246" s="1"/>
  <c r="D235"/>
  <c r="N235"/>
  <c r="AJ36" s="1"/>
  <c r="E235"/>
  <c r="H235"/>
  <c r="H246" s="1"/>
  <c r="O235"/>
  <c r="G243" i="30"/>
  <c r="J243"/>
  <c r="L243" s="1"/>
  <c r="I253"/>
  <c r="B253"/>
  <c r="C253" s="1"/>
  <c r="E253"/>
  <c r="N253"/>
  <c r="P253" s="1"/>
  <c r="A254" s="1"/>
  <c r="I254" s="1"/>
  <c r="D253"/>
  <c r="H253"/>
  <c r="G252"/>
  <c r="G265"/>
  <c r="K265"/>
  <c r="J265"/>
  <c r="J252"/>
  <c r="L252" s="1"/>
  <c r="L252" i="29"/>
  <c r="J253"/>
  <c r="L253" s="1"/>
  <c r="G253"/>
  <c r="F254"/>
  <c r="I255"/>
  <c r="D255"/>
  <c r="E255"/>
  <c r="B255"/>
  <c r="C255" s="1"/>
  <c r="H255"/>
  <c r="A256"/>
  <c r="L246" i="34" l="1"/>
  <c r="D249"/>
  <c r="H249"/>
  <c r="A250"/>
  <c r="I249"/>
  <c r="E249"/>
  <c r="B249"/>
  <c r="C249" s="1"/>
  <c r="K247"/>
  <c r="L247" s="1"/>
  <c r="F248"/>
  <c r="K248" s="1"/>
  <c r="L234" i="35"/>
  <c r="F235"/>
  <c r="G235" s="1"/>
  <c r="B239"/>
  <c r="C239" s="1"/>
  <c r="H239"/>
  <c r="T52" s="1"/>
  <c r="A240"/>
  <c r="D240" s="1"/>
  <c r="I239"/>
  <c r="U52" s="1"/>
  <c r="D239"/>
  <c r="P235"/>
  <c r="F253" i="30"/>
  <c r="G253" s="1"/>
  <c r="B254"/>
  <c r="C254" s="1"/>
  <c r="O254"/>
  <c r="N254"/>
  <c r="H254"/>
  <c r="E254"/>
  <c r="D254"/>
  <c r="L265"/>
  <c r="F255" i="29"/>
  <c r="G255" s="1"/>
  <c r="G254"/>
  <c r="J254"/>
  <c r="E256"/>
  <c r="B256"/>
  <c r="C256" s="1"/>
  <c r="D256"/>
  <c r="H256"/>
  <c r="I256"/>
  <c r="A257"/>
  <c r="K254"/>
  <c r="E250" i="34" l="1"/>
  <c r="A251"/>
  <c r="D250"/>
  <c r="I250"/>
  <c r="B250"/>
  <c r="C250" s="1"/>
  <c r="H250"/>
  <c r="H240" i="35"/>
  <c r="T53" s="1"/>
  <c r="F249" i="34"/>
  <c r="G248"/>
  <c r="J248"/>
  <c r="L248" s="1"/>
  <c r="K235" i="35"/>
  <c r="K246" s="1"/>
  <c r="J235"/>
  <c r="J246" s="1"/>
  <c r="A241"/>
  <c r="H241" s="1"/>
  <c r="T54" s="1"/>
  <c r="E240"/>
  <c r="B240"/>
  <c r="C240" s="1"/>
  <c r="F239"/>
  <c r="G239" s="1"/>
  <c r="I240"/>
  <c r="U53" s="1"/>
  <c r="F254" i="30"/>
  <c r="J254" s="1"/>
  <c r="K253"/>
  <c r="J253"/>
  <c r="P254"/>
  <c r="A255" s="1"/>
  <c r="I255" s="1"/>
  <c r="K255" i="29"/>
  <c r="J255"/>
  <c r="H257"/>
  <c r="I257"/>
  <c r="E257"/>
  <c r="D257"/>
  <c r="B257"/>
  <c r="C257" s="1"/>
  <c r="L254"/>
  <c r="F256"/>
  <c r="F250" i="34" l="1"/>
  <c r="G250" s="1"/>
  <c r="G249"/>
  <c r="K249"/>
  <c r="I251"/>
  <c r="A252"/>
  <c r="E251"/>
  <c r="D251"/>
  <c r="B251"/>
  <c r="C251" s="1"/>
  <c r="H251"/>
  <c r="J249"/>
  <c r="D249" i="35"/>
  <c r="E249"/>
  <c r="G249" s="1"/>
  <c r="I249" s="1"/>
  <c r="L235"/>
  <c r="I241"/>
  <c r="U54" s="1"/>
  <c r="B241"/>
  <c r="C241" s="1"/>
  <c r="E241"/>
  <c r="D241"/>
  <c r="A242"/>
  <c r="H242" s="1"/>
  <c r="T55" s="1"/>
  <c r="F240"/>
  <c r="G240" s="1"/>
  <c r="J239"/>
  <c r="K239"/>
  <c r="G254" i="30"/>
  <c r="K254"/>
  <c r="L254" s="1"/>
  <c r="L253"/>
  <c r="H255"/>
  <c r="E255"/>
  <c r="B255"/>
  <c r="C255" s="1"/>
  <c r="O255"/>
  <c r="D255"/>
  <c r="N255"/>
  <c r="L255" i="29"/>
  <c r="H258"/>
  <c r="T64"/>
  <c r="AU35"/>
  <c r="U64"/>
  <c r="AV35"/>
  <c r="K256"/>
  <c r="J256"/>
  <c r="G256"/>
  <c r="F257"/>
  <c r="J250" i="34" l="1"/>
  <c r="L250" s="1"/>
  <c r="K250"/>
  <c r="L249"/>
  <c r="D252"/>
  <c r="I252"/>
  <c r="E252"/>
  <c r="H252"/>
  <c r="B252"/>
  <c r="C252" s="1"/>
  <c r="A253"/>
  <c r="F251"/>
  <c r="A265" i="35"/>
  <c r="E265" s="1"/>
  <c r="K249"/>
  <c r="O252" s="1"/>
  <c r="A252"/>
  <c r="B252" s="1"/>
  <c r="C252" s="1"/>
  <c r="H249"/>
  <c r="J249"/>
  <c r="F241"/>
  <c r="J241" s="1"/>
  <c r="B242"/>
  <c r="C242" s="1"/>
  <c r="A243"/>
  <c r="B243" s="1"/>
  <c r="C243" s="1"/>
  <c r="I242"/>
  <c r="U55" s="1"/>
  <c r="E242"/>
  <c r="D242"/>
  <c r="K240"/>
  <c r="J240"/>
  <c r="L239"/>
  <c r="F255" i="30"/>
  <c r="J255" s="1"/>
  <c r="P255"/>
  <c r="A256" s="1"/>
  <c r="E256" s="1"/>
  <c r="AW35" i="29"/>
  <c r="K257"/>
  <c r="G257"/>
  <c r="J257"/>
  <c r="L256"/>
  <c r="G251" i="34" l="1"/>
  <c r="K251"/>
  <c r="J251"/>
  <c r="F252"/>
  <c r="G252" s="1"/>
  <c r="H253"/>
  <c r="E253"/>
  <c r="A254"/>
  <c r="D253"/>
  <c r="B253"/>
  <c r="C253" s="1"/>
  <c r="I253"/>
  <c r="K252"/>
  <c r="D252" i="35"/>
  <c r="E252"/>
  <c r="D265"/>
  <c r="B265"/>
  <c r="C265" s="1"/>
  <c r="H265"/>
  <c r="T57" s="1"/>
  <c r="I252"/>
  <c r="N252"/>
  <c r="P252" s="1"/>
  <c r="A253" s="1"/>
  <c r="B253" s="1"/>
  <c r="C253" s="1"/>
  <c r="I265"/>
  <c r="U57" s="1"/>
  <c r="H252"/>
  <c r="G241"/>
  <c r="K241"/>
  <c r="L241" s="1"/>
  <c r="D243"/>
  <c r="E243"/>
  <c r="F242"/>
  <c r="G242" s="1"/>
  <c r="I243"/>
  <c r="U56" s="1"/>
  <c r="H243"/>
  <c r="T56" s="1"/>
  <c r="L240"/>
  <c r="G255" i="30"/>
  <c r="K255"/>
  <c r="L255" s="1"/>
  <c r="B256"/>
  <c r="C256" s="1"/>
  <c r="O256"/>
  <c r="H256"/>
  <c r="I256"/>
  <c r="N256"/>
  <c r="D256"/>
  <c r="L257" i="29"/>
  <c r="F265" i="35" l="1"/>
  <c r="K265" s="1"/>
  <c r="F253" i="34"/>
  <c r="G253" s="1"/>
  <c r="L251"/>
  <c r="J252"/>
  <c r="L252" s="1"/>
  <c r="B254"/>
  <c r="C254" s="1"/>
  <c r="A255"/>
  <c r="E254"/>
  <c r="H254"/>
  <c r="I254"/>
  <c r="D254"/>
  <c r="F252" i="35"/>
  <c r="J252" s="1"/>
  <c r="D253"/>
  <c r="F253" s="1"/>
  <c r="G253" s="1"/>
  <c r="I253"/>
  <c r="E253"/>
  <c r="O253"/>
  <c r="N253"/>
  <c r="H253"/>
  <c r="F243"/>
  <c r="G243" s="1"/>
  <c r="J242"/>
  <c r="K242"/>
  <c r="F256" i="30"/>
  <c r="K256" s="1"/>
  <c r="P256"/>
  <c r="A257" s="1"/>
  <c r="D257" s="1"/>
  <c r="J265" i="35" l="1"/>
  <c r="L265" s="1"/>
  <c r="G265"/>
  <c r="J253" i="34"/>
  <c r="K253"/>
  <c r="J243" i="35"/>
  <c r="G252"/>
  <c r="K252"/>
  <c r="L252" s="1"/>
  <c r="F254" i="34"/>
  <c r="D255"/>
  <c r="E255"/>
  <c r="I255"/>
  <c r="A256"/>
  <c r="H255"/>
  <c r="B255"/>
  <c r="C255" s="1"/>
  <c r="K243" i="35"/>
  <c r="P253"/>
  <c r="A254" s="1"/>
  <c r="H254" s="1"/>
  <c r="L242"/>
  <c r="K253"/>
  <c r="J253"/>
  <c r="G256" i="30"/>
  <c r="J256"/>
  <c r="L256" s="1"/>
  <c r="H257"/>
  <c r="O257"/>
  <c r="N257"/>
  <c r="E257"/>
  <c r="B257"/>
  <c r="C257" s="1"/>
  <c r="I257"/>
  <c r="L253" i="34" l="1"/>
  <c r="L243" i="35"/>
  <c r="G254" i="34"/>
  <c r="J254"/>
  <c r="K254"/>
  <c r="D256"/>
  <c r="I256"/>
  <c r="B256"/>
  <c r="C256" s="1"/>
  <c r="A257"/>
  <c r="E256"/>
  <c r="H256"/>
  <c r="F255"/>
  <c r="J255" s="1"/>
  <c r="E254" i="35"/>
  <c r="I254"/>
  <c r="O254"/>
  <c r="B254"/>
  <c r="C254" s="1"/>
  <c r="D254"/>
  <c r="N254"/>
  <c r="L253"/>
  <c r="P257" i="30"/>
  <c r="A258" s="1"/>
  <c r="I258" s="1"/>
  <c r="F257"/>
  <c r="J257" s="1"/>
  <c r="L254" i="34" l="1"/>
  <c r="G255"/>
  <c r="K255"/>
  <c r="L255" s="1"/>
  <c r="F256"/>
  <c r="B257"/>
  <c r="C257" s="1"/>
  <c r="E257"/>
  <c r="D257"/>
  <c r="I257"/>
  <c r="H257"/>
  <c r="F254" i="35"/>
  <c r="K254" s="1"/>
  <c r="P254"/>
  <c r="A255" s="1"/>
  <c r="H255" s="1"/>
  <c r="G257" i="30"/>
  <c r="K257"/>
  <c r="L257" s="1"/>
  <c r="D258"/>
  <c r="N258"/>
  <c r="B258"/>
  <c r="C258" s="1"/>
  <c r="O258"/>
  <c r="E258"/>
  <c r="H258"/>
  <c r="F257" i="34" l="1"/>
  <c r="G256"/>
  <c r="J256"/>
  <c r="K256"/>
  <c r="U64"/>
  <c r="AV35"/>
  <c r="H258"/>
  <c r="AU35"/>
  <c r="T64"/>
  <c r="J254" i="35"/>
  <c r="L254" s="1"/>
  <c r="G254"/>
  <c r="D255"/>
  <c r="N255"/>
  <c r="I255"/>
  <c r="O255"/>
  <c r="E255"/>
  <c r="B255"/>
  <c r="C255" s="1"/>
  <c r="F258" i="30"/>
  <c r="G258" s="1"/>
  <c r="P258"/>
  <c r="A259" s="1"/>
  <c r="E259" s="1"/>
  <c r="L256" i="34" l="1"/>
  <c r="G257"/>
  <c r="J257"/>
  <c r="K257"/>
  <c r="F255" i="35"/>
  <c r="K255" s="1"/>
  <c r="AW35" i="34"/>
  <c r="P255" i="35"/>
  <c r="A256" s="1"/>
  <c r="I256" s="1"/>
  <c r="K258" i="30"/>
  <c r="J258"/>
  <c r="I259"/>
  <c r="O259"/>
  <c r="B259"/>
  <c r="C259" s="1"/>
  <c r="H259"/>
  <c r="D259"/>
  <c r="N259"/>
  <c r="L257" i="34" l="1"/>
  <c r="J255" i="35"/>
  <c r="L255" s="1"/>
  <c r="G255"/>
  <c r="N256"/>
  <c r="O256"/>
  <c r="B256"/>
  <c r="C256" s="1"/>
  <c r="H256"/>
  <c r="D256"/>
  <c r="E256"/>
  <c r="L258" i="30"/>
  <c r="F259"/>
  <c r="J259" s="1"/>
  <c r="P259"/>
  <c r="A260" s="1"/>
  <c r="D260" s="1"/>
  <c r="F256" i="35" l="1"/>
  <c r="J256" s="1"/>
  <c r="P256"/>
  <c r="A257" s="1"/>
  <c r="B257" s="1"/>
  <c r="C257" s="1"/>
  <c r="K259" i="30"/>
  <c r="L259" s="1"/>
  <c r="G259"/>
  <c r="H260"/>
  <c r="O260"/>
  <c r="N260"/>
  <c r="I260"/>
  <c r="E260"/>
  <c r="B260"/>
  <c r="C260" s="1"/>
  <c r="G256" i="35" l="1"/>
  <c r="K256"/>
  <c r="L256" s="1"/>
  <c r="E257"/>
  <c r="H257"/>
  <c r="I257"/>
  <c r="O257"/>
  <c r="D257"/>
  <c r="N257"/>
  <c r="F260" i="30"/>
  <c r="K260" s="1"/>
  <c r="P260"/>
  <c r="A261" s="1"/>
  <c r="I261" s="1"/>
  <c r="F257" i="35" l="1"/>
  <c r="K257" s="1"/>
  <c r="P257"/>
  <c r="A258" s="1"/>
  <c r="I258" s="1"/>
  <c r="J260" i="30"/>
  <c r="L260" s="1"/>
  <c r="G260"/>
  <c r="O261"/>
  <c r="D261"/>
  <c r="B261"/>
  <c r="C261" s="1"/>
  <c r="N261"/>
  <c r="H261"/>
  <c r="E261"/>
  <c r="B258" i="35" l="1"/>
  <c r="C258" s="1"/>
  <c r="N258"/>
  <c r="E258"/>
  <c r="J257"/>
  <c r="L257" s="1"/>
  <c r="D258"/>
  <c r="G257"/>
  <c r="H258"/>
  <c r="O258"/>
  <c r="F261" i="30"/>
  <c r="K261" s="1"/>
  <c r="P261"/>
  <c r="A262" s="1"/>
  <c r="D262" s="1"/>
  <c r="P258" i="35" l="1"/>
  <c r="A259" s="1"/>
  <c r="O259" s="1"/>
  <c r="F258"/>
  <c r="J258" s="1"/>
  <c r="J261" i="30"/>
  <c r="L261" s="1"/>
  <c r="G261"/>
  <c r="E262"/>
  <c r="H262"/>
  <c r="H273" s="1"/>
  <c r="I262"/>
  <c r="I273" s="1"/>
  <c r="N262"/>
  <c r="AK36" s="1"/>
  <c r="O262"/>
  <c r="B262"/>
  <c r="C262" s="1"/>
  <c r="F249"/>
  <c r="A266" s="1"/>
  <c r="I266" s="1"/>
  <c r="U58" s="1"/>
  <c r="N259" i="35" l="1"/>
  <c r="P259" s="1"/>
  <c r="A260" s="1"/>
  <c r="N260" s="1"/>
  <c r="H259"/>
  <c r="I259"/>
  <c r="D259"/>
  <c r="B259"/>
  <c r="C259" s="1"/>
  <c r="E259"/>
  <c r="K258"/>
  <c r="L258" s="1"/>
  <c r="G258"/>
  <c r="H266" i="30"/>
  <c r="T58" s="1"/>
  <c r="D266"/>
  <c r="A267"/>
  <c r="A268" s="1"/>
  <c r="D268" s="1"/>
  <c r="B266"/>
  <c r="C266" s="1"/>
  <c r="E266"/>
  <c r="F262"/>
  <c r="P262"/>
  <c r="F259" i="35" l="1"/>
  <c r="J259" s="1"/>
  <c r="O260"/>
  <c r="P260" s="1"/>
  <c r="A261" s="1"/>
  <c r="H261" s="1"/>
  <c r="B260"/>
  <c r="C260" s="1"/>
  <c r="D260"/>
  <c r="I260"/>
  <c r="H260"/>
  <c r="E260"/>
  <c r="F266" i="30"/>
  <c r="J266" s="1"/>
  <c r="A269"/>
  <c r="A270" s="1"/>
  <c r="I270" s="1"/>
  <c r="U62" s="1"/>
  <c r="I268"/>
  <c r="U60" s="1"/>
  <c r="D267"/>
  <c r="B267"/>
  <c r="C267" s="1"/>
  <c r="E268"/>
  <c r="H268"/>
  <c r="T60" s="1"/>
  <c r="B268"/>
  <c r="C268" s="1"/>
  <c r="E267"/>
  <c r="H267"/>
  <c r="T59" s="1"/>
  <c r="I267"/>
  <c r="U59" s="1"/>
  <c r="K262"/>
  <c r="K273" s="1"/>
  <c r="G262"/>
  <c r="J262"/>
  <c r="G259" i="35" l="1"/>
  <c r="K259"/>
  <c r="L259" s="1"/>
  <c r="F260"/>
  <c r="J260" s="1"/>
  <c r="N261"/>
  <c r="B261"/>
  <c r="C261" s="1"/>
  <c r="O261"/>
  <c r="I261"/>
  <c r="D261"/>
  <c r="E261"/>
  <c r="F268" i="30"/>
  <c r="G268" s="1"/>
  <c r="F267"/>
  <c r="J267" s="1"/>
  <c r="E270"/>
  <c r="K266"/>
  <c r="L266" s="1"/>
  <c r="G266"/>
  <c r="H269"/>
  <c r="T61" s="1"/>
  <c r="B269"/>
  <c r="C269" s="1"/>
  <c r="E269"/>
  <c r="B270"/>
  <c r="C270" s="1"/>
  <c r="D269"/>
  <c r="H270"/>
  <c r="T62" s="1"/>
  <c r="D270"/>
  <c r="I269"/>
  <c r="U61" s="1"/>
  <c r="J273"/>
  <c r="L262"/>
  <c r="F261" i="35" l="1"/>
  <c r="K261" s="1"/>
  <c r="G260"/>
  <c r="K260"/>
  <c r="L260" s="1"/>
  <c r="P261"/>
  <c r="A262" s="1"/>
  <c r="D262" s="1"/>
  <c r="K268" i="30"/>
  <c r="J268"/>
  <c r="K267"/>
  <c r="L267" s="1"/>
  <c r="F269"/>
  <c r="G269" s="1"/>
  <c r="G267"/>
  <c r="F270"/>
  <c r="G270" s="1"/>
  <c r="E276"/>
  <c r="D276"/>
  <c r="J261" i="35" l="1"/>
  <c r="L261" s="1"/>
  <c r="G261"/>
  <c r="B262"/>
  <c r="C262" s="1"/>
  <c r="F262" s="1"/>
  <c r="J262" s="1"/>
  <c r="J273" s="1"/>
  <c r="F249"/>
  <c r="A266" s="1"/>
  <c r="A267" s="1"/>
  <c r="H262"/>
  <c r="H273" s="1"/>
  <c r="E262"/>
  <c r="I262"/>
  <c r="I273" s="1"/>
  <c r="N262"/>
  <c r="AK36" s="1"/>
  <c r="O262"/>
  <c r="L268" i="30"/>
  <c r="K269"/>
  <c r="K270"/>
  <c r="J269"/>
  <c r="J270"/>
  <c r="K276"/>
  <c r="A292"/>
  <c r="H276"/>
  <c r="A279"/>
  <c r="G276"/>
  <c r="I276" s="1"/>
  <c r="J276"/>
  <c r="P262" i="35" l="1"/>
  <c r="H266"/>
  <c r="T58" s="1"/>
  <c r="B266"/>
  <c r="C266" s="1"/>
  <c r="F266" s="1"/>
  <c r="K266" s="1"/>
  <c r="I266"/>
  <c r="U58" s="1"/>
  <c r="D266"/>
  <c r="E266"/>
  <c r="K262"/>
  <c r="K273" s="1"/>
  <c r="E276" s="1"/>
  <c r="A292" s="1"/>
  <c r="B292" s="1"/>
  <c r="C292" s="1"/>
  <c r="G262"/>
  <c r="I267"/>
  <c r="U59" s="1"/>
  <c r="H267"/>
  <c r="T59" s="1"/>
  <c r="A268"/>
  <c r="D267"/>
  <c r="B267"/>
  <c r="E267"/>
  <c r="L270" i="30"/>
  <c r="L269"/>
  <c r="I292"/>
  <c r="U63" s="1"/>
  <c r="H292"/>
  <c r="T63" s="1"/>
  <c r="H279"/>
  <c r="N279"/>
  <c r="B279"/>
  <c r="C279" s="1"/>
  <c r="E279"/>
  <c r="D279"/>
  <c r="I279"/>
  <c r="O279"/>
  <c r="E292"/>
  <c r="B292"/>
  <c r="D292"/>
  <c r="A279" i="35" l="1"/>
  <c r="E292"/>
  <c r="L262"/>
  <c r="G276"/>
  <c r="I276" s="1"/>
  <c r="D292"/>
  <c r="H276"/>
  <c r="D276"/>
  <c r="K276" s="1"/>
  <c r="I292" s="1"/>
  <c r="U63" s="1"/>
  <c r="J276"/>
  <c r="B268"/>
  <c r="C268" s="1"/>
  <c r="D268"/>
  <c r="E268"/>
  <c r="H268"/>
  <c r="T60" s="1"/>
  <c r="I268"/>
  <c r="U60" s="1"/>
  <c r="A269"/>
  <c r="C267"/>
  <c r="F267" s="1"/>
  <c r="G267" s="1"/>
  <c r="G266"/>
  <c r="J266"/>
  <c r="L266" s="1"/>
  <c r="P279" i="30"/>
  <c r="A280" s="1"/>
  <c r="E280" s="1"/>
  <c r="F279"/>
  <c r="G279" s="1"/>
  <c r="C292"/>
  <c r="F292" s="1"/>
  <c r="G292" s="1"/>
  <c r="F268" i="35" l="1"/>
  <c r="G268" s="1"/>
  <c r="F292"/>
  <c r="K292" s="1"/>
  <c r="J267"/>
  <c r="I279"/>
  <c r="K267"/>
  <c r="E279"/>
  <c r="D279"/>
  <c r="B279"/>
  <c r="C279" s="1"/>
  <c r="H279"/>
  <c r="O279"/>
  <c r="H292"/>
  <c r="T63" s="1"/>
  <c r="N279"/>
  <c r="I269"/>
  <c r="U61" s="1"/>
  <c r="A270"/>
  <c r="E269"/>
  <c r="H269"/>
  <c r="T61" s="1"/>
  <c r="D269"/>
  <c r="B269"/>
  <c r="I280" i="30"/>
  <c r="N280"/>
  <c r="O280"/>
  <c r="D280"/>
  <c r="B280"/>
  <c r="C280" s="1"/>
  <c r="H280"/>
  <c r="J279"/>
  <c r="K279"/>
  <c r="K292"/>
  <c r="J292"/>
  <c r="J268" i="35" l="1"/>
  <c r="K268"/>
  <c r="J292"/>
  <c r="L292" s="1"/>
  <c r="G292"/>
  <c r="L267"/>
  <c r="F279"/>
  <c r="P279"/>
  <c r="A280" s="1"/>
  <c r="H270"/>
  <c r="T62" s="1"/>
  <c r="I270"/>
  <c r="U62" s="1"/>
  <c r="B270"/>
  <c r="E270"/>
  <c r="D270"/>
  <c r="C269"/>
  <c r="F269" s="1"/>
  <c r="G269" s="1"/>
  <c r="P280" i="30"/>
  <c r="A281" s="1"/>
  <c r="N281" s="1"/>
  <c r="F280"/>
  <c r="G280" s="1"/>
  <c r="L279"/>
  <c r="L292"/>
  <c r="L268" i="35" l="1"/>
  <c r="G279"/>
  <c r="K279"/>
  <c r="J279"/>
  <c r="E280"/>
  <c r="B280"/>
  <c r="C280" s="1"/>
  <c r="D280"/>
  <c r="I280"/>
  <c r="O280"/>
  <c r="N280"/>
  <c r="H280"/>
  <c r="K269"/>
  <c r="C270"/>
  <c r="F270" s="1"/>
  <c r="G270" s="1"/>
  <c r="J269"/>
  <c r="H281" i="30"/>
  <c r="E281"/>
  <c r="D281"/>
  <c r="O281"/>
  <c r="P281" s="1"/>
  <c r="A282" s="1"/>
  <c r="O282" s="1"/>
  <c r="B281"/>
  <c r="C281" s="1"/>
  <c r="I281"/>
  <c r="K280"/>
  <c r="J280"/>
  <c r="P280" i="35" l="1"/>
  <c r="A281" s="1"/>
  <c r="D281" s="1"/>
  <c r="L279"/>
  <c r="F280"/>
  <c r="J270"/>
  <c r="K270"/>
  <c r="L269"/>
  <c r="F281" i="30"/>
  <c r="K281" s="1"/>
  <c r="E282"/>
  <c r="I282"/>
  <c r="B282"/>
  <c r="C282" s="1"/>
  <c r="H282"/>
  <c r="N282"/>
  <c r="P282" s="1"/>
  <c r="A283" s="1"/>
  <c r="N283" s="1"/>
  <c r="D282"/>
  <c r="L280"/>
  <c r="N281" i="35" l="1"/>
  <c r="B281"/>
  <c r="C281" s="1"/>
  <c r="F281" s="1"/>
  <c r="G281" s="1"/>
  <c r="H281"/>
  <c r="E281"/>
  <c r="O281"/>
  <c r="I281"/>
  <c r="L270"/>
  <c r="K280"/>
  <c r="G280"/>
  <c r="J280"/>
  <c r="J281" i="30"/>
  <c r="L281" s="1"/>
  <c r="G281"/>
  <c r="F282"/>
  <c r="G282" s="1"/>
  <c r="D283"/>
  <c r="H283"/>
  <c r="I283"/>
  <c r="E283"/>
  <c r="B283"/>
  <c r="C283" s="1"/>
  <c r="O283"/>
  <c r="P283" s="1"/>
  <c r="A284" s="1"/>
  <c r="N284" s="1"/>
  <c r="P281" i="35" l="1"/>
  <c r="A282" s="1"/>
  <c r="I282" s="1"/>
  <c r="J281"/>
  <c r="K281"/>
  <c r="L280"/>
  <c r="F283" i="30"/>
  <c r="G283" s="1"/>
  <c r="K282"/>
  <c r="J282"/>
  <c r="H284"/>
  <c r="O284"/>
  <c r="P284" s="1"/>
  <c r="A285" s="1"/>
  <c r="N285" s="1"/>
  <c r="B284"/>
  <c r="C284" s="1"/>
  <c r="I284"/>
  <c r="E284"/>
  <c r="D284"/>
  <c r="H282" i="35" l="1"/>
  <c r="O282"/>
  <c r="N282"/>
  <c r="D282"/>
  <c r="B282"/>
  <c r="C282" s="1"/>
  <c r="E282"/>
  <c r="L281"/>
  <c r="K283" i="30"/>
  <c r="J283"/>
  <c r="F284"/>
  <c r="J284" s="1"/>
  <c r="L282"/>
  <c r="D285"/>
  <c r="E285"/>
  <c r="B285"/>
  <c r="C285" s="1"/>
  <c r="I285"/>
  <c r="O285"/>
  <c r="P285" s="1"/>
  <c r="A286" s="1"/>
  <c r="B286" s="1"/>
  <c r="C286" s="1"/>
  <c r="H285"/>
  <c r="F282" i="35" l="1"/>
  <c r="G282" s="1"/>
  <c r="P282"/>
  <c r="A283" s="1"/>
  <c r="D283" s="1"/>
  <c r="L283" i="30"/>
  <c r="G284"/>
  <c r="K284"/>
  <c r="L284" s="1"/>
  <c r="F285"/>
  <c r="J285" s="1"/>
  <c r="H286"/>
  <c r="O286"/>
  <c r="E286"/>
  <c r="D286"/>
  <c r="I286"/>
  <c r="N286"/>
  <c r="J282" i="35" l="1"/>
  <c r="K282"/>
  <c r="O283"/>
  <c r="P283" s="1"/>
  <c r="A284" s="1"/>
  <c r="B284" s="1"/>
  <c r="C284" s="1"/>
  <c r="B283"/>
  <c r="C283" s="1"/>
  <c r="E283"/>
  <c r="N283"/>
  <c r="H283"/>
  <c r="I283"/>
  <c r="P286" i="30"/>
  <c r="A287" s="1"/>
  <c r="B287" s="1"/>
  <c r="C287" s="1"/>
  <c r="K285"/>
  <c r="L285" s="1"/>
  <c r="G285"/>
  <c r="F286"/>
  <c r="G286" s="1"/>
  <c r="L282" i="35" l="1"/>
  <c r="F283"/>
  <c r="G283" s="1"/>
  <c r="D284"/>
  <c r="F284" s="1"/>
  <c r="G284" s="1"/>
  <c r="N284"/>
  <c r="P284" s="1"/>
  <c r="A285" s="1"/>
  <c r="O285" s="1"/>
  <c r="H284"/>
  <c r="E284"/>
  <c r="O284"/>
  <c r="I284"/>
  <c r="D287" i="30"/>
  <c r="H287"/>
  <c r="N287"/>
  <c r="E287"/>
  <c r="I287"/>
  <c r="O287"/>
  <c r="J286"/>
  <c r="K286"/>
  <c r="K283" i="35" l="1"/>
  <c r="J283"/>
  <c r="H285"/>
  <c r="I285"/>
  <c r="N285"/>
  <c r="P285" s="1"/>
  <c r="A286" s="1"/>
  <c r="H286" s="1"/>
  <c r="D285"/>
  <c r="B285"/>
  <c r="C285" s="1"/>
  <c r="E285"/>
  <c r="J284"/>
  <c r="K284"/>
  <c r="F287" i="30"/>
  <c r="J287" s="1"/>
  <c r="P287"/>
  <c r="A288" s="1"/>
  <c r="I288" s="1"/>
  <c r="L286"/>
  <c r="L283" i="35" l="1"/>
  <c r="F285"/>
  <c r="K285" s="1"/>
  <c r="E286"/>
  <c r="B286"/>
  <c r="C286" s="1"/>
  <c r="O286"/>
  <c r="I286"/>
  <c r="N286"/>
  <c r="D286"/>
  <c r="L284"/>
  <c r="K287" i="30"/>
  <c r="L287" s="1"/>
  <c r="G287"/>
  <c r="H288"/>
  <c r="O288"/>
  <c r="B288"/>
  <c r="C288" s="1"/>
  <c r="N288"/>
  <c r="E288"/>
  <c r="D288"/>
  <c r="G285" i="35" l="1"/>
  <c r="J285"/>
  <c r="L285" s="1"/>
  <c r="P286"/>
  <c r="A287" s="1"/>
  <c r="O287" s="1"/>
  <c r="F286"/>
  <c r="G286" s="1"/>
  <c r="F288" i="30"/>
  <c r="K288" s="1"/>
  <c r="P288"/>
  <c r="A289" s="1"/>
  <c r="E289" s="1"/>
  <c r="E287" i="35" l="1"/>
  <c r="I287"/>
  <c r="D287"/>
  <c r="B287"/>
  <c r="C287" s="1"/>
  <c r="N287"/>
  <c r="P287" s="1"/>
  <c r="A288" s="1"/>
  <c r="D288" s="1"/>
  <c r="H287"/>
  <c r="K286"/>
  <c r="J286"/>
  <c r="G288" i="30"/>
  <c r="J288"/>
  <c r="L288" s="1"/>
  <c r="F276"/>
  <c r="A293" s="1"/>
  <c r="I293" s="1"/>
  <c r="U64" s="1"/>
  <c r="B289"/>
  <c r="C289" s="1"/>
  <c r="I289"/>
  <c r="I300" s="1"/>
  <c r="N289"/>
  <c r="AL36" s="1"/>
  <c r="D289"/>
  <c r="O289"/>
  <c r="H289"/>
  <c r="H300" s="1"/>
  <c r="F287" i="35" l="1"/>
  <c r="G287" s="1"/>
  <c r="O288"/>
  <c r="H288"/>
  <c r="E288"/>
  <c r="B288"/>
  <c r="C288" s="1"/>
  <c r="I288"/>
  <c r="N288"/>
  <c r="L286"/>
  <c r="F289" i="30"/>
  <c r="J289" s="1"/>
  <c r="J300" s="1"/>
  <c r="A294"/>
  <c r="B294" s="1"/>
  <c r="C294" s="1"/>
  <c r="B293"/>
  <c r="C293" s="1"/>
  <c r="P289"/>
  <c r="H293"/>
  <c r="T64" s="1"/>
  <c r="E293"/>
  <c r="D293"/>
  <c r="J287" i="35" l="1"/>
  <c r="F288"/>
  <c r="K288" s="1"/>
  <c r="K287"/>
  <c r="P288"/>
  <c r="A289" s="1"/>
  <c r="O289" s="1"/>
  <c r="F293" i="30"/>
  <c r="K293" s="1"/>
  <c r="K289"/>
  <c r="K300" s="1"/>
  <c r="E303" s="1"/>
  <c r="G289"/>
  <c r="I294"/>
  <c r="U65" s="1"/>
  <c r="D294"/>
  <c r="A295"/>
  <c r="B295" s="1"/>
  <c r="C295" s="1"/>
  <c r="E294"/>
  <c r="H294"/>
  <c r="T65" s="1"/>
  <c r="L287" i="35" l="1"/>
  <c r="J288"/>
  <c r="L288" s="1"/>
  <c r="G288"/>
  <c r="B289"/>
  <c r="C289" s="1"/>
  <c r="N289"/>
  <c r="AL36" s="1"/>
  <c r="F276"/>
  <c r="A293" s="1"/>
  <c r="E293" s="1"/>
  <c r="I289"/>
  <c r="I300" s="1"/>
  <c r="H289"/>
  <c r="H300" s="1"/>
  <c r="E289"/>
  <c r="D289"/>
  <c r="G293" i="30"/>
  <c r="J293"/>
  <c r="L293" s="1"/>
  <c r="L289"/>
  <c r="F294"/>
  <c r="G294" s="1"/>
  <c r="D303"/>
  <c r="K303" s="1"/>
  <c r="E295"/>
  <c r="A296"/>
  <c r="B296" s="1"/>
  <c r="C296" s="1"/>
  <c r="I295"/>
  <c r="U66" s="1"/>
  <c r="H295"/>
  <c r="T66" s="1"/>
  <c r="D295"/>
  <c r="J303"/>
  <c r="G303"/>
  <c r="I303" s="1"/>
  <c r="A319"/>
  <c r="H303"/>
  <c r="A306"/>
  <c r="F289" i="35" l="1"/>
  <c r="G289" s="1"/>
  <c r="A294"/>
  <c r="B294" s="1"/>
  <c r="C294" s="1"/>
  <c r="D293"/>
  <c r="F293" s="1"/>
  <c r="G293" s="1"/>
  <c r="P289"/>
  <c r="H293"/>
  <c r="T64" s="1"/>
  <c r="B293"/>
  <c r="C293" s="1"/>
  <c r="I293"/>
  <c r="U64" s="1"/>
  <c r="K294" i="30"/>
  <c r="J294"/>
  <c r="F295"/>
  <c r="K295" s="1"/>
  <c r="I296"/>
  <c r="U67" s="1"/>
  <c r="E296"/>
  <c r="H296"/>
  <c r="T67" s="1"/>
  <c r="A297"/>
  <c r="B297" s="1"/>
  <c r="C297" s="1"/>
  <c r="D296"/>
  <c r="H319"/>
  <c r="T69" s="1"/>
  <c r="I319"/>
  <c r="U69" s="1"/>
  <c r="N306"/>
  <c r="O306"/>
  <c r="H306"/>
  <c r="B306"/>
  <c r="C306" s="1"/>
  <c r="E306"/>
  <c r="D306"/>
  <c r="D319"/>
  <c r="B319"/>
  <c r="E319"/>
  <c r="I306"/>
  <c r="I294" i="35" l="1"/>
  <c r="U65" s="1"/>
  <c r="K289"/>
  <c r="K300" s="1"/>
  <c r="J289"/>
  <c r="J300" s="1"/>
  <c r="A295"/>
  <c r="I295" s="1"/>
  <c r="U66" s="1"/>
  <c r="H294"/>
  <c r="T65" s="1"/>
  <c r="D294"/>
  <c r="F294" s="1"/>
  <c r="G294" s="1"/>
  <c r="E294"/>
  <c r="K293"/>
  <c r="J293"/>
  <c r="L294" i="30"/>
  <c r="F296"/>
  <c r="J296" s="1"/>
  <c r="H297"/>
  <c r="T68" s="1"/>
  <c r="E297"/>
  <c r="J295"/>
  <c r="L295" s="1"/>
  <c r="G295"/>
  <c r="I297"/>
  <c r="U68" s="1"/>
  <c r="D297"/>
  <c r="P306"/>
  <c r="A307" s="1"/>
  <c r="O307" s="1"/>
  <c r="F306"/>
  <c r="G306" s="1"/>
  <c r="C319"/>
  <c r="F319" s="1"/>
  <c r="G319" s="1"/>
  <c r="D303" i="35" l="1"/>
  <c r="E303"/>
  <c r="L289"/>
  <c r="A296"/>
  <c r="H296" s="1"/>
  <c r="T67" s="1"/>
  <c r="D295"/>
  <c r="B295"/>
  <c r="C295" s="1"/>
  <c r="E295"/>
  <c r="J294"/>
  <c r="K294"/>
  <c r="H295"/>
  <c r="T66" s="1"/>
  <c r="L293"/>
  <c r="G296" i="30"/>
  <c r="K296"/>
  <c r="L296" s="1"/>
  <c r="F297"/>
  <c r="J297" s="1"/>
  <c r="E307"/>
  <c r="I307"/>
  <c r="N307"/>
  <c r="P307" s="1"/>
  <c r="A308" s="1"/>
  <c r="B307"/>
  <c r="C307" s="1"/>
  <c r="D307"/>
  <c r="H307"/>
  <c r="K319"/>
  <c r="K306"/>
  <c r="J306"/>
  <c r="J319"/>
  <c r="K303" i="35" l="1"/>
  <c r="G303"/>
  <c r="I303" s="1"/>
  <c r="A306"/>
  <c r="E306" s="1"/>
  <c r="J303"/>
  <c r="A319"/>
  <c r="H303"/>
  <c r="L294"/>
  <c r="E296"/>
  <c r="F295"/>
  <c r="A297"/>
  <c r="B297" s="1"/>
  <c r="C297" s="1"/>
  <c r="B296"/>
  <c r="C296" s="1"/>
  <c r="D296"/>
  <c r="I296"/>
  <c r="U67" s="1"/>
  <c r="K297" i="30"/>
  <c r="L297" s="1"/>
  <c r="G297"/>
  <c r="E308"/>
  <c r="D308"/>
  <c r="B308"/>
  <c r="C308" s="1"/>
  <c r="N308"/>
  <c r="I308"/>
  <c r="H308"/>
  <c r="O308"/>
  <c r="F307"/>
  <c r="L319"/>
  <c r="L306"/>
  <c r="H319" i="35" l="1"/>
  <c r="T69" s="1"/>
  <c r="H306"/>
  <c r="D319"/>
  <c r="N306"/>
  <c r="B306"/>
  <c r="C306" s="1"/>
  <c r="O306"/>
  <c r="D297"/>
  <c r="I306"/>
  <c r="E319"/>
  <c r="B319"/>
  <c r="C319" s="1"/>
  <c r="I319"/>
  <c r="U69" s="1"/>
  <c r="D306"/>
  <c r="F296"/>
  <c r="G296" s="1"/>
  <c r="H297"/>
  <c r="T68" s="1"/>
  <c r="I297"/>
  <c r="U68" s="1"/>
  <c r="G295"/>
  <c r="K295"/>
  <c r="J295"/>
  <c r="E297"/>
  <c r="K296"/>
  <c r="P308" i="30"/>
  <c r="A309" s="1"/>
  <c r="N309" s="1"/>
  <c r="F308"/>
  <c r="G308" s="1"/>
  <c r="G307"/>
  <c r="J307"/>
  <c r="K307"/>
  <c r="F319" i="35" l="1"/>
  <c r="K319" s="1"/>
  <c r="F306"/>
  <c r="K306" s="1"/>
  <c r="P306"/>
  <c r="A307" s="1"/>
  <c r="H307" s="1"/>
  <c r="F297"/>
  <c r="G297" s="1"/>
  <c r="J296"/>
  <c r="L296" s="1"/>
  <c r="L295"/>
  <c r="O309" i="30"/>
  <c r="P309" s="1"/>
  <c r="A310" s="1"/>
  <c r="O310" s="1"/>
  <c r="I309"/>
  <c r="D309"/>
  <c r="E309"/>
  <c r="H309"/>
  <c r="B309"/>
  <c r="C309" s="1"/>
  <c r="L307"/>
  <c r="J308"/>
  <c r="K308"/>
  <c r="G319" i="35" l="1"/>
  <c r="J319"/>
  <c r="L319" s="1"/>
  <c r="O307"/>
  <c r="E307"/>
  <c r="B307"/>
  <c r="C307" s="1"/>
  <c r="J306"/>
  <c r="L306" s="1"/>
  <c r="I307"/>
  <c r="D307"/>
  <c r="G306"/>
  <c r="N307"/>
  <c r="J297"/>
  <c r="K297"/>
  <c r="F309" i="30"/>
  <c r="K309" s="1"/>
  <c r="H310"/>
  <c r="N310"/>
  <c r="P310" s="1"/>
  <c r="A311" s="1"/>
  <c r="O311" s="1"/>
  <c r="D310"/>
  <c r="E310"/>
  <c r="B310"/>
  <c r="C310" s="1"/>
  <c r="I310"/>
  <c r="L308"/>
  <c r="F307" i="35" l="1"/>
  <c r="K307" s="1"/>
  <c r="P307"/>
  <c r="A308" s="1"/>
  <c r="E308" s="1"/>
  <c r="L297"/>
  <c r="J309" i="30"/>
  <c r="L309" s="1"/>
  <c r="G309"/>
  <c r="F310"/>
  <c r="G310" s="1"/>
  <c r="N311"/>
  <c r="P311" s="1"/>
  <c r="A312" s="1"/>
  <c r="D312" s="1"/>
  <c r="D311"/>
  <c r="B311"/>
  <c r="C311" s="1"/>
  <c r="H311"/>
  <c r="I311"/>
  <c r="E311"/>
  <c r="N308" i="35" l="1"/>
  <c r="G307"/>
  <c r="D308"/>
  <c r="B308"/>
  <c r="C308" s="1"/>
  <c r="J307"/>
  <c r="L307" s="1"/>
  <c r="H308"/>
  <c r="O308"/>
  <c r="I308"/>
  <c r="K310" i="30"/>
  <c r="J310"/>
  <c r="F311"/>
  <c r="G311" s="1"/>
  <c r="O312"/>
  <c r="I312"/>
  <c r="E312"/>
  <c r="N312"/>
  <c r="B312"/>
  <c r="C312" s="1"/>
  <c r="H312"/>
  <c r="P308" i="35" l="1"/>
  <c r="A309" s="1"/>
  <c r="B309" s="1"/>
  <c r="C309" s="1"/>
  <c r="F308"/>
  <c r="J308" s="1"/>
  <c r="L310" i="30"/>
  <c r="K311"/>
  <c r="J311"/>
  <c r="P312"/>
  <c r="A313" s="1"/>
  <c r="B313" s="1"/>
  <c r="C313" s="1"/>
  <c r="F312"/>
  <c r="K312" s="1"/>
  <c r="G308" i="35" l="1"/>
  <c r="H309"/>
  <c r="D309"/>
  <c r="K308"/>
  <c r="L308" s="1"/>
  <c r="I309"/>
  <c r="O309"/>
  <c r="E309"/>
  <c r="N309"/>
  <c r="F309"/>
  <c r="L311" i="30"/>
  <c r="D313"/>
  <c r="J312"/>
  <c r="L312" s="1"/>
  <c r="N313"/>
  <c r="E313"/>
  <c r="H313"/>
  <c r="I313"/>
  <c r="G312"/>
  <c r="O313"/>
  <c r="P309" i="35" l="1"/>
  <c r="A310" s="1"/>
  <c r="N310" s="1"/>
  <c r="G309"/>
  <c r="J309"/>
  <c r="K309"/>
  <c r="F313" i="30"/>
  <c r="K313" s="1"/>
  <c r="P313"/>
  <c r="A314" s="1"/>
  <c r="B314" s="1"/>
  <c r="C314" s="1"/>
  <c r="I310" i="35" l="1"/>
  <c r="O310"/>
  <c r="P310" s="1"/>
  <c r="A311" s="1"/>
  <c r="B311" s="1"/>
  <c r="C311" s="1"/>
  <c r="B310"/>
  <c r="C310" s="1"/>
  <c r="D310"/>
  <c r="H310"/>
  <c r="E310"/>
  <c r="L309"/>
  <c r="J313" i="30"/>
  <c r="L313" s="1"/>
  <c r="G313"/>
  <c r="N314"/>
  <c r="O314"/>
  <c r="E314"/>
  <c r="H314"/>
  <c r="D314"/>
  <c r="I314"/>
  <c r="F310" i="35" l="1"/>
  <c r="J310" s="1"/>
  <c r="I311"/>
  <c r="N311"/>
  <c r="O311"/>
  <c r="H311"/>
  <c r="E311"/>
  <c r="D311"/>
  <c r="P314" i="30"/>
  <c r="A315" s="1"/>
  <c r="E315" s="1"/>
  <c r="F314"/>
  <c r="J314" s="1"/>
  <c r="P311" i="35" l="1"/>
  <c r="A312" s="1"/>
  <c r="E312" s="1"/>
  <c r="K310"/>
  <c r="L310" s="1"/>
  <c r="F311"/>
  <c r="G311" s="1"/>
  <c r="G310"/>
  <c r="D315" i="30"/>
  <c r="N315"/>
  <c r="O315"/>
  <c r="H315"/>
  <c r="I315"/>
  <c r="B315"/>
  <c r="C315" s="1"/>
  <c r="G314"/>
  <c r="K314"/>
  <c r="L314" s="1"/>
  <c r="J311" i="35" l="1"/>
  <c r="H312"/>
  <c r="N312"/>
  <c r="P312" s="1"/>
  <c r="A313" s="1"/>
  <c r="H313" s="1"/>
  <c r="D312"/>
  <c r="O312"/>
  <c r="B312"/>
  <c r="C312" s="1"/>
  <c r="I312"/>
  <c r="K311"/>
  <c r="F315" i="30"/>
  <c r="K315" s="1"/>
  <c r="P315"/>
  <c r="A316" s="1"/>
  <c r="I316" s="1"/>
  <c r="I327" s="1"/>
  <c r="L311" i="35" l="1"/>
  <c r="F312"/>
  <c r="N313"/>
  <c r="E313"/>
  <c r="I313"/>
  <c r="B313"/>
  <c r="C313" s="1"/>
  <c r="O313"/>
  <c r="D313"/>
  <c r="J315" i="30"/>
  <c r="L315" s="1"/>
  <c r="G315"/>
  <c r="B316"/>
  <c r="C316" s="1"/>
  <c r="O316"/>
  <c r="D316"/>
  <c r="F303"/>
  <c r="A320" s="1"/>
  <c r="H320" s="1"/>
  <c r="T70" s="1"/>
  <c r="H316"/>
  <c r="H327" s="1"/>
  <c r="N316"/>
  <c r="AM36" s="1"/>
  <c r="E316"/>
  <c r="J312" i="35" l="1"/>
  <c r="K312"/>
  <c r="G312"/>
  <c r="F313"/>
  <c r="K313" s="1"/>
  <c r="P313"/>
  <c r="A314" s="1"/>
  <c r="H314" s="1"/>
  <c r="E320" i="30"/>
  <c r="I320"/>
  <c r="U70" s="1"/>
  <c r="D320"/>
  <c r="P316"/>
  <c r="F316"/>
  <c r="J316" s="1"/>
  <c r="J327" s="1"/>
  <c r="A321"/>
  <c r="D321" s="1"/>
  <c r="B320"/>
  <c r="C320" s="1"/>
  <c r="L312" i="35" l="1"/>
  <c r="G313"/>
  <c r="J313"/>
  <c r="L313" s="1"/>
  <c r="E314"/>
  <c r="D314"/>
  <c r="N314"/>
  <c r="P314" s="1"/>
  <c r="A315" s="1"/>
  <c r="I315" s="1"/>
  <c r="B314"/>
  <c r="C314" s="1"/>
  <c r="O314"/>
  <c r="I314"/>
  <c r="F320" i="30"/>
  <c r="G320" s="1"/>
  <c r="K316"/>
  <c r="K327" s="1"/>
  <c r="E330" s="1"/>
  <c r="G316"/>
  <c r="H321"/>
  <c r="T71" s="1"/>
  <c r="I321"/>
  <c r="U71" s="1"/>
  <c r="E321"/>
  <c r="B321"/>
  <c r="C321" s="1"/>
  <c r="A322"/>
  <c r="F314" i="35" l="1"/>
  <c r="J314" s="1"/>
  <c r="H315"/>
  <c r="E315"/>
  <c r="N315"/>
  <c r="P315" s="1"/>
  <c r="A316" s="1"/>
  <c r="F303" s="1"/>
  <c r="A320" s="1"/>
  <c r="B320" s="1"/>
  <c r="C320" s="1"/>
  <c r="B315"/>
  <c r="C315" s="1"/>
  <c r="D315"/>
  <c r="O315"/>
  <c r="K320" i="30"/>
  <c r="J320"/>
  <c r="L316"/>
  <c r="D330"/>
  <c r="K330" s="1"/>
  <c r="A323"/>
  <c r="H322"/>
  <c r="T72" s="1"/>
  <c r="I322"/>
  <c r="U72" s="1"/>
  <c r="E322"/>
  <c r="B322"/>
  <c r="C322" s="1"/>
  <c r="F321"/>
  <c r="D322"/>
  <c r="H330"/>
  <c r="J330"/>
  <c r="G330"/>
  <c r="I330" s="1"/>
  <c r="A333"/>
  <c r="A346"/>
  <c r="G314" i="35" l="1"/>
  <c r="K314"/>
  <c r="L314" s="1"/>
  <c r="F315"/>
  <c r="O316"/>
  <c r="D316"/>
  <c r="E320"/>
  <c r="H316"/>
  <c r="H327" s="1"/>
  <c r="D320"/>
  <c r="E316"/>
  <c r="I320"/>
  <c r="U70" s="1"/>
  <c r="A321"/>
  <c r="D321" s="1"/>
  <c r="H320"/>
  <c r="T70" s="1"/>
  <c r="I316"/>
  <c r="I327" s="1"/>
  <c r="N316"/>
  <c r="AM36" s="1"/>
  <c r="B316"/>
  <c r="C316" s="1"/>
  <c r="L320" i="30"/>
  <c r="I346"/>
  <c r="U75" s="1"/>
  <c r="D323"/>
  <c r="H323"/>
  <c r="T73" s="1"/>
  <c r="B323"/>
  <c r="C323" s="1"/>
  <c r="I323"/>
  <c r="U73" s="1"/>
  <c r="E323"/>
  <c r="A324"/>
  <c r="K321"/>
  <c r="G321"/>
  <c r="J321"/>
  <c r="F322"/>
  <c r="H333"/>
  <c r="O333"/>
  <c r="I333"/>
  <c r="B333"/>
  <c r="E333"/>
  <c r="D333"/>
  <c r="N333"/>
  <c r="B346"/>
  <c r="E346"/>
  <c r="D346"/>
  <c r="H346"/>
  <c r="T75" s="1"/>
  <c r="K315" i="35" l="1"/>
  <c r="G315"/>
  <c r="J315"/>
  <c r="E321"/>
  <c r="H321"/>
  <c r="T71" s="1"/>
  <c r="I321"/>
  <c r="U71" s="1"/>
  <c r="B321"/>
  <c r="C321" s="1"/>
  <c r="A322"/>
  <c r="F320"/>
  <c r="K320" s="1"/>
  <c r="F316"/>
  <c r="G316" s="1"/>
  <c r="P316"/>
  <c r="B322"/>
  <c r="C322" s="1"/>
  <c r="A323"/>
  <c r="D322"/>
  <c r="H322"/>
  <c r="T72" s="1"/>
  <c r="E322"/>
  <c r="I322"/>
  <c r="U72" s="1"/>
  <c r="F321"/>
  <c r="L321" i="30"/>
  <c r="F323"/>
  <c r="G323" s="1"/>
  <c r="J322"/>
  <c r="K322"/>
  <c r="G322"/>
  <c r="B324"/>
  <c r="C324" s="1"/>
  <c r="I324"/>
  <c r="U74" s="1"/>
  <c r="H324"/>
  <c r="T74" s="1"/>
  <c r="E324"/>
  <c r="D324"/>
  <c r="P333"/>
  <c r="A334" s="1"/>
  <c r="D334" s="1"/>
  <c r="C346"/>
  <c r="F346" s="1"/>
  <c r="J346" s="1"/>
  <c r="C333"/>
  <c r="F333" s="1"/>
  <c r="G333" s="1"/>
  <c r="L315" i="35" l="1"/>
  <c r="G320"/>
  <c r="J320"/>
  <c r="L320" s="1"/>
  <c r="K316"/>
  <c r="K327" s="1"/>
  <c r="J316"/>
  <c r="F322"/>
  <c r="H323"/>
  <c r="T73" s="1"/>
  <c r="B323"/>
  <c r="C323" s="1"/>
  <c r="D323"/>
  <c r="A324"/>
  <c r="I323"/>
  <c r="U73" s="1"/>
  <c r="E323"/>
  <c r="J321"/>
  <c r="K321"/>
  <c r="G321"/>
  <c r="F324" i="30"/>
  <c r="K324" s="1"/>
  <c r="K323"/>
  <c r="J323"/>
  <c r="L322"/>
  <c r="H334"/>
  <c r="E334"/>
  <c r="O334"/>
  <c r="I334"/>
  <c r="B334"/>
  <c r="C334" s="1"/>
  <c r="N334"/>
  <c r="K346"/>
  <c r="L346" s="1"/>
  <c r="G346"/>
  <c r="K333"/>
  <c r="J333"/>
  <c r="L316" i="35" l="1"/>
  <c r="F323"/>
  <c r="J323" s="1"/>
  <c r="J327"/>
  <c r="D330" s="1"/>
  <c r="L321"/>
  <c r="G322"/>
  <c r="K322"/>
  <c r="J322"/>
  <c r="H324"/>
  <c r="T74" s="1"/>
  <c r="I324"/>
  <c r="U74" s="1"/>
  <c r="B324"/>
  <c r="C324" s="1"/>
  <c r="E324"/>
  <c r="D324"/>
  <c r="G324" i="30"/>
  <c r="J324"/>
  <c r="L324" s="1"/>
  <c r="L323"/>
  <c r="F334"/>
  <c r="J334" s="1"/>
  <c r="P334"/>
  <c r="A335" s="1"/>
  <c r="L333"/>
  <c r="K323" i="35" l="1"/>
  <c r="L323" s="1"/>
  <c r="G323"/>
  <c r="E330"/>
  <c r="H330" s="1"/>
  <c r="F324"/>
  <c r="L322"/>
  <c r="G334" i="30"/>
  <c r="K334"/>
  <c r="L334" s="1"/>
  <c r="O335"/>
  <c r="E335"/>
  <c r="I335"/>
  <c r="B335"/>
  <c r="C335" s="1"/>
  <c r="D335"/>
  <c r="N335"/>
  <c r="H335"/>
  <c r="A346" i="35" l="1"/>
  <c r="D346" s="1"/>
  <c r="J330"/>
  <c r="K330"/>
  <c r="A333"/>
  <c r="E333" s="1"/>
  <c r="G330"/>
  <c r="I330" s="1"/>
  <c r="J324"/>
  <c r="G324"/>
  <c r="K324"/>
  <c r="F335" i="30"/>
  <c r="P335"/>
  <c r="A336" s="1"/>
  <c r="I346" i="35" l="1"/>
  <c r="U75" s="1"/>
  <c r="E346"/>
  <c r="B346"/>
  <c r="C346" s="1"/>
  <c r="D333"/>
  <c r="I333"/>
  <c r="N333"/>
  <c r="O333"/>
  <c r="H333"/>
  <c r="H346"/>
  <c r="T75" s="1"/>
  <c r="B333"/>
  <c r="C333" s="1"/>
  <c r="L324"/>
  <c r="H336" i="30"/>
  <c r="O336"/>
  <c r="E336"/>
  <c r="D336"/>
  <c r="I336"/>
  <c r="B336"/>
  <c r="C336" s="1"/>
  <c r="N336"/>
  <c r="G335"/>
  <c r="J335"/>
  <c r="K335"/>
  <c r="P333" i="35" l="1"/>
  <c r="A334" s="1"/>
  <c r="N334" s="1"/>
  <c r="F333"/>
  <c r="G333" s="1"/>
  <c r="F346"/>
  <c r="K346" s="1"/>
  <c r="L335" i="30"/>
  <c r="P336"/>
  <c r="A337" s="1"/>
  <c r="D337" s="1"/>
  <c r="F336"/>
  <c r="E334" i="35" l="1"/>
  <c r="B334"/>
  <c r="C334" s="1"/>
  <c r="H334"/>
  <c r="D334"/>
  <c r="O334"/>
  <c r="P334" s="1"/>
  <c r="A335" s="1"/>
  <c r="H335" s="1"/>
  <c r="I334"/>
  <c r="K333"/>
  <c r="J333"/>
  <c r="G346"/>
  <c r="J346"/>
  <c r="L346" s="1"/>
  <c r="N337" i="30"/>
  <c r="I337"/>
  <c r="H337"/>
  <c r="E337"/>
  <c r="B337"/>
  <c r="C337" s="1"/>
  <c r="O337"/>
  <c r="J336"/>
  <c r="G336"/>
  <c r="K336"/>
  <c r="F334" i="35" l="1"/>
  <c r="G334" s="1"/>
  <c r="D335"/>
  <c r="N335"/>
  <c r="I335"/>
  <c r="E335"/>
  <c r="B335"/>
  <c r="C335" s="1"/>
  <c r="O335"/>
  <c r="L333"/>
  <c r="P337" i="30"/>
  <c r="A338" s="1"/>
  <c r="E338" s="1"/>
  <c r="F337"/>
  <c r="G337" s="1"/>
  <c r="L336"/>
  <c r="K334" i="35" l="1"/>
  <c r="J334"/>
  <c r="P335"/>
  <c r="A336" s="1"/>
  <c r="N336" s="1"/>
  <c r="F335"/>
  <c r="G335" s="1"/>
  <c r="H338" i="30"/>
  <c r="O338"/>
  <c r="D338"/>
  <c r="I338"/>
  <c r="B338"/>
  <c r="C338" s="1"/>
  <c r="N338"/>
  <c r="K337"/>
  <c r="J337"/>
  <c r="L334" i="35" l="1"/>
  <c r="E336"/>
  <c r="O336"/>
  <c r="P336" s="1"/>
  <c r="A337" s="1"/>
  <c r="E337" s="1"/>
  <c r="I336"/>
  <c r="B336"/>
  <c r="C336" s="1"/>
  <c r="H336"/>
  <c r="D336"/>
  <c r="K335"/>
  <c r="J335"/>
  <c r="F338" i="30"/>
  <c r="G338" s="1"/>
  <c r="P338"/>
  <c r="A339" s="1"/>
  <c r="B339" s="1"/>
  <c r="C339" s="1"/>
  <c r="L337"/>
  <c r="F336" i="35" l="1"/>
  <c r="G336" s="1"/>
  <c r="L335"/>
  <c r="O337"/>
  <c r="B337"/>
  <c r="C337" s="1"/>
  <c r="H337"/>
  <c r="D337"/>
  <c r="I337"/>
  <c r="N337"/>
  <c r="J338" i="30"/>
  <c r="K338"/>
  <c r="E339"/>
  <c r="N339"/>
  <c r="D339"/>
  <c r="O339"/>
  <c r="H339"/>
  <c r="I339"/>
  <c r="K336" i="35" l="1"/>
  <c r="J336"/>
  <c r="F337"/>
  <c r="K337" s="1"/>
  <c r="P337"/>
  <c r="A338" s="1"/>
  <c r="B338" s="1"/>
  <c r="C338" s="1"/>
  <c r="L338" i="30"/>
  <c r="P339"/>
  <c r="A340" s="1"/>
  <c r="B340" s="1"/>
  <c r="C340" s="1"/>
  <c r="F339"/>
  <c r="G339" s="1"/>
  <c r="L336" i="35" l="1"/>
  <c r="J337"/>
  <c r="L337" s="1"/>
  <c r="G337"/>
  <c r="D338"/>
  <c r="N338"/>
  <c r="E338"/>
  <c r="O338"/>
  <c r="I338"/>
  <c r="H338"/>
  <c r="E340" i="30"/>
  <c r="D340"/>
  <c r="I340"/>
  <c r="H340"/>
  <c r="N340"/>
  <c r="O340"/>
  <c r="K339"/>
  <c r="J339"/>
  <c r="F338" i="35" l="1"/>
  <c r="G338" s="1"/>
  <c r="P338"/>
  <c r="A339" s="1"/>
  <c r="D339" s="1"/>
  <c r="P340" i="30"/>
  <c r="A341" s="1"/>
  <c r="I341" s="1"/>
  <c r="F340"/>
  <c r="G340" s="1"/>
  <c r="L339"/>
  <c r="K338" i="35" l="1"/>
  <c r="J338"/>
  <c r="B339"/>
  <c r="C339" s="1"/>
  <c r="F339" s="1"/>
  <c r="G339" s="1"/>
  <c r="I339"/>
  <c r="H339"/>
  <c r="E339"/>
  <c r="N339"/>
  <c r="O339"/>
  <c r="O341" i="30"/>
  <c r="B341"/>
  <c r="C341" s="1"/>
  <c r="N341"/>
  <c r="H341"/>
  <c r="E341"/>
  <c r="D341"/>
  <c r="K340"/>
  <c r="J340"/>
  <c r="L338" i="35" l="1"/>
  <c r="P339"/>
  <c r="A340" s="1"/>
  <c r="D340" s="1"/>
  <c r="J339"/>
  <c r="K339"/>
  <c r="F341" i="30"/>
  <c r="J341" s="1"/>
  <c r="P341"/>
  <c r="A342" s="1"/>
  <c r="O342" s="1"/>
  <c r="L340"/>
  <c r="N340" i="35" l="1"/>
  <c r="H340"/>
  <c r="O340"/>
  <c r="B340"/>
  <c r="C340" s="1"/>
  <c r="F340" s="1"/>
  <c r="G340" s="1"/>
  <c r="I340"/>
  <c r="E340"/>
  <c r="L339"/>
  <c r="G341" i="30"/>
  <c r="K341"/>
  <c r="L341" s="1"/>
  <c r="E342"/>
  <c r="H342"/>
  <c r="D342"/>
  <c r="I342"/>
  <c r="B342"/>
  <c r="C342" s="1"/>
  <c r="N342"/>
  <c r="P342" s="1"/>
  <c r="A343" s="1"/>
  <c r="D343" s="1"/>
  <c r="P340" i="35" l="1"/>
  <c r="A341" s="1"/>
  <c r="E341" s="1"/>
  <c r="K340"/>
  <c r="J340"/>
  <c r="F342" i="30"/>
  <c r="G342" s="1"/>
  <c r="N343"/>
  <c r="AN36" s="1"/>
  <c r="B343"/>
  <c r="C343" s="1"/>
  <c r="H343"/>
  <c r="H354" s="1"/>
  <c r="O343"/>
  <c r="I343"/>
  <c r="I354" s="1"/>
  <c r="E343"/>
  <c r="F330"/>
  <c r="A347" s="1"/>
  <c r="D347" s="1"/>
  <c r="B341" i="35" l="1"/>
  <c r="C341" s="1"/>
  <c r="H341"/>
  <c r="D341"/>
  <c r="N341"/>
  <c r="I341"/>
  <c r="O341"/>
  <c r="L340"/>
  <c r="I347" i="30"/>
  <c r="U76" s="1"/>
  <c r="E347"/>
  <c r="A348"/>
  <c r="A349" s="1"/>
  <c r="H347"/>
  <c r="T76" s="1"/>
  <c r="F343"/>
  <c r="J343" s="1"/>
  <c r="J342"/>
  <c r="P343"/>
  <c r="K342"/>
  <c r="B347"/>
  <c r="C347" s="1"/>
  <c r="P341" i="35" l="1"/>
  <c r="A342" s="1"/>
  <c r="B342" s="1"/>
  <c r="C342" s="1"/>
  <c r="F341"/>
  <c r="G341" s="1"/>
  <c r="K343" i="30"/>
  <c r="K354" s="1"/>
  <c r="G343"/>
  <c r="F347"/>
  <c r="G347" s="1"/>
  <c r="D348"/>
  <c r="B348"/>
  <c r="C348" s="1"/>
  <c r="H348"/>
  <c r="T77" s="1"/>
  <c r="E348"/>
  <c r="I348"/>
  <c r="U77" s="1"/>
  <c r="L342"/>
  <c r="J354"/>
  <c r="D349"/>
  <c r="E349"/>
  <c r="I349"/>
  <c r="U78" s="1"/>
  <c r="B349"/>
  <c r="C349" s="1"/>
  <c r="A350"/>
  <c r="H349"/>
  <c r="T78" s="1"/>
  <c r="K341" i="35" l="1"/>
  <c r="N342"/>
  <c r="F342"/>
  <c r="K342" s="1"/>
  <c r="H342"/>
  <c r="I342"/>
  <c r="E342"/>
  <c r="O342"/>
  <c r="D342"/>
  <c r="J341"/>
  <c r="G342"/>
  <c r="L343" i="30"/>
  <c r="K347"/>
  <c r="J347"/>
  <c r="F348"/>
  <c r="G348" s="1"/>
  <c r="E357"/>
  <c r="D357"/>
  <c r="B350"/>
  <c r="C350" s="1"/>
  <c r="A351"/>
  <c r="D350"/>
  <c r="E350"/>
  <c r="H350"/>
  <c r="T79" s="1"/>
  <c r="I350"/>
  <c r="U79" s="1"/>
  <c r="F349"/>
  <c r="G349" s="1"/>
  <c r="L341" i="35" l="1"/>
  <c r="P342"/>
  <c r="A343" s="1"/>
  <c r="D343" s="1"/>
  <c r="J342"/>
  <c r="L342" s="1"/>
  <c r="L347" i="30"/>
  <c r="J348"/>
  <c r="K348"/>
  <c r="J349"/>
  <c r="K357"/>
  <c r="A360"/>
  <c r="J357"/>
  <c r="A373"/>
  <c r="G357"/>
  <c r="I357" s="1"/>
  <c r="H357"/>
  <c r="B351"/>
  <c r="D351"/>
  <c r="I351"/>
  <c r="U80" s="1"/>
  <c r="E351"/>
  <c r="H351"/>
  <c r="T80" s="1"/>
  <c r="K349"/>
  <c r="F350"/>
  <c r="H343" i="35" l="1"/>
  <c r="H354" s="1"/>
  <c r="E343"/>
  <c r="I343"/>
  <c r="I354" s="1"/>
  <c r="O343"/>
  <c r="N343"/>
  <c r="AN36" s="1"/>
  <c r="B343"/>
  <c r="C343" s="1"/>
  <c r="F330"/>
  <c r="A347" s="1"/>
  <c r="I347" s="1"/>
  <c r="U76" s="1"/>
  <c r="L348" i="30"/>
  <c r="L349"/>
  <c r="H373"/>
  <c r="T81" s="1"/>
  <c r="I373"/>
  <c r="U81" s="1"/>
  <c r="O360"/>
  <c r="B360"/>
  <c r="C360" s="1"/>
  <c r="E360"/>
  <c r="D360"/>
  <c r="E373"/>
  <c r="B373"/>
  <c r="D373"/>
  <c r="C351"/>
  <c r="F351" s="1"/>
  <c r="G351" s="1"/>
  <c r="H360"/>
  <c r="I360"/>
  <c r="G350"/>
  <c r="J350"/>
  <c r="K350"/>
  <c r="N360"/>
  <c r="E347" i="35" l="1"/>
  <c r="B347"/>
  <c r="C347" s="1"/>
  <c r="H347"/>
  <c r="T76" s="1"/>
  <c r="F343"/>
  <c r="G343" s="1"/>
  <c r="A348"/>
  <c r="I348" s="1"/>
  <c r="U77" s="1"/>
  <c r="P343"/>
  <c r="D347"/>
  <c r="F360" i="30"/>
  <c r="G360" s="1"/>
  <c r="L350"/>
  <c r="P360"/>
  <c r="A361" s="1"/>
  <c r="O361" s="1"/>
  <c r="C373"/>
  <c r="F373" s="1"/>
  <c r="K351"/>
  <c r="J351"/>
  <c r="F347" i="35" l="1"/>
  <c r="J347" s="1"/>
  <c r="E348"/>
  <c r="H348"/>
  <c r="T77" s="1"/>
  <c r="D348"/>
  <c r="J343"/>
  <c r="J354" s="1"/>
  <c r="D357" s="1"/>
  <c r="B348"/>
  <c r="C348" s="1"/>
  <c r="K343"/>
  <c r="K354" s="1"/>
  <c r="A349"/>
  <c r="A350" s="1"/>
  <c r="A351" s="1"/>
  <c r="I351" s="1"/>
  <c r="U80" s="1"/>
  <c r="H350"/>
  <c r="T79" s="1"/>
  <c r="B350"/>
  <c r="C350" s="1"/>
  <c r="B349"/>
  <c r="C349" s="1"/>
  <c r="D349"/>
  <c r="H349"/>
  <c r="T78" s="1"/>
  <c r="E349"/>
  <c r="H351"/>
  <c r="T80" s="1"/>
  <c r="J360" i="30"/>
  <c r="K360"/>
  <c r="H361"/>
  <c r="E361"/>
  <c r="B361"/>
  <c r="C361" s="1"/>
  <c r="N361"/>
  <c r="P361" s="1"/>
  <c r="A362" s="1"/>
  <c r="I362" s="1"/>
  <c r="D361"/>
  <c r="I361"/>
  <c r="K373"/>
  <c r="G373"/>
  <c r="J373"/>
  <c r="L351"/>
  <c r="K347" i="35" l="1"/>
  <c r="L347" s="1"/>
  <c r="G347"/>
  <c r="F348"/>
  <c r="J348" s="1"/>
  <c r="D351"/>
  <c r="L343"/>
  <c r="B351"/>
  <c r="C351" s="1"/>
  <c r="I350"/>
  <c r="U79" s="1"/>
  <c r="D350"/>
  <c r="E357"/>
  <c r="G357" s="1"/>
  <c r="I357" s="1"/>
  <c r="E350"/>
  <c r="E351"/>
  <c r="I349"/>
  <c r="U78" s="1"/>
  <c r="F349"/>
  <c r="K349" s="1"/>
  <c r="L360" i="30"/>
  <c r="F361"/>
  <c r="G361" s="1"/>
  <c r="H362"/>
  <c r="E362"/>
  <c r="D362"/>
  <c r="O362"/>
  <c r="N362"/>
  <c r="B362"/>
  <c r="C362" s="1"/>
  <c r="L373"/>
  <c r="G348" i="35" l="1"/>
  <c r="K348"/>
  <c r="L348" s="1"/>
  <c r="F350"/>
  <c r="G350" s="1"/>
  <c r="F351"/>
  <c r="G351" s="1"/>
  <c r="K357"/>
  <c r="I360" s="1"/>
  <c r="A360"/>
  <c r="A373"/>
  <c r="H357"/>
  <c r="J357"/>
  <c r="G349"/>
  <c r="J349"/>
  <c r="L349" s="1"/>
  <c r="K361" i="30"/>
  <c r="J361"/>
  <c r="P362"/>
  <c r="A363" s="1"/>
  <c r="F362"/>
  <c r="G362" s="1"/>
  <c r="J351" i="35" l="1"/>
  <c r="K351"/>
  <c r="H373"/>
  <c r="T81" s="1"/>
  <c r="J350"/>
  <c r="L350" s="1"/>
  <c r="H360"/>
  <c r="O360"/>
  <c r="K350"/>
  <c r="D373"/>
  <c r="B373"/>
  <c r="C373" s="1"/>
  <c r="E373"/>
  <c r="E360"/>
  <c r="B360"/>
  <c r="C360" s="1"/>
  <c r="D360"/>
  <c r="N360"/>
  <c r="I373"/>
  <c r="U81" s="1"/>
  <c r="L361" i="30"/>
  <c r="H363"/>
  <c r="N363"/>
  <c r="D363"/>
  <c r="B363"/>
  <c r="C363" s="1"/>
  <c r="I363"/>
  <c r="O363"/>
  <c r="E363"/>
  <c r="J362"/>
  <c r="K362"/>
  <c r="L351" i="35" l="1"/>
  <c r="P360"/>
  <c r="A361" s="1"/>
  <c r="E361" s="1"/>
  <c r="F360"/>
  <c r="F373"/>
  <c r="P363" i="30"/>
  <c r="A364" s="1"/>
  <c r="H364" s="1"/>
  <c r="F363"/>
  <c r="L362"/>
  <c r="B361" i="35" l="1"/>
  <c r="C361" s="1"/>
  <c r="F361" s="1"/>
  <c r="G361" s="1"/>
  <c r="N361"/>
  <c r="P361" s="1"/>
  <c r="A362" s="1"/>
  <c r="B362" s="1"/>
  <c r="C362" s="1"/>
  <c r="I361"/>
  <c r="H361"/>
  <c r="D361"/>
  <c r="O361"/>
  <c r="G373"/>
  <c r="K373"/>
  <c r="J360"/>
  <c r="L360" s="1"/>
  <c r="G360"/>
  <c r="K360"/>
  <c r="J373"/>
  <c r="N364" i="30"/>
  <c r="O364"/>
  <c r="E364"/>
  <c r="B364"/>
  <c r="C364" s="1"/>
  <c r="D364"/>
  <c r="I364"/>
  <c r="G363"/>
  <c r="J363"/>
  <c r="K363"/>
  <c r="L373" i="35" l="1"/>
  <c r="K361"/>
  <c r="E362"/>
  <c r="H362"/>
  <c r="O362"/>
  <c r="I362"/>
  <c r="D362"/>
  <c r="N362"/>
  <c r="J361"/>
  <c r="P364" i="30"/>
  <c r="A365" s="1"/>
  <c r="N365" s="1"/>
  <c r="F364"/>
  <c r="G364" s="1"/>
  <c r="L363"/>
  <c r="F362" i="35" l="1"/>
  <c r="K362" s="1"/>
  <c r="P362"/>
  <c r="A363" s="1"/>
  <c r="O363" s="1"/>
  <c r="L361"/>
  <c r="I365" i="30"/>
  <c r="D365"/>
  <c r="B365"/>
  <c r="C365" s="1"/>
  <c r="H365"/>
  <c r="O365"/>
  <c r="P365" s="1"/>
  <c r="A366" s="1"/>
  <c r="H366" s="1"/>
  <c r="E365"/>
  <c r="K364"/>
  <c r="J364"/>
  <c r="G362" i="35" l="1"/>
  <c r="N363"/>
  <c r="P363" s="1"/>
  <c r="A364" s="1"/>
  <c r="B364" s="1"/>
  <c r="C364" s="1"/>
  <c r="H363"/>
  <c r="B363"/>
  <c r="C363" s="1"/>
  <c r="E363"/>
  <c r="J362"/>
  <c r="L362" s="1"/>
  <c r="I363"/>
  <c r="D363"/>
  <c r="F365" i="30"/>
  <c r="J365" s="1"/>
  <c r="N366"/>
  <c r="O366"/>
  <c r="D366"/>
  <c r="E366"/>
  <c r="I366"/>
  <c r="B366"/>
  <c r="C366" s="1"/>
  <c r="L364"/>
  <c r="F363" i="35" l="1"/>
  <c r="G363" s="1"/>
  <c r="I364"/>
  <c r="O364"/>
  <c r="D364"/>
  <c r="E364"/>
  <c r="N364"/>
  <c r="H364"/>
  <c r="F366" i="30"/>
  <c r="J366" s="1"/>
  <c r="K365"/>
  <c r="L365" s="1"/>
  <c r="P366"/>
  <c r="A367" s="1"/>
  <c r="H367" s="1"/>
  <c r="G365"/>
  <c r="J363" i="35" l="1"/>
  <c r="L363" s="1"/>
  <c r="K363"/>
  <c r="F364"/>
  <c r="K364" s="1"/>
  <c r="P364"/>
  <c r="A365" s="1"/>
  <c r="D365" s="1"/>
  <c r="G366" i="30"/>
  <c r="K366"/>
  <c r="L366" s="1"/>
  <c r="O367"/>
  <c r="B367"/>
  <c r="C367" s="1"/>
  <c r="I367"/>
  <c r="N367"/>
  <c r="E367"/>
  <c r="D367"/>
  <c r="J364" i="35" l="1"/>
  <c r="L364" s="1"/>
  <c r="G364"/>
  <c r="B365"/>
  <c r="C365" s="1"/>
  <c r="F365" s="1"/>
  <c r="J365" s="1"/>
  <c r="H365"/>
  <c r="O365"/>
  <c r="N365"/>
  <c r="I365"/>
  <c r="E365"/>
  <c r="F367" i="30"/>
  <c r="G367" s="1"/>
  <c r="P367"/>
  <c r="A368" s="1"/>
  <c r="O368" s="1"/>
  <c r="P365" i="35" l="1"/>
  <c r="A366" s="1"/>
  <c r="H366" s="1"/>
  <c r="G365"/>
  <c r="K365"/>
  <c r="L365" s="1"/>
  <c r="J367" i="30"/>
  <c r="K367"/>
  <c r="N368"/>
  <c r="P368" s="1"/>
  <c r="A369" s="1"/>
  <c r="E369" s="1"/>
  <c r="B368"/>
  <c r="C368" s="1"/>
  <c r="E368"/>
  <c r="I368"/>
  <c r="H368"/>
  <c r="D368"/>
  <c r="D366" i="35" l="1"/>
  <c r="I366"/>
  <c r="O366"/>
  <c r="B366"/>
  <c r="C366" s="1"/>
  <c r="N366"/>
  <c r="E366"/>
  <c r="L367" i="30"/>
  <c r="F368"/>
  <c r="G368" s="1"/>
  <c r="O369"/>
  <c r="H369"/>
  <c r="I369"/>
  <c r="D369"/>
  <c r="B369"/>
  <c r="C369" s="1"/>
  <c r="N369"/>
  <c r="P366" i="35" l="1"/>
  <c r="A367" s="1"/>
  <c r="I367" s="1"/>
  <c r="F366"/>
  <c r="F369" i="30"/>
  <c r="G369" s="1"/>
  <c r="K368"/>
  <c r="P369"/>
  <c r="A370" s="1"/>
  <c r="E370" s="1"/>
  <c r="J368"/>
  <c r="E367" i="35" l="1"/>
  <c r="H367"/>
  <c r="D367"/>
  <c r="B367"/>
  <c r="C367" s="1"/>
  <c r="O367"/>
  <c r="N367"/>
  <c r="K366"/>
  <c r="G366"/>
  <c r="J366"/>
  <c r="K369" i="30"/>
  <c r="J369"/>
  <c r="L368"/>
  <c r="B370"/>
  <c r="C370" s="1"/>
  <c r="N370"/>
  <c r="AO36" s="1"/>
  <c r="H370"/>
  <c r="H381" s="1"/>
  <c r="I370"/>
  <c r="I381" s="1"/>
  <c r="O370"/>
  <c r="F357"/>
  <c r="A374" s="1"/>
  <c r="E374" s="1"/>
  <c r="D370"/>
  <c r="P367" i="35" l="1"/>
  <c r="A368" s="1"/>
  <c r="E368" s="1"/>
  <c r="F367"/>
  <c r="G367" s="1"/>
  <c r="L366"/>
  <c r="L369" i="30"/>
  <c r="B374"/>
  <c r="C374" s="1"/>
  <c r="D374"/>
  <c r="A375"/>
  <c r="A376" s="1"/>
  <c r="A377" s="1"/>
  <c r="A378" s="1"/>
  <c r="E378" s="1"/>
  <c r="H374"/>
  <c r="T82" s="1"/>
  <c r="F370"/>
  <c r="K370" s="1"/>
  <c r="K381" s="1"/>
  <c r="P370"/>
  <c r="I374"/>
  <c r="U82" s="1"/>
  <c r="O368" i="35" l="1"/>
  <c r="P368" s="1"/>
  <c r="A369" s="1"/>
  <c r="E369" s="1"/>
  <c r="N368"/>
  <c r="D368"/>
  <c r="I368"/>
  <c r="B368"/>
  <c r="C368" s="1"/>
  <c r="H368"/>
  <c r="K367"/>
  <c r="J367"/>
  <c r="F374" i="30"/>
  <c r="J374" s="1"/>
  <c r="G370"/>
  <c r="E375"/>
  <c r="B376"/>
  <c r="C376" s="1"/>
  <c r="B378"/>
  <c r="C378" s="1"/>
  <c r="E377"/>
  <c r="D376"/>
  <c r="H377"/>
  <c r="T85" s="1"/>
  <c r="B375"/>
  <c r="C375" s="1"/>
  <c r="H378"/>
  <c r="T86" s="1"/>
  <c r="I378"/>
  <c r="U86" s="1"/>
  <c r="D378"/>
  <c r="I375"/>
  <c r="U83" s="1"/>
  <c r="D375"/>
  <c r="H375"/>
  <c r="T83" s="1"/>
  <c r="I377"/>
  <c r="U85" s="1"/>
  <c r="H376"/>
  <c r="T84" s="1"/>
  <c r="D377"/>
  <c r="E376"/>
  <c r="B377"/>
  <c r="C377" s="1"/>
  <c r="I376"/>
  <c r="U84" s="1"/>
  <c r="J370"/>
  <c r="J381" s="1"/>
  <c r="D384" s="1"/>
  <c r="F368" i="35" l="1"/>
  <c r="J368" s="1"/>
  <c r="H369"/>
  <c r="B369"/>
  <c r="C369" s="1"/>
  <c r="F369" s="1"/>
  <c r="K369" s="1"/>
  <c r="N369"/>
  <c r="P369" s="1"/>
  <c r="A370" s="1"/>
  <c r="D370" s="1"/>
  <c r="I369"/>
  <c r="O369"/>
  <c r="D369"/>
  <c r="L367"/>
  <c r="F375" i="30"/>
  <c r="G375" s="1"/>
  <c r="F377"/>
  <c r="G377" s="1"/>
  <c r="G374"/>
  <c r="K374"/>
  <c r="L374" s="1"/>
  <c r="F376"/>
  <c r="J376" s="1"/>
  <c r="L370"/>
  <c r="E384"/>
  <c r="J384" s="1"/>
  <c r="F378"/>
  <c r="G378" s="1"/>
  <c r="K368" i="35" l="1"/>
  <c r="L368" s="1"/>
  <c r="G368"/>
  <c r="J369"/>
  <c r="L369" s="1"/>
  <c r="G369"/>
  <c r="H370"/>
  <c r="H381" s="1"/>
  <c r="I370"/>
  <c r="I381" s="1"/>
  <c r="F357"/>
  <c r="A374" s="1"/>
  <c r="H374" s="1"/>
  <c r="T82" s="1"/>
  <c r="O370"/>
  <c r="B370"/>
  <c r="C370" s="1"/>
  <c r="F370" s="1"/>
  <c r="J370" s="1"/>
  <c r="J381" s="1"/>
  <c r="E370"/>
  <c r="N370"/>
  <c r="AO36" s="1"/>
  <c r="K377" i="30"/>
  <c r="K375"/>
  <c r="J375"/>
  <c r="J377"/>
  <c r="J378"/>
  <c r="G376"/>
  <c r="K376"/>
  <c r="L376" s="1"/>
  <c r="K378"/>
  <c r="K384"/>
  <c r="A400"/>
  <c r="E400" s="1"/>
  <c r="H384"/>
  <c r="G384"/>
  <c r="I384" s="1"/>
  <c r="A387"/>
  <c r="E387" s="1"/>
  <c r="P370" i="35" l="1"/>
  <c r="D374"/>
  <c r="E374"/>
  <c r="B374"/>
  <c r="C374" s="1"/>
  <c r="I374"/>
  <c r="U82" s="1"/>
  <c r="A375"/>
  <c r="I375" s="1"/>
  <c r="U83" s="1"/>
  <c r="G370"/>
  <c r="K370"/>
  <c r="K381" s="1"/>
  <c r="D384" s="1"/>
  <c r="D375"/>
  <c r="H375"/>
  <c r="T83" s="1"/>
  <c r="E375"/>
  <c r="L377" i="30"/>
  <c r="L375"/>
  <c r="L378"/>
  <c r="I387"/>
  <c r="D387"/>
  <c r="D400"/>
  <c r="B400"/>
  <c r="C400" s="1"/>
  <c r="O387"/>
  <c r="N387"/>
  <c r="H387"/>
  <c r="I400"/>
  <c r="U87" s="1"/>
  <c r="B387"/>
  <c r="C387" s="1"/>
  <c r="H400"/>
  <c r="T87" s="1"/>
  <c r="F374" i="35" l="1"/>
  <c r="J374" s="1"/>
  <c r="A376"/>
  <c r="B376" s="1"/>
  <c r="C376" s="1"/>
  <c r="B375"/>
  <c r="C375" s="1"/>
  <c r="F375" s="1"/>
  <c r="L370"/>
  <c r="E384"/>
  <c r="A387" s="1"/>
  <c r="F387" i="30"/>
  <c r="J387" s="1"/>
  <c r="F400"/>
  <c r="J400" s="1"/>
  <c r="P387"/>
  <c r="A388" s="1"/>
  <c r="I388" s="1"/>
  <c r="I376" i="35" l="1"/>
  <c r="U84" s="1"/>
  <c r="E376"/>
  <c r="D376"/>
  <c r="G374"/>
  <c r="A377"/>
  <c r="B377" s="1"/>
  <c r="H376"/>
  <c r="T84" s="1"/>
  <c r="K374"/>
  <c r="L374" s="1"/>
  <c r="A400"/>
  <c r="B400" s="1"/>
  <c r="K384"/>
  <c r="O387" s="1"/>
  <c r="H384"/>
  <c r="J384"/>
  <c r="G384"/>
  <c r="I384" s="1"/>
  <c r="J375"/>
  <c r="K375"/>
  <c r="G375"/>
  <c r="B387"/>
  <c r="C387" s="1"/>
  <c r="E387"/>
  <c r="D387"/>
  <c r="K387" i="30"/>
  <c r="L387" s="1"/>
  <c r="G387"/>
  <c r="K400"/>
  <c r="L400" s="1"/>
  <c r="G400"/>
  <c r="B388"/>
  <c r="C388" s="1"/>
  <c r="H388"/>
  <c r="D388"/>
  <c r="O388"/>
  <c r="N388"/>
  <c r="E388"/>
  <c r="E377" i="35" l="1"/>
  <c r="H377"/>
  <c r="T85" s="1"/>
  <c r="F376"/>
  <c r="G376" s="1"/>
  <c r="I377"/>
  <c r="U85" s="1"/>
  <c r="A378"/>
  <c r="D378" s="1"/>
  <c r="D377"/>
  <c r="F387"/>
  <c r="K387" s="1"/>
  <c r="H400"/>
  <c r="T87" s="1"/>
  <c r="D400"/>
  <c r="I387"/>
  <c r="E400"/>
  <c r="N387"/>
  <c r="P387" s="1"/>
  <c r="A388" s="1"/>
  <c r="N388" s="1"/>
  <c r="H387"/>
  <c r="I400"/>
  <c r="U87" s="1"/>
  <c r="C377"/>
  <c r="L375"/>
  <c r="J387"/>
  <c r="C400"/>
  <c r="F388" i="30"/>
  <c r="J388" s="1"/>
  <c r="P388"/>
  <c r="A389" s="1"/>
  <c r="N389" s="1"/>
  <c r="H378" i="35" l="1"/>
  <c r="T86" s="1"/>
  <c r="I378"/>
  <c r="U86" s="1"/>
  <c r="E378"/>
  <c r="B378"/>
  <c r="C378" s="1"/>
  <c r="K376"/>
  <c r="J376"/>
  <c r="G387"/>
  <c r="F377"/>
  <c r="G377" s="1"/>
  <c r="F400"/>
  <c r="J400" s="1"/>
  <c r="D388"/>
  <c r="H388"/>
  <c r="L387"/>
  <c r="E388"/>
  <c r="I388"/>
  <c r="B388"/>
  <c r="C388" s="1"/>
  <c r="O388"/>
  <c r="P388" s="1"/>
  <c r="A389" s="1"/>
  <c r="E389" s="1"/>
  <c r="G388" i="30"/>
  <c r="K388"/>
  <c r="L388" s="1"/>
  <c r="D389"/>
  <c r="B389"/>
  <c r="C389" s="1"/>
  <c r="I389"/>
  <c r="O389"/>
  <c r="P389" s="1"/>
  <c r="A390" s="1"/>
  <c r="D390" s="1"/>
  <c r="E389"/>
  <c r="H389"/>
  <c r="F378" i="35" l="1"/>
  <c r="G378" s="1"/>
  <c r="L376"/>
  <c r="J377"/>
  <c r="K377"/>
  <c r="K400"/>
  <c r="L400" s="1"/>
  <c r="G400"/>
  <c r="F388"/>
  <c r="G388" s="1"/>
  <c r="B389"/>
  <c r="C389" s="1"/>
  <c r="D389"/>
  <c r="I389"/>
  <c r="O389"/>
  <c r="N389"/>
  <c r="H389"/>
  <c r="F389" i="30"/>
  <c r="G389" s="1"/>
  <c r="H390"/>
  <c r="I390"/>
  <c r="B390"/>
  <c r="C390" s="1"/>
  <c r="E390"/>
  <c r="O390"/>
  <c r="N390"/>
  <c r="K378" i="35" l="1"/>
  <c r="J378"/>
  <c r="L377"/>
  <c r="K388"/>
  <c r="J388"/>
  <c r="F389"/>
  <c r="K389" s="1"/>
  <c r="P389"/>
  <c r="A390" s="1"/>
  <c r="I390" s="1"/>
  <c r="K389" i="30"/>
  <c r="F390"/>
  <c r="J390" s="1"/>
  <c r="J389"/>
  <c r="P390"/>
  <c r="A391" s="1"/>
  <c r="O391" s="1"/>
  <c r="L378" i="35" l="1"/>
  <c r="L388"/>
  <c r="G389"/>
  <c r="E390"/>
  <c r="N390"/>
  <c r="B390"/>
  <c r="C390" s="1"/>
  <c r="O390"/>
  <c r="H390"/>
  <c r="J389"/>
  <c r="L389" s="1"/>
  <c r="D390"/>
  <c r="K390" i="30"/>
  <c r="L390" s="1"/>
  <c r="G390"/>
  <c r="L389"/>
  <c r="N391"/>
  <c r="P391" s="1"/>
  <c r="A392" s="1"/>
  <c r="O392" s="1"/>
  <c r="B391"/>
  <c r="C391" s="1"/>
  <c r="H391"/>
  <c r="I391"/>
  <c r="D391"/>
  <c r="E391"/>
  <c r="P390" i="35" l="1"/>
  <c r="A391" s="1"/>
  <c r="D391" s="1"/>
  <c r="F390"/>
  <c r="F391" i="30"/>
  <c r="J391" s="1"/>
  <c r="D392"/>
  <c r="B392"/>
  <c r="C392" s="1"/>
  <c r="N392"/>
  <c r="P392" s="1"/>
  <c r="A393" s="1"/>
  <c r="H393" s="1"/>
  <c r="H392"/>
  <c r="I392"/>
  <c r="E392"/>
  <c r="O391" i="35" l="1"/>
  <c r="N391"/>
  <c r="B391"/>
  <c r="C391" s="1"/>
  <c r="F391" s="1"/>
  <c r="G391" s="1"/>
  <c r="H391"/>
  <c r="E391"/>
  <c r="I391"/>
  <c r="G390"/>
  <c r="J390"/>
  <c r="K390"/>
  <c r="G391" i="30"/>
  <c r="K391"/>
  <c r="L391" s="1"/>
  <c r="F392"/>
  <c r="G392" s="1"/>
  <c r="E393"/>
  <c r="B393"/>
  <c r="C393" s="1"/>
  <c r="O393"/>
  <c r="N393"/>
  <c r="I393"/>
  <c r="D393"/>
  <c r="P391" i="35" l="1"/>
  <c r="A392" s="1"/>
  <c r="I392" s="1"/>
  <c r="J391"/>
  <c r="K391"/>
  <c r="L390"/>
  <c r="K392" i="30"/>
  <c r="J392"/>
  <c r="F393"/>
  <c r="K393" s="1"/>
  <c r="P393"/>
  <c r="A394" s="1"/>
  <c r="L391" i="35" l="1"/>
  <c r="E392"/>
  <c r="B392"/>
  <c r="C392" s="1"/>
  <c r="O392"/>
  <c r="H392"/>
  <c r="D392"/>
  <c r="N392"/>
  <c r="L392" i="30"/>
  <c r="J393"/>
  <c r="L393" s="1"/>
  <c r="G393"/>
  <c r="O394"/>
  <c r="E394"/>
  <c r="D394"/>
  <c r="B394"/>
  <c r="C394" s="1"/>
  <c r="N394"/>
  <c r="H394"/>
  <c r="I394"/>
  <c r="F392" i="35" l="1"/>
  <c r="G392" s="1"/>
  <c r="P392"/>
  <c r="A393" s="1"/>
  <c r="N393" s="1"/>
  <c r="P394" i="30"/>
  <c r="A395" s="1"/>
  <c r="N395" s="1"/>
  <c r="F394"/>
  <c r="A12" i="16"/>
  <c r="K392" i="35" l="1"/>
  <c r="J392"/>
  <c r="D393"/>
  <c r="B393"/>
  <c r="C393" s="1"/>
  <c r="O393"/>
  <c r="P393" s="1"/>
  <c r="A394" s="1"/>
  <c r="E394" s="1"/>
  <c r="H393"/>
  <c r="E393"/>
  <c r="I393"/>
  <c r="I395" i="30"/>
  <c r="D395"/>
  <c r="O395"/>
  <c r="P395" s="1"/>
  <c r="A396" s="1"/>
  <c r="H395"/>
  <c r="E395"/>
  <c r="B395"/>
  <c r="C395" s="1"/>
  <c r="J394"/>
  <c r="K394"/>
  <c r="G394"/>
  <c r="A13" i="16"/>
  <c r="B12"/>
  <c r="C12" s="1"/>
  <c r="D12"/>
  <c r="E12"/>
  <c r="H12"/>
  <c r="T4" s="1"/>
  <c r="I12"/>
  <c r="U4" s="1"/>
  <c r="F393" i="35" l="1"/>
  <c r="G393" s="1"/>
  <c r="L392"/>
  <c r="B394"/>
  <c r="C394" s="1"/>
  <c r="F394" s="1"/>
  <c r="J394" s="1"/>
  <c r="I394"/>
  <c r="N394"/>
  <c r="O394"/>
  <c r="D394"/>
  <c r="H394"/>
  <c r="B396" i="30"/>
  <c r="C396" s="1"/>
  <c r="H396"/>
  <c r="I396"/>
  <c r="N396"/>
  <c r="D396"/>
  <c r="O396"/>
  <c r="E396"/>
  <c r="F395"/>
  <c r="J395" s="1"/>
  <c r="L394"/>
  <c r="B13" i="16"/>
  <c r="C13" s="1"/>
  <c r="H13"/>
  <c r="T5" s="1"/>
  <c r="D13"/>
  <c r="A14"/>
  <c r="I13"/>
  <c r="U5" s="1"/>
  <c r="E13"/>
  <c r="F12"/>
  <c r="K393" i="35" l="1"/>
  <c r="J393"/>
  <c r="K394"/>
  <c r="L394" s="1"/>
  <c r="P394"/>
  <c r="A395" s="1"/>
  <c r="G394"/>
  <c r="P396" i="30"/>
  <c r="A397" s="1"/>
  <c r="H397" s="1"/>
  <c r="H408" s="1"/>
  <c r="F396"/>
  <c r="J396" s="1"/>
  <c r="K395"/>
  <c r="L395" s="1"/>
  <c r="G395"/>
  <c r="G12" i="16"/>
  <c r="J12"/>
  <c r="K12"/>
  <c r="D14"/>
  <c r="B14"/>
  <c r="C14" s="1"/>
  <c r="H14"/>
  <c r="T6" s="1"/>
  <c r="A15"/>
  <c r="I14"/>
  <c r="U6" s="1"/>
  <c r="E14"/>
  <c r="F13"/>
  <c r="G13" s="1"/>
  <c r="L393" i="35" l="1"/>
  <c r="N395"/>
  <c r="B395"/>
  <c r="C395" s="1"/>
  <c r="H395"/>
  <c r="D395"/>
  <c r="I395"/>
  <c r="O395"/>
  <c r="E395"/>
  <c r="E397" i="30"/>
  <c r="F384"/>
  <c r="A401" s="1"/>
  <c r="A402" s="1"/>
  <c r="D402" s="1"/>
  <c r="I397"/>
  <c r="I408" s="1"/>
  <c r="D397"/>
  <c r="N397"/>
  <c r="AP36" s="1"/>
  <c r="B397"/>
  <c r="C397" s="1"/>
  <c r="O397"/>
  <c r="G396"/>
  <c r="K396"/>
  <c r="L396" s="1"/>
  <c r="L12" i="16"/>
  <c r="J13"/>
  <c r="F14"/>
  <c r="J14" s="1"/>
  <c r="K13"/>
  <c r="A16"/>
  <c r="E15"/>
  <c r="H15"/>
  <c r="T7" s="1"/>
  <c r="D15"/>
  <c r="I15"/>
  <c r="U7" s="1"/>
  <c r="B15"/>
  <c r="C15" s="1"/>
  <c r="P395" i="35" l="1"/>
  <c r="A396" s="1"/>
  <c r="H396" s="1"/>
  <c r="F395"/>
  <c r="G395" s="1"/>
  <c r="F397" i="30"/>
  <c r="G397" s="1"/>
  <c r="E402"/>
  <c r="B402"/>
  <c r="C402" s="1"/>
  <c r="A403"/>
  <c r="I403" s="1"/>
  <c r="U90" s="1"/>
  <c r="H402"/>
  <c r="T89" s="1"/>
  <c r="E401"/>
  <c r="P397"/>
  <c r="I402"/>
  <c r="U89" s="1"/>
  <c r="B401"/>
  <c r="C401" s="1"/>
  <c r="I401"/>
  <c r="U88" s="1"/>
  <c r="H401"/>
  <c r="T88" s="1"/>
  <c r="D401"/>
  <c r="L13" i="16"/>
  <c r="F15"/>
  <c r="J15" s="1"/>
  <c r="E16"/>
  <c r="D16"/>
  <c r="B16"/>
  <c r="C16" s="1"/>
  <c r="A17"/>
  <c r="H16"/>
  <c r="T8" s="1"/>
  <c r="I16"/>
  <c r="U8" s="1"/>
  <c r="G14"/>
  <c r="K14"/>
  <c r="L14" s="1"/>
  <c r="I396" i="35" l="1"/>
  <c r="B396"/>
  <c r="C396" s="1"/>
  <c r="N396"/>
  <c r="E396"/>
  <c r="O396"/>
  <c r="D396"/>
  <c r="K395"/>
  <c r="J395"/>
  <c r="K397" i="30"/>
  <c r="K408" s="1"/>
  <c r="J397"/>
  <c r="J408" s="1"/>
  <c r="B403"/>
  <c r="C403" s="1"/>
  <c r="D403"/>
  <c r="F402"/>
  <c r="J402" s="1"/>
  <c r="A404"/>
  <c r="A405" s="1"/>
  <c r="H403"/>
  <c r="T90" s="1"/>
  <c r="E403"/>
  <c r="F401"/>
  <c r="G401" s="1"/>
  <c r="G15" i="16"/>
  <c r="K15"/>
  <c r="L15" s="1"/>
  <c r="F16"/>
  <c r="B17"/>
  <c r="C17" s="1"/>
  <c r="A18"/>
  <c r="E17"/>
  <c r="H17"/>
  <c r="T9" s="1"/>
  <c r="D17"/>
  <c r="I17"/>
  <c r="U9" s="1"/>
  <c r="P396" i="35" l="1"/>
  <c r="A397" s="1"/>
  <c r="B397" s="1"/>
  <c r="C397" s="1"/>
  <c r="F396"/>
  <c r="K396" s="1"/>
  <c r="L395"/>
  <c r="E411" i="30"/>
  <c r="G411" s="1"/>
  <c r="I411" s="1"/>
  <c r="L397"/>
  <c r="D404"/>
  <c r="B404"/>
  <c r="C404" s="1"/>
  <c r="F403"/>
  <c r="J403" s="1"/>
  <c r="G402"/>
  <c r="K402"/>
  <c r="L402" s="1"/>
  <c r="E404"/>
  <c r="I404"/>
  <c r="U91" s="1"/>
  <c r="H404"/>
  <c r="T91" s="1"/>
  <c r="J401"/>
  <c r="K401"/>
  <c r="D411"/>
  <c r="E405"/>
  <c r="B405"/>
  <c r="C405" s="1"/>
  <c r="I405"/>
  <c r="U92" s="1"/>
  <c r="D405"/>
  <c r="H405"/>
  <c r="T92" s="1"/>
  <c r="F17" i="16"/>
  <c r="G17" s="1"/>
  <c r="G16"/>
  <c r="J16"/>
  <c r="K16"/>
  <c r="I18"/>
  <c r="U10" s="1"/>
  <c r="H18"/>
  <c r="T10" s="1"/>
  <c r="A19"/>
  <c r="E18"/>
  <c r="D18"/>
  <c r="B18"/>
  <c r="C18" s="1"/>
  <c r="H397" i="35" l="1"/>
  <c r="H408" s="1"/>
  <c r="F384"/>
  <c r="A401" s="1"/>
  <c r="E401" s="1"/>
  <c r="I397"/>
  <c r="I408" s="1"/>
  <c r="E397"/>
  <c r="O397"/>
  <c r="G396"/>
  <c r="D397"/>
  <c r="N397"/>
  <c r="AP36" s="1"/>
  <c r="J396"/>
  <c r="L396" s="1"/>
  <c r="A427" i="30"/>
  <c r="E427" s="1"/>
  <c r="K411"/>
  <c r="H411"/>
  <c r="J411"/>
  <c r="A414"/>
  <c r="E414" s="1"/>
  <c r="F404"/>
  <c r="J404" s="1"/>
  <c r="K403"/>
  <c r="L403" s="1"/>
  <c r="G403"/>
  <c r="L401"/>
  <c r="F405"/>
  <c r="G405" s="1"/>
  <c r="L16" i="16"/>
  <c r="I19"/>
  <c r="U11" s="1"/>
  <c r="E19"/>
  <c r="A20"/>
  <c r="D19"/>
  <c r="B19"/>
  <c r="C19" s="1"/>
  <c r="H19"/>
  <c r="T11" s="1"/>
  <c r="K17"/>
  <c r="J17"/>
  <c r="F18"/>
  <c r="J18" s="1"/>
  <c r="B401" i="35" l="1"/>
  <c r="C401" s="1"/>
  <c r="H401"/>
  <c r="T88" s="1"/>
  <c r="I401"/>
  <c r="U88" s="1"/>
  <c r="A402"/>
  <c r="I402" s="1"/>
  <c r="U89" s="1"/>
  <c r="D401"/>
  <c r="P397"/>
  <c r="F397"/>
  <c r="I414" i="30"/>
  <c r="I427"/>
  <c r="U93" s="1"/>
  <c r="D414"/>
  <c r="B414"/>
  <c r="C414" s="1"/>
  <c r="H427"/>
  <c r="T93" s="1"/>
  <c r="O414"/>
  <c r="N414"/>
  <c r="D427"/>
  <c r="H414"/>
  <c r="B427"/>
  <c r="C427" s="1"/>
  <c r="G404"/>
  <c r="K404"/>
  <c r="L404" s="1"/>
  <c r="J405"/>
  <c r="K405"/>
  <c r="B20" i="16"/>
  <c r="C20" s="1"/>
  <c r="D20"/>
  <c r="E20"/>
  <c r="I20"/>
  <c r="U12" s="1"/>
  <c r="H20"/>
  <c r="T12" s="1"/>
  <c r="G18"/>
  <c r="K18"/>
  <c r="L18" s="1"/>
  <c r="L17"/>
  <c r="F19"/>
  <c r="E402" i="35" l="1"/>
  <c r="F401"/>
  <c r="K401" s="1"/>
  <c r="A403"/>
  <c r="A404" s="1"/>
  <c r="A405" s="1"/>
  <c r="H402"/>
  <c r="T89" s="1"/>
  <c r="D402"/>
  <c r="B402"/>
  <c r="C402" s="1"/>
  <c r="J397"/>
  <c r="K397"/>
  <c r="K408" s="1"/>
  <c r="G397"/>
  <c r="F414" i="30"/>
  <c r="G414" s="1"/>
  <c r="P414"/>
  <c r="A415" s="1"/>
  <c r="B415" s="1"/>
  <c r="C415" s="1"/>
  <c r="F427"/>
  <c r="K427" s="1"/>
  <c r="L405"/>
  <c r="F20" i="16"/>
  <c r="G20" s="1"/>
  <c r="G19"/>
  <c r="J19"/>
  <c r="K19"/>
  <c r="G401" i="35" l="1"/>
  <c r="E404"/>
  <c r="I403"/>
  <c r="U90" s="1"/>
  <c r="H403"/>
  <c r="T90" s="1"/>
  <c r="F402"/>
  <c r="J402" s="1"/>
  <c r="I404"/>
  <c r="U91" s="1"/>
  <c r="D403"/>
  <c r="J401"/>
  <c r="L401" s="1"/>
  <c r="E403"/>
  <c r="B404"/>
  <c r="C404" s="1"/>
  <c r="H404"/>
  <c r="T91" s="1"/>
  <c r="D404"/>
  <c r="B403"/>
  <c r="C403" s="1"/>
  <c r="L397"/>
  <c r="J408"/>
  <c r="D405"/>
  <c r="H405"/>
  <c r="T92" s="1"/>
  <c r="I405"/>
  <c r="U92" s="1"/>
  <c r="E405"/>
  <c r="B405"/>
  <c r="C405" s="1"/>
  <c r="J427" i="30"/>
  <c r="L427" s="1"/>
  <c r="J414"/>
  <c r="K414"/>
  <c r="D415"/>
  <c r="E415"/>
  <c r="N415"/>
  <c r="H415"/>
  <c r="O415"/>
  <c r="I415"/>
  <c r="G427"/>
  <c r="J20" i="16"/>
  <c r="K20"/>
  <c r="L19"/>
  <c r="F403" i="35" l="1"/>
  <c r="G403" s="1"/>
  <c r="F404"/>
  <c r="G404" s="1"/>
  <c r="G402"/>
  <c r="K402"/>
  <c r="L402" s="1"/>
  <c r="D411"/>
  <c r="E411"/>
  <c r="F405"/>
  <c r="J405" s="1"/>
  <c r="F415" i="30"/>
  <c r="K415" s="1"/>
  <c r="L414"/>
  <c r="P415"/>
  <c r="A416" s="1"/>
  <c r="E416" s="1"/>
  <c r="L20" i="16"/>
  <c r="A22" i="28"/>
  <c r="B22" s="1"/>
  <c r="A22" i="30"/>
  <c r="A23" s="1"/>
  <c r="K411" i="35" l="1"/>
  <c r="K403"/>
  <c r="J403"/>
  <c r="J404"/>
  <c r="K404"/>
  <c r="A427"/>
  <c r="H411"/>
  <c r="G411"/>
  <c r="I411" s="1"/>
  <c r="A414"/>
  <c r="J411"/>
  <c r="G405"/>
  <c r="K405"/>
  <c r="L405" s="1"/>
  <c r="G415" i="30"/>
  <c r="J415"/>
  <c r="L415" s="1"/>
  <c r="H416"/>
  <c r="O416"/>
  <c r="D416"/>
  <c r="N416"/>
  <c r="I416"/>
  <c r="B416"/>
  <c r="C416" s="1"/>
  <c r="D22" i="28"/>
  <c r="I22"/>
  <c r="U3" s="1"/>
  <c r="E22"/>
  <c r="H22"/>
  <c r="T3" s="1"/>
  <c r="C22"/>
  <c r="A23"/>
  <c r="D22" i="30"/>
  <c r="E22"/>
  <c r="H22"/>
  <c r="T3" s="1"/>
  <c r="I22"/>
  <c r="U3" s="1"/>
  <c r="B22"/>
  <c r="C22" s="1"/>
  <c r="E23"/>
  <c r="H23"/>
  <c r="T4" s="1"/>
  <c r="D23"/>
  <c r="I23"/>
  <c r="U4" s="1"/>
  <c r="B23"/>
  <c r="C23" s="1"/>
  <c r="A24"/>
  <c r="O414" i="35" l="1"/>
  <c r="I427"/>
  <c r="U93" s="1"/>
  <c r="L403"/>
  <c r="L404"/>
  <c r="I414"/>
  <c r="H414"/>
  <c r="E427"/>
  <c r="B427"/>
  <c r="C427" s="1"/>
  <c r="D427"/>
  <c r="H427"/>
  <c r="T93" s="1"/>
  <c r="B414"/>
  <c r="C414" s="1"/>
  <c r="D414"/>
  <c r="E414"/>
  <c r="N414"/>
  <c r="P416" i="30"/>
  <c r="A417" s="1"/>
  <c r="H417" s="1"/>
  <c r="F416"/>
  <c r="K416" s="1"/>
  <c r="F22" i="28"/>
  <c r="K22" s="1"/>
  <c r="I23"/>
  <c r="U4" s="1"/>
  <c r="E23"/>
  <c r="D23"/>
  <c r="H23"/>
  <c r="T4" s="1"/>
  <c r="A24"/>
  <c r="B23"/>
  <c r="C23" s="1"/>
  <c r="F22" i="30"/>
  <c r="G22" s="1"/>
  <c r="F23"/>
  <c r="H24"/>
  <c r="T5" s="1"/>
  <c r="E24"/>
  <c r="I24"/>
  <c r="U5" s="1"/>
  <c r="D24"/>
  <c r="A25"/>
  <c r="B24"/>
  <c r="C24" s="1"/>
  <c r="P414" i="35" l="1"/>
  <c r="A415" s="1"/>
  <c r="D415" s="1"/>
  <c r="F427"/>
  <c r="F414"/>
  <c r="J414" s="1"/>
  <c r="B417" i="30"/>
  <c r="C417" s="1"/>
  <c r="D417"/>
  <c r="I417"/>
  <c r="O417"/>
  <c r="N417"/>
  <c r="E417"/>
  <c r="J416"/>
  <c r="L416" s="1"/>
  <c r="G416"/>
  <c r="G22" i="28"/>
  <c r="J22"/>
  <c r="L22" s="1"/>
  <c r="F23"/>
  <c r="G23" s="1"/>
  <c r="B24"/>
  <c r="C24" s="1"/>
  <c r="H24"/>
  <c r="T5" s="1"/>
  <c r="I24"/>
  <c r="U5" s="1"/>
  <c r="A25"/>
  <c r="D24"/>
  <c r="E24"/>
  <c r="K22" i="30"/>
  <c r="J22"/>
  <c r="F24"/>
  <c r="G24" s="1"/>
  <c r="E25"/>
  <c r="D25"/>
  <c r="A26"/>
  <c r="B25"/>
  <c r="C25" s="1"/>
  <c r="H25"/>
  <c r="T6" s="1"/>
  <c r="I25"/>
  <c r="U6" s="1"/>
  <c r="G23"/>
  <c r="J23"/>
  <c r="K23"/>
  <c r="N415" i="35" l="1"/>
  <c r="P415" s="1"/>
  <c r="A416" s="1"/>
  <c r="N416" s="1"/>
  <c r="I415"/>
  <c r="H415"/>
  <c r="E415"/>
  <c r="O415"/>
  <c r="B415"/>
  <c r="C415" s="1"/>
  <c r="G427"/>
  <c r="K427"/>
  <c r="J427"/>
  <c r="G414"/>
  <c r="K414"/>
  <c r="L414" s="1"/>
  <c r="F417" i="30"/>
  <c r="J417" s="1"/>
  <c r="P417"/>
  <c r="A418" s="1"/>
  <c r="N418" s="1"/>
  <c r="J23" i="28"/>
  <c r="M22" i="30"/>
  <c r="M22" i="28"/>
  <c r="K23"/>
  <c r="B25"/>
  <c r="C25" s="1"/>
  <c r="I25"/>
  <c r="U6" s="1"/>
  <c r="A26"/>
  <c r="H25"/>
  <c r="T6" s="1"/>
  <c r="E25"/>
  <c r="D25"/>
  <c r="F24"/>
  <c r="G24" s="1"/>
  <c r="L22" i="30"/>
  <c r="K24"/>
  <c r="J24"/>
  <c r="F25"/>
  <c r="E26"/>
  <c r="D26"/>
  <c r="H26"/>
  <c r="T7" s="1"/>
  <c r="B26"/>
  <c r="C26" s="1"/>
  <c r="A27"/>
  <c r="I26"/>
  <c r="U7" s="1"/>
  <c r="L23"/>
  <c r="J415" i="35" l="1"/>
  <c r="F415"/>
  <c r="E416"/>
  <c r="L427"/>
  <c r="I416"/>
  <c r="O416"/>
  <c r="P416" s="1"/>
  <c r="A417" s="1"/>
  <c r="O417" s="1"/>
  <c r="H416"/>
  <c r="B416"/>
  <c r="C416" s="1"/>
  <c r="D416"/>
  <c r="G417" i="30"/>
  <c r="K417"/>
  <c r="L417" s="1"/>
  <c r="H418"/>
  <c r="O418"/>
  <c r="P418" s="1"/>
  <c r="A419" s="1"/>
  <c r="B419" s="1"/>
  <c r="C419" s="1"/>
  <c r="I418"/>
  <c r="B418"/>
  <c r="C418" s="1"/>
  <c r="D418"/>
  <c r="E418"/>
  <c r="L23" i="28"/>
  <c r="F25"/>
  <c r="G25" s="1"/>
  <c r="L24" i="30"/>
  <c r="A27" i="28"/>
  <c r="E26"/>
  <c r="D26"/>
  <c r="H26"/>
  <c r="T7" s="1"/>
  <c r="B26"/>
  <c r="C26" s="1"/>
  <c r="I26"/>
  <c r="U7" s="1"/>
  <c r="K24"/>
  <c r="J24"/>
  <c r="G25" i="30"/>
  <c r="J25"/>
  <c r="E27"/>
  <c r="H27"/>
  <c r="T8" s="1"/>
  <c r="D27"/>
  <c r="I27"/>
  <c r="U8" s="1"/>
  <c r="B27"/>
  <c r="C27" s="1"/>
  <c r="K25"/>
  <c r="F26"/>
  <c r="G415" i="35" l="1"/>
  <c r="K415"/>
  <c r="L415" s="1"/>
  <c r="F416"/>
  <c r="G416" s="1"/>
  <c r="I417"/>
  <c r="D417"/>
  <c r="E417"/>
  <c r="B417"/>
  <c r="C417" s="1"/>
  <c r="H417"/>
  <c r="N417"/>
  <c r="P417" s="1"/>
  <c r="A418" s="1"/>
  <c r="F418" i="30"/>
  <c r="G418" s="1"/>
  <c r="N419"/>
  <c r="E419"/>
  <c r="O419"/>
  <c r="H419"/>
  <c r="D419"/>
  <c r="I419"/>
  <c r="K25" i="28"/>
  <c r="J25"/>
  <c r="I27"/>
  <c r="U8" s="1"/>
  <c r="B27"/>
  <c r="C27" s="1"/>
  <c r="H27"/>
  <c r="T8" s="1"/>
  <c r="E27"/>
  <c r="D27"/>
  <c r="L24"/>
  <c r="F26"/>
  <c r="L25" i="30"/>
  <c r="G26"/>
  <c r="K26"/>
  <c r="J26"/>
  <c r="F27"/>
  <c r="K416" i="35" l="1"/>
  <c r="F417"/>
  <c r="K417" s="1"/>
  <c r="J416"/>
  <c r="H418"/>
  <c r="B418"/>
  <c r="C418" s="1"/>
  <c r="O418"/>
  <c r="N418"/>
  <c r="I418"/>
  <c r="D418"/>
  <c r="E418"/>
  <c r="F419" i="30"/>
  <c r="J419" s="1"/>
  <c r="J418"/>
  <c r="K418"/>
  <c r="P419"/>
  <c r="A420" s="1"/>
  <c r="H420" s="1"/>
  <c r="F27" i="28"/>
  <c r="G27" s="1"/>
  <c r="L25"/>
  <c r="G26"/>
  <c r="K26"/>
  <c r="J26"/>
  <c r="L26" i="30"/>
  <c r="G27"/>
  <c r="J27"/>
  <c r="K27"/>
  <c r="G417" i="35" l="1"/>
  <c r="L416"/>
  <c r="J417"/>
  <c r="L417" s="1"/>
  <c r="F418"/>
  <c r="G418" s="1"/>
  <c r="P418"/>
  <c r="A419" s="1"/>
  <c r="H419" s="1"/>
  <c r="K419" i="30"/>
  <c r="L419" s="1"/>
  <c r="G419"/>
  <c r="L418"/>
  <c r="O420"/>
  <c r="N420"/>
  <c r="B420"/>
  <c r="C420" s="1"/>
  <c r="E420"/>
  <c r="D420"/>
  <c r="I420"/>
  <c r="L27"/>
  <c r="K27" i="28"/>
  <c r="J27"/>
  <c r="L26"/>
  <c r="K418" i="35" l="1"/>
  <c r="E419"/>
  <c r="J418"/>
  <c r="N419"/>
  <c r="D419"/>
  <c r="O419"/>
  <c r="B419"/>
  <c r="C419" s="1"/>
  <c r="I419"/>
  <c r="F420" i="30"/>
  <c r="J420" s="1"/>
  <c r="P420"/>
  <c r="A421" s="1"/>
  <c r="H421" s="1"/>
  <c r="L27" i="28"/>
  <c r="P419" i="35" l="1"/>
  <c r="A420" s="1"/>
  <c r="H420" s="1"/>
  <c r="L418"/>
  <c r="F419"/>
  <c r="J419" s="1"/>
  <c r="G420" i="30"/>
  <c r="K420"/>
  <c r="L420" s="1"/>
  <c r="N421"/>
  <c r="B421"/>
  <c r="C421" s="1"/>
  <c r="I421"/>
  <c r="E421"/>
  <c r="O421"/>
  <c r="D421"/>
  <c r="E420" i="35" l="1"/>
  <c r="F420" s="1"/>
  <c r="G420" s="1"/>
  <c r="N420"/>
  <c r="D420"/>
  <c r="O420"/>
  <c r="I420"/>
  <c r="B420"/>
  <c r="C420" s="1"/>
  <c r="K419"/>
  <c r="L419" s="1"/>
  <c r="G419"/>
  <c r="F421" i="30"/>
  <c r="G421" s="1"/>
  <c r="P421"/>
  <c r="A422" s="1"/>
  <c r="N422" s="1"/>
  <c r="P420" i="35" l="1"/>
  <c r="A421" s="1"/>
  <c r="N421" s="1"/>
  <c r="J420"/>
  <c r="K420"/>
  <c r="K421" i="30"/>
  <c r="J421"/>
  <c r="O422"/>
  <c r="P422" s="1"/>
  <c r="A423" s="1"/>
  <c r="I423" s="1"/>
  <c r="B422"/>
  <c r="C422" s="1"/>
  <c r="H422"/>
  <c r="E422"/>
  <c r="I422"/>
  <c r="D422"/>
  <c r="O421" i="35" l="1"/>
  <c r="P421" s="1"/>
  <c r="A422" s="1"/>
  <c r="E422" s="1"/>
  <c r="E421"/>
  <c r="D421"/>
  <c r="B421"/>
  <c r="C421" s="1"/>
  <c r="H421"/>
  <c r="I421"/>
  <c r="L420"/>
  <c r="F422" i="30"/>
  <c r="G422" s="1"/>
  <c r="L421"/>
  <c r="B423"/>
  <c r="C423" s="1"/>
  <c r="O423"/>
  <c r="H423"/>
  <c r="E423"/>
  <c r="N423"/>
  <c r="D423"/>
  <c r="F421" i="35" l="1"/>
  <c r="J421" s="1"/>
  <c r="N422"/>
  <c r="B422"/>
  <c r="C422" s="1"/>
  <c r="D422"/>
  <c r="O422"/>
  <c r="I422"/>
  <c r="H422"/>
  <c r="K422" i="30"/>
  <c r="F423"/>
  <c r="J423" s="1"/>
  <c r="J422"/>
  <c r="P423"/>
  <c r="A424" s="1"/>
  <c r="O424" s="1"/>
  <c r="AX17" i="26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X44" s="1"/>
  <c r="AX45" s="1"/>
  <c r="AX46" s="1"/>
  <c r="AX47" s="1"/>
  <c r="AX48" s="1"/>
  <c r="AX49" s="1"/>
  <c r="AX50" s="1"/>
  <c r="AX51" s="1"/>
  <c r="AX52" s="1"/>
  <c r="AX53" s="1"/>
  <c r="AX54" s="1"/>
  <c r="AX55" s="1"/>
  <c r="AX56" s="1"/>
  <c r="AX57" s="1"/>
  <c r="AX58" s="1"/>
  <c r="AX59" s="1"/>
  <c r="AX60" s="1"/>
  <c r="AX61" s="1"/>
  <c r="AX62" s="1"/>
  <c r="AX63" s="1"/>
  <c r="AX64" s="1"/>
  <c r="AX65" s="1"/>
  <c r="AX66" s="1"/>
  <c r="AX67" s="1"/>
  <c r="AX68" s="1"/>
  <c r="AX69" s="1"/>
  <c r="AX70" s="1"/>
  <c r="AX71" s="1"/>
  <c r="AX72" s="1"/>
  <c r="AX73" s="1"/>
  <c r="AX74" s="1"/>
  <c r="AX75" s="1"/>
  <c r="AX76" s="1"/>
  <c r="AX77" s="1"/>
  <c r="AX78" s="1"/>
  <c r="AX79" s="1"/>
  <c r="AX80" s="1"/>
  <c r="AF82"/>
  <c r="AG82" s="1"/>
  <c r="AH82" s="1"/>
  <c r="AI82" s="1"/>
  <c r="AJ82" s="1"/>
  <c r="AK82" s="1"/>
  <c r="AL82" s="1"/>
  <c r="AM82" s="1"/>
  <c r="AN82" s="1"/>
  <c r="AO82" s="1"/>
  <c r="AP82" s="1"/>
  <c r="AQ82" s="1"/>
  <c r="AR82" s="1"/>
  <c r="AS82" s="1"/>
  <c r="AT82" s="1"/>
  <c r="AU82" s="1"/>
  <c r="AV82" s="1"/>
  <c r="U82"/>
  <c r="V82" s="1"/>
  <c r="W82" s="1"/>
  <c r="X82" s="1"/>
  <c r="Y82" s="1"/>
  <c r="Z82" s="1"/>
  <c r="AA82" s="1"/>
  <c r="AB82" s="1"/>
  <c r="AC82" s="1"/>
  <c r="N82"/>
  <c r="O82" s="1"/>
  <c r="P82" s="1"/>
  <c r="Q82" s="1"/>
  <c r="R82" s="1"/>
  <c r="I82"/>
  <c r="J82" s="1"/>
  <c r="K82" s="1"/>
  <c r="E183"/>
  <c r="F183" s="1"/>
  <c r="G183" s="1"/>
  <c r="H183" s="1"/>
  <c r="I183" s="1"/>
  <c r="J183" s="1"/>
  <c r="E149"/>
  <c r="F149" s="1"/>
  <c r="G149" s="1"/>
  <c r="H149" s="1"/>
  <c r="I149" s="1"/>
  <c r="J149" s="1"/>
  <c r="E166"/>
  <c r="F166" s="1"/>
  <c r="G166" s="1"/>
  <c r="H166" s="1"/>
  <c r="I166" s="1"/>
  <c r="J166" s="1"/>
  <c r="K421" i="35" l="1"/>
  <c r="L421" s="1"/>
  <c r="G421"/>
  <c r="P422"/>
  <c r="A423" s="1"/>
  <c r="I423" s="1"/>
  <c r="F422"/>
  <c r="K422" s="1"/>
  <c r="L422" i="30"/>
  <c r="K423"/>
  <c r="L423" s="1"/>
  <c r="G423"/>
  <c r="E424"/>
  <c r="H424"/>
  <c r="H435" s="1"/>
  <c r="D424"/>
  <c r="N424"/>
  <c r="AQ36" s="1"/>
  <c r="I424"/>
  <c r="I435" s="1"/>
  <c r="B424"/>
  <c r="C424" s="1"/>
  <c r="F411"/>
  <c r="A428" s="1"/>
  <c r="I428" s="1"/>
  <c r="U94" s="1"/>
  <c r="N423" i="35" l="1"/>
  <c r="E423"/>
  <c r="H423"/>
  <c r="O423"/>
  <c r="D423"/>
  <c r="B423"/>
  <c r="C423" s="1"/>
  <c r="G422"/>
  <c r="J422"/>
  <c r="L422" s="1"/>
  <c r="F424" i="30"/>
  <c r="G424" s="1"/>
  <c r="H428"/>
  <c r="T94" s="1"/>
  <c r="E428"/>
  <c r="B428"/>
  <c r="C428" s="1"/>
  <c r="D428"/>
  <c r="A429"/>
  <c r="E429" s="1"/>
  <c r="P424"/>
  <c r="P423" i="35" l="1"/>
  <c r="A424" s="1"/>
  <c r="F411" s="1"/>
  <c r="A428" s="1"/>
  <c r="B428" s="1"/>
  <c r="C428" s="1"/>
  <c r="F423"/>
  <c r="K423" s="1"/>
  <c r="H429" i="30"/>
  <c r="T95" s="1"/>
  <c r="J424"/>
  <c r="K424"/>
  <c r="K435" s="1"/>
  <c r="F428"/>
  <c r="G428" s="1"/>
  <c r="B429"/>
  <c r="C429" s="1"/>
  <c r="A430"/>
  <c r="D430" s="1"/>
  <c r="D429"/>
  <c r="I429"/>
  <c r="U95" s="1"/>
  <c r="A429" i="35" l="1"/>
  <c r="B429" s="1"/>
  <c r="C429" s="1"/>
  <c r="D428"/>
  <c r="I424"/>
  <c r="I435" s="1"/>
  <c r="H424"/>
  <c r="H435" s="1"/>
  <c r="D424"/>
  <c r="E428"/>
  <c r="I428"/>
  <c r="U94" s="1"/>
  <c r="B424"/>
  <c r="C424" s="1"/>
  <c r="E424"/>
  <c r="N424"/>
  <c r="AQ36" s="1"/>
  <c r="J423"/>
  <c r="L423" s="1"/>
  <c r="H428"/>
  <c r="T94" s="1"/>
  <c r="O424"/>
  <c r="G423"/>
  <c r="F429" i="30"/>
  <c r="J429" s="1"/>
  <c r="L424"/>
  <c r="J435"/>
  <c r="E438" s="1"/>
  <c r="G438" s="1"/>
  <c r="I438" s="1"/>
  <c r="J428"/>
  <c r="K428"/>
  <c r="A431"/>
  <c r="E431" s="1"/>
  <c r="B430"/>
  <c r="C430" s="1"/>
  <c r="H430"/>
  <c r="T96" s="1"/>
  <c r="I430"/>
  <c r="U96" s="1"/>
  <c r="E430"/>
  <c r="F428" i="35" l="1"/>
  <c r="G428" s="1"/>
  <c r="A430"/>
  <c r="E430" s="1"/>
  <c r="H429"/>
  <c r="T95" s="1"/>
  <c r="D429"/>
  <c r="I429"/>
  <c r="U95" s="1"/>
  <c r="F424"/>
  <c r="P424"/>
  <c r="E429"/>
  <c r="G429" i="30"/>
  <c r="K429"/>
  <c r="L429" s="1"/>
  <c r="J438"/>
  <c r="H438"/>
  <c r="F438"/>
  <c r="A443"/>
  <c r="B443" s="1"/>
  <c r="C443" s="1"/>
  <c r="D438"/>
  <c r="I431"/>
  <c r="U97" s="1"/>
  <c r="L428"/>
  <c r="B431"/>
  <c r="C431" s="1"/>
  <c r="A432"/>
  <c r="H432" s="1"/>
  <c r="T98" s="1"/>
  <c r="F430"/>
  <c r="G430" s="1"/>
  <c r="D431"/>
  <c r="H431"/>
  <c r="T97" s="1"/>
  <c r="J428" i="35" l="1"/>
  <c r="K428"/>
  <c r="D430"/>
  <c r="B430"/>
  <c r="C430" s="1"/>
  <c r="H430"/>
  <c r="T96" s="1"/>
  <c r="I430"/>
  <c r="U96" s="1"/>
  <c r="A431"/>
  <c r="D431" s="1"/>
  <c r="F429"/>
  <c r="G429" s="1"/>
  <c r="G424"/>
  <c r="K424"/>
  <c r="K435" s="1"/>
  <c r="J424"/>
  <c r="K438" i="30"/>
  <c r="E443"/>
  <c r="A444"/>
  <c r="E444" s="1"/>
  <c r="D443"/>
  <c r="J430"/>
  <c r="F431"/>
  <c r="G431" s="1"/>
  <c r="I432"/>
  <c r="U98" s="1"/>
  <c r="B432"/>
  <c r="C432" s="1"/>
  <c r="D432"/>
  <c r="E432"/>
  <c r="K430"/>
  <c r="L428" i="35" l="1"/>
  <c r="H431"/>
  <c r="T97" s="1"/>
  <c r="F430"/>
  <c r="J430" s="1"/>
  <c r="B431"/>
  <c r="C431" s="1"/>
  <c r="F431" s="1"/>
  <c r="K431" s="1"/>
  <c r="A432"/>
  <c r="E431"/>
  <c r="I431"/>
  <c r="U97" s="1"/>
  <c r="K429"/>
  <c r="J429"/>
  <c r="J435"/>
  <c r="L424"/>
  <c r="I443" i="30"/>
  <c r="U99" s="1"/>
  <c r="H443"/>
  <c r="T99" s="1"/>
  <c r="F443"/>
  <c r="G443" s="1"/>
  <c r="H444"/>
  <c r="T100" s="1"/>
  <c r="A445"/>
  <c r="E445" s="1"/>
  <c r="D444"/>
  <c r="B444"/>
  <c r="C444" s="1"/>
  <c r="I444"/>
  <c r="U100" s="1"/>
  <c r="J431"/>
  <c r="K431"/>
  <c r="L430"/>
  <c r="F432"/>
  <c r="G432" s="1"/>
  <c r="K430" i="35" l="1"/>
  <c r="L430" s="1"/>
  <c r="G430"/>
  <c r="L429"/>
  <c r="H432"/>
  <c r="T98" s="1"/>
  <c r="D432"/>
  <c r="B432"/>
  <c r="C432" s="1"/>
  <c r="E432"/>
  <c r="I432"/>
  <c r="U98" s="1"/>
  <c r="G431"/>
  <c r="J431"/>
  <c r="L431" s="1"/>
  <c r="D438"/>
  <c r="E438"/>
  <c r="L431" i="30"/>
  <c r="K443"/>
  <c r="F444"/>
  <c r="K444" s="1"/>
  <c r="J443"/>
  <c r="D445"/>
  <c r="H445"/>
  <c r="T101" s="1"/>
  <c r="I445"/>
  <c r="U101" s="1"/>
  <c r="A446"/>
  <c r="E446" s="1"/>
  <c r="B445"/>
  <c r="C445" s="1"/>
  <c r="J432"/>
  <c r="K432"/>
  <c r="F432" i="35" l="1"/>
  <c r="G432" s="1"/>
  <c r="K438"/>
  <c r="G438"/>
  <c r="I438" s="1"/>
  <c r="A443"/>
  <c r="F438"/>
  <c r="J438"/>
  <c r="H438"/>
  <c r="D446" i="30"/>
  <c r="I446"/>
  <c r="U102" s="1"/>
  <c r="L443"/>
  <c r="G444"/>
  <c r="J444"/>
  <c r="L444" s="1"/>
  <c r="F445"/>
  <c r="K445" s="1"/>
  <c r="B446"/>
  <c r="C446" s="1"/>
  <c r="A447"/>
  <c r="D447" s="1"/>
  <c r="H446"/>
  <c r="T102" s="1"/>
  <c r="L432"/>
  <c r="J432" i="35" l="1"/>
  <c r="I443"/>
  <c r="U99" s="1"/>
  <c r="K432"/>
  <c r="B443"/>
  <c r="C443" s="1"/>
  <c r="A444"/>
  <c r="E443"/>
  <c r="D443"/>
  <c r="H443"/>
  <c r="T99" s="1"/>
  <c r="G445" i="30"/>
  <c r="F446"/>
  <c r="G446" s="1"/>
  <c r="J445"/>
  <c r="L445" s="1"/>
  <c r="H447"/>
  <c r="T103" s="1"/>
  <c r="E447"/>
  <c r="A448"/>
  <c r="B448" s="1"/>
  <c r="C448" s="1"/>
  <c r="I447"/>
  <c r="U103" s="1"/>
  <c r="B447"/>
  <c r="C447" s="1"/>
  <c r="L432" i="35" l="1"/>
  <c r="F443"/>
  <c r="H444"/>
  <c r="T100" s="1"/>
  <c r="A445"/>
  <c r="D444"/>
  <c r="E444"/>
  <c r="B444"/>
  <c r="I444"/>
  <c r="U100" s="1"/>
  <c r="I448" i="30"/>
  <c r="U104" s="1"/>
  <c r="F447"/>
  <c r="G447" s="1"/>
  <c r="J446"/>
  <c r="K446"/>
  <c r="H448"/>
  <c r="T104" s="1"/>
  <c r="E448"/>
  <c r="D448"/>
  <c r="A449"/>
  <c r="D449" s="1"/>
  <c r="G443" i="35" l="1"/>
  <c r="K443"/>
  <c r="J443"/>
  <c r="E445"/>
  <c r="I445"/>
  <c r="U101" s="1"/>
  <c r="H445"/>
  <c r="T101" s="1"/>
  <c r="D445"/>
  <c r="A446"/>
  <c r="B445"/>
  <c r="C445" s="1"/>
  <c r="C444"/>
  <c r="F444" s="1"/>
  <c r="G444" s="1"/>
  <c r="B449" i="30"/>
  <c r="C449" s="1"/>
  <c r="K447"/>
  <c r="J447"/>
  <c r="L446"/>
  <c r="F448"/>
  <c r="G448" s="1"/>
  <c r="E449"/>
  <c r="A450"/>
  <c r="A451" s="1"/>
  <c r="D451" s="1"/>
  <c r="I449"/>
  <c r="U105" s="1"/>
  <c r="H449"/>
  <c r="T105" s="1"/>
  <c r="L443" i="35" l="1"/>
  <c r="I446"/>
  <c r="U102" s="1"/>
  <c r="H446"/>
  <c r="T102" s="1"/>
  <c r="E446"/>
  <c r="B446"/>
  <c r="C446" s="1"/>
  <c r="A447"/>
  <c r="D446"/>
  <c r="J444"/>
  <c r="F445"/>
  <c r="G445" s="1"/>
  <c r="K444"/>
  <c r="L447" i="30"/>
  <c r="F449"/>
  <c r="G449" s="1"/>
  <c r="H450"/>
  <c r="T106" s="1"/>
  <c r="J448"/>
  <c r="K448"/>
  <c r="B451"/>
  <c r="C451" s="1"/>
  <c r="I451"/>
  <c r="U107" s="1"/>
  <c r="H451"/>
  <c r="T107" s="1"/>
  <c r="A452"/>
  <c r="E452" s="1"/>
  <c r="I450"/>
  <c r="U106" s="1"/>
  <c r="E451"/>
  <c r="E450"/>
  <c r="D450"/>
  <c r="B450"/>
  <c r="C450" s="1"/>
  <c r="K445" i="35" l="1"/>
  <c r="J445"/>
  <c r="F446"/>
  <c r="B447"/>
  <c r="C447" s="1"/>
  <c r="E447"/>
  <c r="A448"/>
  <c r="D447"/>
  <c r="I447"/>
  <c r="U103" s="1"/>
  <c r="H447"/>
  <c r="T103" s="1"/>
  <c r="L444"/>
  <c r="J449" i="30"/>
  <c r="K449"/>
  <c r="L448"/>
  <c r="F451"/>
  <c r="J451" s="1"/>
  <c r="F450"/>
  <c r="G450" s="1"/>
  <c r="I452"/>
  <c r="U108" s="1"/>
  <c r="D452"/>
  <c r="A453"/>
  <c r="A454" s="1"/>
  <c r="B452"/>
  <c r="C452" s="1"/>
  <c r="H452"/>
  <c r="T108" s="1"/>
  <c r="F447" i="35" l="1"/>
  <c r="G447" s="1"/>
  <c r="L445"/>
  <c r="G446"/>
  <c r="J446"/>
  <c r="K446"/>
  <c r="B448"/>
  <c r="C448" s="1"/>
  <c r="A449"/>
  <c r="E448"/>
  <c r="I448"/>
  <c r="U104" s="1"/>
  <c r="D448"/>
  <c r="H448"/>
  <c r="T104" s="1"/>
  <c r="L449" i="30"/>
  <c r="G451"/>
  <c r="K451"/>
  <c r="L451" s="1"/>
  <c r="K450"/>
  <c r="J450"/>
  <c r="I453"/>
  <c r="U109" s="1"/>
  <c r="B453"/>
  <c r="C453" s="1"/>
  <c r="H453"/>
  <c r="T109" s="1"/>
  <c r="F452"/>
  <c r="G452" s="1"/>
  <c r="E453"/>
  <c r="D453"/>
  <c r="D454"/>
  <c r="E454"/>
  <c r="A455"/>
  <c r="I454"/>
  <c r="U110" s="1"/>
  <c r="B454"/>
  <c r="C454" s="1"/>
  <c r="H454"/>
  <c r="T110" s="1"/>
  <c r="L446" i="35" l="1"/>
  <c r="K447"/>
  <c r="J447"/>
  <c r="F448"/>
  <c r="B449"/>
  <c r="A450"/>
  <c r="E449"/>
  <c r="D449"/>
  <c r="I449"/>
  <c r="U105" s="1"/>
  <c r="H449"/>
  <c r="T105" s="1"/>
  <c r="F453" i="30"/>
  <c r="J453" s="1"/>
  <c r="L450"/>
  <c r="K452"/>
  <c r="J452"/>
  <c r="E455"/>
  <c r="A456"/>
  <c r="B455"/>
  <c r="C455" s="1"/>
  <c r="D455"/>
  <c r="I455"/>
  <c r="U111" s="1"/>
  <c r="H455"/>
  <c r="T111" s="1"/>
  <c r="F454"/>
  <c r="J454" s="1"/>
  <c r="L447" i="35" l="1"/>
  <c r="G448"/>
  <c r="K448"/>
  <c r="J448"/>
  <c r="C449"/>
  <c r="F449" s="1"/>
  <c r="G449" s="1"/>
  <c r="E450"/>
  <c r="I450"/>
  <c r="U106" s="1"/>
  <c r="D450"/>
  <c r="H450"/>
  <c r="T106" s="1"/>
  <c r="B450"/>
  <c r="A451"/>
  <c r="K453" i="30"/>
  <c r="L453" s="1"/>
  <c r="G453"/>
  <c r="L452"/>
  <c r="H456"/>
  <c r="T112" s="1"/>
  <c r="I456"/>
  <c r="U112" s="1"/>
  <c r="B456"/>
  <c r="E456"/>
  <c r="A457"/>
  <c r="D456"/>
  <c r="F455"/>
  <c r="G454"/>
  <c r="K454"/>
  <c r="L454" s="1"/>
  <c r="L448" i="35" l="1"/>
  <c r="K449"/>
  <c r="B451"/>
  <c r="C451" s="1"/>
  <c r="I451"/>
  <c r="U107" s="1"/>
  <c r="D451"/>
  <c r="A452"/>
  <c r="H451"/>
  <c r="T107" s="1"/>
  <c r="E451"/>
  <c r="J449"/>
  <c r="C450"/>
  <c r="F450" s="1"/>
  <c r="G450" s="1"/>
  <c r="J455" i="30"/>
  <c r="G455"/>
  <c r="K455"/>
  <c r="A458"/>
  <c r="I457"/>
  <c r="U113" s="1"/>
  <c r="E457"/>
  <c r="H457"/>
  <c r="T113" s="1"/>
  <c r="D457"/>
  <c r="B457"/>
  <c r="C457" s="1"/>
  <c r="C456"/>
  <c r="F456" s="1"/>
  <c r="L449" i="35" l="1"/>
  <c r="F451"/>
  <c r="G451" s="1"/>
  <c r="D452"/>
  <c r="H452"/>
  <c r="T108" s="1"/>
  <c r="B452"/>
  <c r="I452"/>
  <c r="U108" s="1"/>
  <c r="A453"/>
  <c r="E452"/>
  <c r="K450"/>
  <c r="J450"/>
  <c r="L455" i="30"/>
  <c r="F457"/>
  <c r="G457" s="1"/>
  <c r="K456"/>
  <c r="G456"/>
  <c r="J456"/>
  <c r="H458"/>
  <c r="T114" s="1"/>
  <c r="A459"/>
  <c r="I458"/>
  <c r="U114" s="1"/>
  <c r="E458"/>
  <c r="D458"/>
  <c r="B458"/>
  <c r="C458" s="1"/>
  <c r="L450" i="35" l="1"/>
  <c r="J451"/>
  <c r="K451"/>
  <c r="E453"/>
  <c r="B453"/>
  <c r="A454"/>
  <c r="D453"/>
  <c r="H453"/>
  <c r="T109" s="1"/>
  <c r="I453"/>
  <c r="U109" s="1"/>
  <c r="C452"/>
  <c r="F452" s="1"/>
  <c r="G452" s="1"/>
  <c r="L456" i="30"/>
  <c r="K457"/>
  <c r="J457"/>
  <c r="F458"/>
  <c r="G458" s="1"/>
  <c r="E459"/>
  <c r="H459"/>
  <c r="T115" s="1"/>
  <c r="D459"/>
  <c r="I459"/>
  <c r="U115" s="1"/>
  <c r="B459"/>
  <c r="C459" s="1"/>
  <c r="A460"/>
  <c r="L451" i="35" l="1"/>
  <c r="J452"/>
  <c r="C453"/>
  <c r="F453" s="1"/>
  <c r="G453" s="1"/>
  <c r="B454"/>
  <c r="D454"/>
  <c r="I454"/>
  <c r="U110" s="1"/>
  <c r="E454"/>
  <c r="A455"/>
  <c r="H454"/>
  <c r="T110" s="1"/>
  <c r="K452"/>
  <c r="L457" i="30"/>
  <c r="K458"/>
  <c r="J458"/>
  <c r="F459"/>
  <c r="H460"/>
  <c r="T116" s="1"/>
  <c r="B460"/>
  <c r="D460"/>
  <c r="E460"/>
  <c r="A461"/>
  <c r="I460"/>
  <c r="U116" s="1"/>
  <c r="L452" i="35" l="1"/>
  <c r="D455"/>
  <c r="H455"/>
  <c r="T111" s="1"/>
  <c r="E455"/>
  <c r="A456"/>
  <c r="I455"/>
  <c r="U111" s="1"/>
  <c r="B455"/>
  <c r="C455" s="1"/>
  <c r="C454"/>
  <c r="F454" s="1"/>
  <c r="G454" s="1"/>
  <c r="J453"/>
  <c r="K453"/>
  <c r="L458" i="30"/>
  <c r="K459"/>
  <c r="J459"/>
  <c r="G459"/>
  <c r="C460"/>
  <c r="F460" s="1"/>
  <c r="G460" s="1"/>
  <c r="A462"/>
  <c r="E461"/>
  <c r="B461"/>
  <c r="C461" s="1"/>
  <c r="I461"/>
  <c r="D461"/>
  <c r="H461"/>
  <c r="L453" i="35" l="1"/>
  <c r="J454"/>
  <c r="H456"/>
  <c r="E456"/>
  <c r="B456"/>
  <c r="C456" s="1"/>
  <c r="I456"/>
  <c r="D456"/>
  <c r="A457"/>
  <c r="F455"/>
  <c r="K454"/>
  <c r="I491"/>
  <c r="B491"/>
  <c r="C491" s="1"/>
  <c r="D491"/>
  <c r="E491"/>
  <c r="H491"/>
  <c r="F461" i="30"/>
  <c r="K461" s="1"/>
  <c r="L459"/>
  <c r="K460"/>
  <c r="H462"/>
  <c r="B462"/>
  <c r="C462" s="1"/>
  <c r="I462"/>
  <c r="D462"/>
  <c r="A463"/>
  <c r="E462"/>
  <c r="J460"/>
  <c r="L454" i="35" l="1"/>
  <c r="F456"/>
  <c r="I457"/>
  <c r="E457"/>
  <c r="D457"/>
  <c r="H457"/>
  <c r="A458"/>
  <c r="B457"/>
  <c r="G455"/>
  <c r="K455"/>
  <c r="J455"/>
  <c r="F491"/>
  <c r="G491" s="1"/>
  <c r="H492"/>
  <c r="I492"/>
  <c r="B492"/>
  <c r="C492" s="1"/>
  <c r="D492"/>
  <c r="E492"/>
  <c r="G461" i="30"/>
  <c r="J461"/>
  <c r="L461" s="1"/>
  <c r="D463"/>
  <c r="H463"/>
  <c r="I463"/>
  <c r="E463"/>
  <c r="B463"/>
  <c r="C463" s="1"/>
  <c r="A464"/>
  <c r="L460"/>
  <c r="F462"/>
  <c r="L455" i="35" l="1"/>
  <c r="G456"/>
  <c r="K456"/>
  <c r="J456"/>
  <c r="D458"/>
  <c r="E458"/>
  <c r="A459"/>
  <c r="I458"/>
  <c r="H458"/>
  <c r="B458"/>
  <c r="C457"/>
  <c r="F457" s="1"/>
  <c r="G457" s="1"/>
  <c r="F492"/>
  <c r="G492" s="1"/>
  <c r="K491"/>
  <c r="J491"/>
  <c r="D493"/>
  <c r="E493"/>
  <c r="B493"/>
  <c r="C493" s="1"/>
  <c r="I493"/>
  <c r="H493"/>
  <c r="I464" i="30"/>
  <c r="B464"/>
  <c r="D464"/>
  <c r="A465"/>
  <c r="H464"/>
  <c r="E464"/>
  <c r="F463"/>
  <c r="G462"/>
  <c r="K462"/>
  <c r="J462"/>
  <c r="C458" i="35" l="1"/>
  <c r="F458" s="1"/>
  <c r="G458" s="1"/>
  <c r="L456"/>
  <c r="J457"/>
  <c r="K457"/>
  <c r="E459"/>
  <c r="I459"/>
  <c r="H459"/>
  <c r="B459"/>
  <c r="A460"/>
  <c r="D459"/>
  <c r="J492"/>
  <c r="K492"/>
  <c r="L491"/>
  <c r="F493"/>
  <c r="G493" s="1"/>
  <c r="T112"/>
  <c r="AU36"/>
  <c r="H494"/>
  <c r="U112"/>
  <c r="AV36"/>
  <c r="L462" i="30"/>
  <c r="G463"/>
  <c r="K463"/>
  <c r="J463"/>
  <c r="C464"/>
  <c r="F464" s="1"/>
  <c r="G464" s="1"/>
  <c r="I465"/>
  <c r="B465"/>
  <c r="C465" s="1"/>
  <c r="D465"/>
  <c r="E465"/>
  <c r="A466"/>
  <c r="A467" s="1"/>
  <c r="H465"/>
  <c r="K458" i="35" l="1"/>
  <c r="L457"/>
  <c r="D460"/>
  <c r="I460"/>
  <c r="B460"/>
  <c r="C460" s="1"/>
  <c r="H460"/>
  <c r="E460"/>
  <c r="A461"/>
  <c r="J458"/>
  <c r="C459"/>
  <c r="F459" s="1"/>
  <c r="G459" s="1"/>
  <c r="AW36"/>
  <c r="L492"/>
  <c r="J493"/>
  <c r="K493"/>
  <c r="E467" i="30"/>
  <c r="B467"/>
  <c r="C467" s="1"/>
  <c r="D467"/>
  <c r="A468"/>
  <c r="I467"/>
  <c r="H467"/>
  <c r="L463"/>
  <c r="K464"/>
  <c r="I466"/>
  <c r="D466"/>
  <c r="B466"/>
  <c r="C466" s="1"/>
  <c r="E466"/>
  <c r="H466"/>
  <c r="J464"/>
  <c r="F465"/>
  <c r="L458" i="35" l="1"/>
  <c r="F460"/>
  <c r="B461"/>
  <c r="H461"/>
  <c r="A462"/>
  <c r="I461"/>
  <c r="D461"/>
  <c r="E461"/>
  <c r="J459"/>
  <c r="K459"/>
  <c r="L493"/>
  <c r="D468" i="30"/>
  <c r="E468"/>
  <c r="B468"/>
  <c r="C468" s="1"/>
  <c r="A469"/>
  <c r="I468"/>
  <c r="H468"/>
  <c r="F467"/>
  <c r="G467" s="1"/>
  <c r="L464"/>
  <c r="F466"/>
  <c r="K465"/>
  <c r="J465"/>
  <c r="G465"/>
  <c r="G460" i="35" l="1"/>
  <c r="K460"/>
  <c r="J460"/>
  <c r="C461"/>
  <c r="F461" s="1"/>
  <c r="G461" s="1"/>
  <c r="A463"/>
  <c r="H462"/>
  <c r="D462"/>
  <c r="I462"/>
  <c r="E462"/>
  <c r="B462"/>
  <c r="L459"/>
  <c r="K467" i="30"/>
  <c r="J467"/>
  <c r="D469"/>
  <c r="A470"/>
  <c r="B469"/>
  <c r="C469" s="1"/>
  <c r="E469"/>
  <c r="I469"/>
  <c r="H469"/>
  <c r="F468"/>
  <c r="G468" s="1"/>
  <c r="L465"/>
  <c r="G466"/>
  <c r="K466"/>
  <c r="J466"/>
  <c r="L460" i="35" l="1"/>
  <c r="J461"/>
  <c r="C462"/>
  <c r="F462" s="1"/>
  <c r="G462" s="1"/>
  <c r="K461"/>
  <c r="I463"/>
  <c r="E463"/>
  <c r="B463"/>
  <c r="D463"/>
  <c r="H463"/>
  <c r="A464"/>
  <c r="L467" i="30"/>
  <c r="J468"/>
  <c r="A471"/>
  <c r="E470"/>
  <c r="B470"/>
  <c r="C470" s="1"/>
  <c r="D470"/>
  <c r="I470"/>
  <c r="U117" s="1"/>
  <c r="H470"/>
  <c r="T117" s="1"/>
  <c r="K468"/>
  <c r="F469"/>
  <c r="K469" s="1"/>
  <c r="L466"/>
  <c r="L461" i="35" l="1"/>
  <c r="K462"/>
  <c r="J462"/>
  <c r="C463"/>
  <c r="F463" s="1"/>
  <c r="G463" s="1"/>
  <c r="E464"/>
  <c r="A465"/>
  <c r="D464"/>
  <c r="B464"/>
  <c r="C464" s="1"/>
  <c r="H464"/>
  <c r="I464"/>
  <c r="L468" i="30"/>
  <c r="B471"/>
  <c r="C471" s="1"/>
  <c r="E471"/>
  <c r="D471"/>
  <c r="A472"/>
  <c r="H471"/>
  <c r="I471"/>
  <c r="G469"/>
  <c r="J469"/>
  <c r="L469" s="1"/>
  <c r="F470"/>
  <c r="G470" s="1"/>
  <c r="L462" i="35" l="1"/>
  <c r="B465"/>
  <c r="E465"/>
  <c r="D465"/>
  <c r="A466"/>
  <c r="I465"/>
  <c r="H465"/>
  <c r="J463"/>
  <c r="K463"/>
  <c r="F464"/>
  <c r="J470" i="30"/>
  <c r="F471"/>
  <c r="G471" s="1"/>
  <c r="K470"/>
  <c r="B472"/>
  <c r="C472" s="1"/>
  <c r="E472"/>
  <c r="A473"/>
  <c r="D472"/>
  <c r="H472"/>
  <c r="I472"/>
  <c r="C465" i="35" l="1"/>
  <c r="F465" s="1"/>
  <c r="G465" s="1"/>
  <c r="G464"/>
  <c r="J464"/>
  <c r="K464"/>
  <c r="H466"/>
  <c r="D466"/>
  <c r="E466"/>
  <c r="I466"/>
  <c r="A467"/>
  <c r="B466"/>
  <c r="L463"/>
  <c r="F472" i="30"/>
  <c r="G472" s="1"/>
  <c r="L470"/>
  <c r="K471"/>
  <c r="J471"/>
  <c r="D473"/>
  <c r="E473"/>
  <c r="B473"/>
  <c r="C473" s="1"/>
  <c r="A474"/>
  <c r="A475" s="1"/>
  <c r="I473"/>
  <c r="H473"/>
  <c r="L464" i="35" l="1"/>
  <c r="J465"/>
  <c r="E467"/>
  <c r="D467"/>
  <c r="I467"/>
  <c r="H467"/>
  <c r="A468"/>
  <c r="B467"/>
  <c r="C466"/>
  <c r="F466" s="1"/>
  <c r="K466" s="1"/>
  <c r="K465"/>
  <c r="J472" i="30"/>
  <c r="K472"/>
  <c r="L471"/>
  <c r="A476"/>
  <c r="D475"/>
  <c r="E475"/>
  <c r="B475"/>
  <c r="C475" s="1"/>
  <c r="I475"/>
  <c r="H475"/>
  <c r="F473"/>
  <c r="G473" s="1"/>
  <c r="E474"/>
  <c r="B474"/>
  <c r="C474" s="1"/>
  <c r="D474"/>
  <c r="H474"/>
  <c r="I474"/>
  <c r="L465" i="35" l="1"/>
  <c r="G466"/>
  <c r="J466"/>
  <c r="L466" s="1"/>
  <c r="B468"/>
  <c r="A469"/>
  <c r="I468"/>
  <c r="H468"/>
  <c r="D468"/>
  <c r="E468"/>
  <c r="C467"/>
  <c r="F467" s="1"/>
  <c r="L472" i="30"/>
  <c r="B476"/>
  <c r="C476" s="1"/>
  <c r="E476"/>
  <c r="D476"/>
  <c r="A477"/>
  <c r="I476"/>
  <c r="H476"/>
  <c r="F475"/>
  <c r="G475" s="1"/>
  <c r="K473"/>
  <c r="J473"/>
  <c r="F474"/>
  <c r="G474" s="1"/>
  <c r="G467" i="35" l="1"/>
  <c r="K467"/>
  <c r="J467"/>
  <c r="C468"/>
  <c r="F468" s="1"/>
  <c r="G468" s="1"/>
  <c r="E469"/>
  <c r="H469"/>
  <c r="I469"/>
  <c r="B469"/>
  <c r="C469" s="1"/>
  <c r="D469"/>
  <c r="A470"/>
  <c r="K474" i="30"/>
  <c r="F476"/>
  <c r="G476" s="1"/>
  <c r="E477"/>
  <c r="A478"/>
  <c r="D477"/>
  <c r="B477"/>
  <c r="C477" s="1"/>
  <c r="H477"/>
  <c r="I477"/>
  <c r="J475"/>
  <c r="K475"/>
  <c r="L473"/>
  <c r="J474"/>
  <c r="F469" i="35" l="1"/>
  <c r="G469" s="1"/>
  <c r="L467"/>
  <c r="K468"/>
  <c r="J468"/>
  <c r="H470"/>
  <c r="A471"/>
  <c r="D470"/>
  <c r="E470"/>
  <c r="B470"/>
  <c r="C470" s="1"/>
  <c r="I470"/>
  <c r="L474" i="30"/>
  <c r="K476"/>
  <c r="J476"/>
  <c r="L475"/>
  <c r="F477"/>
  <c r="G477" s="1"/>
  <c r="B478"/>
  <c r="C478" s="1"/>
  <c r="D478"/>
  <c r="E478"/>
  <c r="A479"/>
  <c r="I478"/>
  <c r="H478"/>
  <c r="K469" i="35" l="1"/>
  <c r="J469"/>
  <c r="F470"/>
  <c r="L468"/>
  <c r="B471"/>
  <c r="H471"/>
  <c r="D471"/>
  <c r="I471"/>
  <c r="A472"/>
  <c r="E471"/>
  <c r="L476" i="30"/>
  <c r="A480"/>
  <c r="E479"/>
  <c r="B479"/>
  <c r="C479" s="1"/>
  <c r="D479"/>
  <c r="I479"/>
  <c r="H479"/>
  <c r="F478"/>
  <c r="G478" s="1"/>
  <c r="K477"/>
  <c r="J477"/>
  <c r="L469" i="35" l="1"/>
  <c r="G470"/>
  <c r="J470"/>
  <c r="K470"/>
  <c r="C471"/>
  <c r="F471" s="1"/>
  <c r="G471" s="1"/>
  <c r="B472"/>
  <c r="H472"/>
  <c r="D472"/>
  <c r="I472"/>
  <c r="A473"/>
  <c r="E472"/>
  <c r="F479" i="30"/>
  <c r="G479" s="1"/>
  <c r="L477"/>
  <c r="K478"/>
  <c r="B480"/>
  <c r="C480" s="1"/>
  <c r="D480"/>
  <c r="A481"/>
  <c r="E480"/>
  <c r="H480"/>
  <c r="T118" s="1"/>
  <c r="I480"/>
  <c r="U118" s="1"/>
  <c r="J478"/>
  <c r="L470" i="35" l="1"/>
  <c r="K471"/>
  <c r="J471"/>
  <c r="E473"/>
  <c r="H473"/>
  <c r="I473"/>
  <c r="B473"/>
  <c r="D473"/>
  <c r="A474"/>
  <c r="C472"/>
  <c r="F472" s="1"/>
  <c r="G472" s="1"/>
  <c r="J479" i="30"/>
  <c r="K479"/>
  <c r="F480"/>
  <c r="G480" s="1"/>
  <c r="B481"/>
  <c r="C481" s="1"/>
  <c r="D481"/>
  <c r="A482"/>
  <c r="E481"/>
  <c r="I481"/>
  <c r="H481"/>
  <c r="L478"/>
  <c r="K472" i="35" l="1"/>
  <c r="J472"/>
  <c r="C473"/>
  <c r="F473" s="1"/>
  <c r="L471"/>
  <c r="A475"/>
  <c r="H474"/>
  <c r="B474"/>
  <c r="D474"/>
  <c r="E474"/>
  <c r="I474"/>
  <c r="L479" i="30"/>
  <c r="J480"/>
  <c r="K480"/>
  <c r="F481"/>
  <c r="G481" s="1"/>
  <c r="B482"/>
  <c r="C482" s="1"/>
  <c r="D482"/>
  <c r="E482"/>
  <c r="A483"/>
  <c r="H482"/>
  <c r="I482"/>
  <c r="G473" i="35" l="1"/>
  <c r="K473"/>
  <c r="H475"/>
  <c r="A476"/>
  <c r="I475"/>
  <c r="D475"/>
  <c r="E475"/>
  <c r="B475"/>
  <c r="C474"/>
  <c r="F474" s="1"/>
  <c r="G474" s="1"/>
  <c r="L472"/>
  <c r="J473"/>
  <c r="L480" i="30"/>
  <c r="F482"/>
  <c r="G482" s="1"/>
  <c r="K481"/>
  <c r="J481"/>
  <c r="E483"/>
  <c r="D483"/>
  <c r="A484"/>
  <c r="B483"/>
  <c r="C483" s="1"/>
  <c r="H483"/>
  <c r="I483"/>
  <c r="J474" i="35" l="1"/>
  <c r="K474"/>
  <c r="L473"/>
  <c r="D476"/>
  <c r="B476"/>
  <c r="C476" s="1"/>
  <c r="H476"/>
  <c r="A477"/>
  <c r="E476"/>
  <c r="I476"/>
  <c r="C475"/>
  <c r="F475" s="1"/>
  <c r="J475" s="1"/>
  <c r="J482" i="30"/>
  <c r="K482"/>
  <c r="L481"/>
  <c r="F483"/>
  <c r="G483" s="1"/>
  <c r="A485"/>
  <c r="D484"/>
  <c r="E484"/>
  <c r="B484"/>
  <c r="C484" s="1"/>
  <c r="H484"/>
  <c r="I484"/>
  <c r="L474" i="35" l="1"/>
  <c r="G475"/>
  <c r="K475"/>
  <c r="L475" s="1"/>
  <c r="B477"/>
  <c r="E477"/>
  <c r="H477"/>
  <c r="I477"/>
  <c r="A478"/>
  <c r="D477"/>
  <c r="F476"/>
  <c r="L482" i="30"/>
  <c r="J483"/>
  <c r="F484"/>
  <c r="G484" s="1"/>
  <c r="K483"/>
  <c r="B485"/>
  <c r="C485" s="1"/>
  <c r="D485"/>
  <c r="A486"/>
  <c r="E485"/>
  <c r="H485"/>
  <c r="I485"/>
  <c r="A479" i="35" l="1"/>
  <c r="I478"/>
  <c r="H478"/>
  <c r="B478"/>
  <c r="C478" s="1"/>
  <c r="D478"/>
  <c r="E478"/>
  <c r="C477"/>
  <c r="F477" s="1"/>
  <c r="K476"/>
  <c r="G476"/>
  <c r="J476"/>
  <c r="L483" i="30"/>
  <c r="F485"/>
  <c r="G485" s="1"/>
  <c r="D486"/>
  <c r="E486"/>
  <c r="A487"/>
  <c r="B486"/>
  <c r="C486" s="1"/>
  <c r="I486"/>
  <c r="H486"/>
  <c r="J484"/>
  <c r="K484"/>
  <c r="F478" i="35" l="1"/>
  <c r="G478" s="1"/>
  <c r="E479"/>
  <c r="A480"/>
  <c r="H479"/>
  <c r="I479"/>
  <c r="B479"/>
  <c r="D479"/>
  <c r="J477"/>
  <c r="G477"/>
  <c r="L476"/>
  <c r="K477"/>
  <c r="K485" i="30"/>
  <c r="J485"/>
  <c r="F486"/>
  <c r="G486" s="1"/>
  <c r="B487"/>
  <c r="C487" s="1"/>
  <c r="D487"/>
  <c r="E487"/>
  <c r="A488"/>
  <c r="I487"/>
  <c r="H487"/>
  <c r="L484"/>
  <c r="J478" i="35" l="1"/>
  <c r="K478"/>
  <c r="L477"/>
  <c r="E480"/>
  <c r="D480"/>
  <c r="H480"/>
  <c r="A481"/>
  <c r="I480"/>
  <c r="B480"/>
  <c r="C480" s="1"/>
  <c r="C479"/>
  <c r="F479" s="1"/>
  <c r="K479" s="1"/>
  <c r="K486" i="30"/>
  <c r="L485"/>
  <c r="D488"/>
  <c r="A489"/>
  <c r="A490" s="1"/>
  <c r="E488"/>
  <c r="B488"/>
  <c r="C488" s="1"/>
  <c r="H488"/>
  <c r="I488"/>
  <c r="J486"/>
  <c r="F487"/>
  <c r="K487" s="1"/>
  <c r="L478" i="35" l="1"/>
  <c r="F480"/>
  <c r="E481"/>
  <c r="B481"/>
  <c r="C481" s="1"/>
  <c r="D481"/>
  <c r="H481"/>
  <c r="A482"/>
  <c r="I481"/>
  <c r="G479"/>
  <c r="J479"/>
  <c r="L479" s="1"/>
  <c r="L486" i="30"/>
  <c r="E490"/>
  <c r="D490"/>
  <c r="B490"/>
  <c r="C490" s="1"/>
  <c r="A491"/>
  <c r="I490"/>
  <c r="H490"/>
  <c r="B489"/>
  <c r="C489" s="1"/>
  <c r="D489"/>
  <c r="E489"/>
  <c r="I489"/>
  <c r="H489"/>
  <c r="G487"/>
  <c r="J487"/>
  <c r="L487" s="1"/>
  <c r="F488"/>
  <c r="J488" s="1"/>
  <c r="F481" i="35" l="1"/>
  <c r="G481" s="1"/>
  <c r="G480"/>
  <c r="K480"/>
  <c r="I482"/>
  <c r="E482"/>
  <c r="B482"/>
  <c r="A483"/>
  <c r="D482"/>
  <c r="H482"/>
  <c r="J480"/>
  <c r="B491" i="30"/>
  <c r="C491" s="1"/>
  <c r="D491"/>
  <c r="E491"/>
  <c r="A492"/>
  <c r="I491"/>
  <c r="H491"/>
  <c r="F490"/>
  <c r="G490" s="1"/>
  <c r="F489"/>
  <c r="G489" s="1"/>
  <c r="G488"/>
  <c r="K488"/>
  <c r="L488" s="1"/>
  <c r="J481" i="35" l="1"/>
  <c r="K481"/>
  <c r="C482"/>
  <c r="F482" s="1"/>
  <c r="G482" s="1"/>
  <c r="D483"/>
  <c r="A484"/>
  <c r="E483"/>
  <c r="I483"/>
  <c r="H483"/>
  <c r="B483"/>
  <c r="L480"/>
  <c r="F491" i="30"/>
  <c r="G491" s="1"/>
  <c r="J490"/>
  <c r="A493"/>
  <c r="B492"/>
  <c r="C492" s="1"/>
  <c r="D492"/>
  <c r="E492"/>
  <c r="H492"/>
  <c r="I492"/>
  <c r="K490"/>
  <c r="K489"/>
  <c r="J489"/>
  <c r="L481" i="35" l="1"/>
  <c r="J482"/>
  <c r="K482"/>
  <c r="C483"/>
  <c r="F483" s="1"/>
  <c r="G483" s="1"/>
  <c r="I484"/>
  <c r="E484"/>
  <c r="H484"/>
  <c r="D484"/>
  <c r="A485"/>
  <c r="B484"/>
  <c r="K491" i="30"/>
  <c r="L490"/>
  <c r="J491"/>
  <c r="F492"/>
  <c r="G492" s="1"/>
  <c r="L489"/>
  <c r="D493"/>
  <c r="A494"/>
  <c r="E493"/>
  <c r="B493"/>
  <c r="C493" s="1"/>
  <c r="I493"/>
  <c r="H493"/>
  <c r="L482" i="35" l="1"/>
  <c r="K483"/>
  <c r="J483"/>
  <c r="I485"/>
  <c r="A486"/>
  <c r="H485"/>
  <c r="B485"/>
  <c r="C485" s="1"/>
  <c r="E485"/>
  <c r="D485"/>
  <c r="C484"/>
  <c r="F484" s="1"/>
  <c r="G484" s="1"/>
  <c r="L491" i="30"/>
  <c r="J492"/>
  <c r="K492"/>
  <c r="B494"/>
  <c r="C494" s="1"/>
  <c r="D494"/>
  <c r="A495"/>
  <c r="E494"/>
  <c r="I494"/>
  <c r="H494"/>
  <c r="F493"/>
  <c r="K493" s="1"/>
  <c r="K484" i="35" l="1"/>
  <c r="D486"/>
  <c r="E486"/>
  <c r="A487"/>
  <c r="I486"/>
  <c r="H486"/>
  <c r="B486"/>
  <c r="C486" s="1"/>
  <c r="J484"/>
  <c r="L483"/>
  <c r="F485"/>
  <c r="L492" i="30"/>
  <c r="F494"/>
  <c r="G494" s="1"/>
  <c r="G493"/>
  <c r="J493"/>
  <c r="L493" s="1"/>
  <c r="B495"/>
  <c r="C495" s="1"/>
  <c r="D495"/>
  <c r="E495"/>
  <c r="A496"/>
  <c r="I495"/>
  <c r="H495"/>
  <c r="L484" i="35" l="1"/>
  <c r="G485"/>
  <c r="K485"/>
  <c r="J485"/>
  <c r="D487"/>
  <c r="I487"/>
  <c r="A488"/>
  <c r="E487"/>
  <c r="B487"/>
  <c r="C487" s="1"/>
  <c r="H487"/>
  <c r="F486"/>
  <c r="F495" i="30"/>
  <c r="J495" s="1"/>
  <c r="K494"/>
  <c r="J494"/>
  <c r="D496"/>
  <c r="A497"/>
  <c r="B496"/>
  <c r="C496" s="1"/>
  <c r="E496"/>
  <c r="I496"/>
  <c r="H496"/>
  <c r="F487" i="35" l="1"/>
  <c r="G487" s="1"/>
  <c r="L485"/>
  <c r="G486"/>
  <c r="J486"/>
  <c r="K486"/>
  <c r="H488"/>
  <c r="E488"/>
  <c r="A489"/>
  <c r="D488"/>
  <c r="B488"/>
  <c r="I488"/>
  <c r="L494" i="30"/>
  <c r="G495"/>
  <c r="K495"/>
  <c r="L495" s="1"/>
  <c r="F496"/>
  <c r="G496" s="1"/>
  <c r="E497"/>
  <c r="D497"/>
  <c r="B497"/>
  <c r="C497" s="1"/>
  <c r="A498"/>
  <c r="H497"/>
  <c r="I497"/>
  <c r="L486" i="35" l="1"/>
  <c r="J487"/>
  <c r="K487"/>
  <c r="B489"/>
  <c r="C489" s="1"/>
  <c r="F489" s="1"/>
  <c r="G489" s="1"/>
  <c r="E489"/>
  <c r="I489"/>
  <c r="A490"/>
  <c r="D489"/>
  <c r="H489"/>
  <c r="C488"/>
  <c r="F488" s="1"/>
  <c r="G488" s="1"/>
  <c r="J496" i="30"/>
  <c r="D498"/>
  <c r="A499"/>
  <c r="E498"/>
  <c r="B498"/>
  <c r="C498" s="1"/>
  <c r="H498"/>
  <c r="I498"/>
  <c r="K496"/>
  <c r="F497"/>
  <c r="G497" s="1"/>
  <c r="E507"/>
  <c r="D507"/>
  <c r="H507"/>
  <c r="I507"/>
  <c r="B507"/>
  <c r="C507" s="1"/>
  <c r="L487" i="35" l="1"/>
  <c r="K488"/>
  <c r="J488"/>
  <c r="J489"/>
  <c r="L489" s="1"/>
  <c r="K489"/>
  <c r="I490"/>
  <c r="E490"/>
  <c r="D490"/>
  <c r="B490"/>
  <c r="C490" s="1"/>
  <c r="H490"/>
  <c r="L496" i="30"/>
  <c r="K497"/>
  <c r="F498"/>
  <c r="G498" s="1"/>
  <c r="J497"/>
  <c r="D499"/>
  <c r="E499"/>
  <c r="B499"/>
  <c r="C499" s="1"/>
  <c r="A500"/>
  <c r="I499"/>
  <c r="H499"/>
  <c r="H508"/>
  <c r="T119"/>
  <c r="AU36"/>
  <c r="F507"/>
  <c r="U119"/>
  <c r="AV36"/>
  <c r="L488" i="35" l="1"/>
  <c r="F490"/>
  <c r="AW36" i="30"/>
  <c r="L497"/>
  <c r="B500"/>
  <c r="C500" s="1"/>
  <c r="D500"/>
  <c r="E500"/>
  <c r="H500"/>
  <c r="I500"/>
  <c r="A501"/>
  <c r="J498"/>
  <c r="K498"/>
  <c r="F499"/>
  <c r="G507"/>
  <c r="K507"/>
  <c r="J507"/>
  <c r="G490" i="35" l="1"/>
  <c r="J490"/>
  <c r="L490" s="1"/>
  <c r="K490"/>
  <c r="L498" i="30"/>
  <c r="F500"/>
  <c r="G500" s="1"/>
  <c r="G499"/>
  <c r="K499"/>
  <c r="J499"/>
  <c r="D501"/>
  <c r="B501"/>
  <c r="C501" s="1"/>
  <c r="I501"/>
  <c r="A502"/>
  <c r="H501"/>
  <c r="E501"/>
  <c r="L507"/>
  <c r="K500" l="1"/>
  <c r="J500"/>
  <c r="L499"/>
  <c r="H502"/>
  <c r="E502"/>
  <c r="B502"/>
  <c r="C502" s="1"/>
  <c r="I502"/>
  <c r="A503"/>
  <c r="D502"/>
  <c r="F501"/>
  <c r="L500" l="1"/>
  <c r="F502"/>
  <c r="G501"/>
  <c r="K501"/>
  <c r="J501"/>
  <c r="D503"/>
  <c r="A504"/>
  <c r="H503"/>
  <c r="I503"/>
  <c r="B503"/>
  <c r="C503" s="1"/>
  <c r="E503"/>
  <c r="F503" l="1"/>
  <c r="G503" s="1"/>
  <c r="G502"/>
  <c r="J502"/>
  <c r="B504"/>
  <c r="C504" s="1"/>
  <c r="D504"/>
  <c r="A505"/>
  <c r="H504"/>
  <c r="E504"/>
  <c r="I504"/>
  <c r="K502"/>
  <c r="L501"/>
  <c r="K503" l="1"/>
  <c r="J503"/>
  <c r="L502"/>
  <c r="F504"/>
  <c r="K504" s="1"/>
  <c r="A506"/>
  <c r="B505"/>
  <c r="C505" s="1"/>
  <c r="I505"/>
  <c r="H505"/>
  <c r="E505"/>
  <c r="D505"/>
  <c r="L503" l="1"/>
  <c r="F505"/>
  <c r="G505" s="1"/>
  <c r="G504"/>
  <c r="J504"/>
  <c r="L504" s="1"/>
  <c r="E506"/>
  <c r="B506"/>
  <c r="C506" s="1"/>
  <c r="I506"/>
  <c r="D506"/>
  <c r="H506"/>
  <c r="K505" l="1"/>
  <c r="J505"/>
  <c r="F506"/>
  <c r="G506" s="1"/>
  <c r="L505" l="1"/>
  <c r="J506"/>
  <c r="K506"/>
  <c r="L506" l="1"/>
</calcChain>
</file>

<file path=xl/sharedStrings.xml><?xml version="1.0" encoding="utf-8"?>
<sst xmlns="http://schemas.openxmlformats.org/spreadsheetml/2006/main" count="4235" uniqueCount="177">
  <si>
    <t>y</t>
  </si>
  <si>
    <t>x</t>
  </si>
  <si>
    <t>t</t>
  </si>
  <si>
    <t>dx/dt</t>
  </si>
  <si>
    <t>dy/dt</t>
  </si>
  <si>
    <t>U P H I L L</t>
  </si>
  <si>
    <t>D O W N H I L L</t>
  </si>
  <si>
    <t>ds/dt</t>
  </si>
  <si>
    <t>m</t>
  </si>
  <si>
    <t>m/s</t>
  </si>
  <si>
    <t>∆ α</t>
  </si>
  <si>
    <t>α</t>
  </si>
  <si>
    <t>α null</t>
  </si>
  <si>
    <t>u</t>
  </si>
  <si>
    <t>u null</t>
  </si>
  <si>
    <t>MR</t>
  </si>
  <si>
    <t>N2 null</t>
  </si>
  <si>
    <t>N3 null</t>
  </si>
  <si>
    <t>Z3u</t>
  </si>
  <si>
    <t>N1u</t>
  </si>
  <si>
    <t>EK</t>
  </si>
  <si>
    <t>Z2 null</t>
  </si>
  <si>
    <t>Z1u</t>
  </si>
  <si>
    <t>Konst</t>
  </si>
  <si>
    <t>Yziel</t>
  </si>
  <si>
    <t>Yloch</t>
  </si>
  <si>
    <t>Höhe</t>
  </si>
  <si>
    <t>Y/m</t>
  </si>
  <si>
    <t>m/%</t>
  </si>
  <si>
    <t>Z/m</t>
  </si>
  <si>
    <t>Y#</t>
  </si>
  <si>
    <t>Z#</t>
  </si>
  <si>
    <t>m#</t>
  </si>
  <si>
    <t>n#</t>
  </si>
  <si>
    <t>mi</t>
  </si>
  <si>
    <t>ni</t>
  </si>
  <si>
    <t>H-Steigung</t>
  </si>
  <si>
    <t>Definition des Stufengrüns</t>
  </si>
  <si>
    <t>Koordinaten und Schrittweite der Darstellung</t>
  </si>
  <si>
    <t># 1</t>
  </si>
  <si>
    <t># 2</t>
  </si>
  <si>
    <t># 3</t>
  </si>
  <si>
    <t>#4</t>
  </si>
  <si>
    <t>Stufenweise Annäherung des Grüns durch Geraden Z = m Y + n</t>
  </si>
  <si>
    <t>Zref</t>
  </si>
  <si>
    <t>#5</t>
  </si>
  <si>
    <t>Graphische Darstellung der Geraden Z = m Y + n</t>
  </si>
  <si>
    <t xml:space="preserve">Referenz </t>
  </si>
  <si>
    <t xml:space="preserve">  </t>
  </si>
  <si>
    <t>Reibungskoeffizient</t>
  </si>
  <si>
    <t>Festlegung des Golfloch auf dem Grün und des Startpunktes in Y</t>
  </si>
  <si>
    <t>Ystart</t>
  </si>
  <si>
    <t>deltaYS</t>
  </si>
  <si>
    <t>deltaYL</t>
  </si>
  <si>
    <t xml:space="preserve"> zwischen - Ystart und + Yloch</t>
  </si>
  <si>
    <t>vo</t>
  </si>
  <si>
    <t>Mü</t>
  </si>
  <si>
    <t>Xstart</t>
  </si>
  <si>
    <t>Vxstart</t>
  </si>
  <si>
    <t>Vystart</t>
  </si>
  <si>
    <t>Berechnung</t>
  </si>
  <si>
    <t>Y(α)</t>
  </si>
  <si>
    <t>Y'(α)</t>
  </si>
  <si>
    <t>αi</t>
  </si>
  <si>
    <t>eps</t>
  </si>
  <si>
    <t>X</t>
  </si>
  <si>
    <t>Y</t>
  </si>
  <si>
    <t>Kreis</t>
  </si>
  <si>
    <t>Konstanten</t>
  </si>
  <si>
    <t>Eingabe:</t>
  </si>
  <si>
    <t>Nullstellen</t>
  </si>
  <si>
    <t>Geraden</t>
  </si>
  <si>
    <t>Näherung mit</t>
  </si>
  <si>
    <t>Gerade #</t>
  </si>
  <si>
    <t>Darstellung</t>
  </si>
  <si>
    <t>- Nullstellensuche entfällt hier, da letzte Gerade -</t>
  </si>
  <si>
    <t>- Nullstellensuche entfällt hier, da nur 1 Gerade -</t>
  </si>
  <si>
    <t>#6</t>
  </si>
  <si>
    <t>Genauigkeit der Iteration</t>
  </si>
  <si>
    <t>Stufe</t>
  </si>
  <si>
    <t>Uphill</t>
  </si>
  <si>
    <t>Mit drei Stufen ist man auf ca. 3 cm genau !</t>
  </si>
  <si>
    <t>R</t>
  </si>
  <si>
    <t>man</t>
  </si>
  <si>
    <t>manuell optimiert, vergleichbar mit eps = 0,003</t>
  </si>
  <si>
    <t>Uphill - 17</t>
  </si>
  <si>
    <t>Uphill - 9</t>
  </si>
  <si>
    <t>Kontrolle der Nullstellen</t>
  </si>
  <si>
    <t>!!!</t>
  </si>
  <si>
    <t>Ziel für Uphill Fall</t>
  </si>
  <si>
    <t>Funktionsdiskussion</t>
  </si>
  <si>
    <t>Mü = 0,07 ist kleiner als Steigung</t>
  </si>
  <si>
    <t>Beispiel:</t>
  </si>
  <si>
    <t>Mü = 0,07</t>
  </si>
  <si>
    <t>- - -</t>
  </si>
  <si>
    <t>YzielD</t>
  </si>
  <si>
    <t>YzielU</t>
  </si>
  <si>
    <t>Nullstellentest</t>
  </si>
  <si>
    <t>αdelta</t>
  </si>
  <si>
    <t>WF</t>
  </si>
  <si>
    <t>Y'</t>
  </si>
  <si>
    <t>Y0</t>
  </si>
  <si>
    <t>Y0+e</t>
  </si>
  <si>
    <t>α0</t>
  </si>
  <si>
    <t>α0+1</t>
  </si>
  <si>
    <t>m-i</t>
  </si>
  <si>
    <t>spezielle Optimierung</t>
  </si>
  <si>
    <t>läuft bis y =</t>
  </si>
  <si>
    <t>Zielgeschw. v =</t>
  </si>
  <si>
    <t>&gt;&gt;&gt;</t>
  </si>
  <si>
    <t>optimiert aufs Zentrum mit V0=0 !!!</t>
  </si>
  <si>
    <t>optimiert aufs Zentrum mit Stop bei + 0,5 m</t>
  </si>
  <si>
    <t>Stop bei 1,30 hinter Loch</t>
  </si>
  <si>
    <t>0,3 hinter Loch</t>
  </si>
  <si>
    <t>Erkenntnis: ab 5 Geraden stimmt es auf wenige Millimeter !</t>
  </si>
  <si>
    <t>± Höhe</t>
  </si>
  <si>
    <t>Ziel für Downhill</t>
  </si>
  <si>
    <t>Ygrenz</t>
  </si>
  <si>
    <t xml:space="preserve">  ±  Bereich in dem der Ball nicht liegen bleibt da dort das Grün zu steil ist</t>
  </si>
  <si>
    <t xml:space="preserve">Mittlere lineare Steigung </t>
  </si>
  <si>
    <t>Y von - 1,5 YStart bis + 1,5 YLoch</t>
  </si>
  <si>
    <t>V0</t>
  </si>
  <si>
    <t>Reibungskoeffizient Mü = 0,07, entspricht ca. Stimpfaktor 8</t>
  </si>
  <si>
    <t>Vx</t>
  </si>
  <si>
    <t>Vy</t>
  </si>
  <si>
    <t>Puttstrategie: zentral, bis 0,5 m hinter das Loch</t>
  </si>
  <si>
    <t>G Ygrenz</t>
  </si>
  <si>
    <t>Näherung für Yziel</t>
  </si>
  <si>
    <t>unabhängig von Y Startposition</t>
  </si>
  <si>
    <t>GH = 0,2 m</t>
  </si>
  <si>
    <t>GH = 0,4 m</t>
  </si>
  <si>
    <t>GH = 0,6 m</t>
  </si>
  <si>
    <t>H = 0,8 m</t>
  </si>
  <si>
    <t>Steigungsfaktor = 3</t>
  </si>
  <si>
    <t>Loch bei Y = 2 m und X = 0</t>
  </si>
  <si>
    <t>SF = 1</t>
  </si>
  <si>
    <t>SF = 2</t>
  </si>
  <si>
    <t>SF = 3</t>
  </si>
  <si>
    <t>Yloch = 1,5 m</t>
  </si>
  <si>
    <t>Yloch = 2 m</t>
  </si>
  <si>
    <t>Yloch = 2,5 m</t>
  </si>
  <si>
    <t>GH = 0,4 m - Steigungsfaktor = 3</t>
  </si>
  <si>
    <t>Variation des Steigungsfaktors</t>
  </si>
  <si>
    <t>Variation der Y Koordinate des Loches</t>
  </si>
  <si>
    <t>Variation des Reibungsfaktors Mü</t>
  </si>
  <si>
    <t>Mü = 0,056</t>
  </si>
  <si>
    <t>Mü = 0,095</t>
  </si>
  <si>
    <t>GH = 0,4 m - Yloch 2 m</t>
  </si>
  <si>
    <t>GH = 0,4 m - Steigungsfaktor = 3 - Yloch 2 m</t>
  </si>
  <si>
    <t>&gt;&gt;&gt; Achtung &gt;&gt;&gt;</t>
  </si>
  <si>
    <t>Gesamthöhe = 2 x Höhe</t>
  </si>
  <si>
    <t xml:space="preserve">  normiert auf 0,5m Änderung</t>
  </si>
  <si>
    <t>- - -   Referenz   - - -</t>
  </si>
  <si>
    <t>SF=10</t>
  </si>
  <si>
    <t>SF=8</t>
  </si>
  <si>
    <t>SF=6</t>
  </si>
  <si>
    <t>GH</t>
  </si>
  <si>
    <t>a</t>
  </si>
  <si>
    <t>b</t>
  </si>
  <si>
    <t>rot</t>
  </si>
  <si>
    <t>blau</t>
  </si>
  <si>
    <t>grün</t>
  </si>
  <si>
    <t>violett</t>
  </si>
  <si>
    <t>Yziel = Yloch + a GH + b GH X + KF</t>
  </si>
  <si>
    <t>bis</t>
  </si>
  <si>
    <t>mit</t>
  </si>
  <si>
    <t>max.</t>
  </si>
  <si>
    <t>Vziel</t>
  </si>
  <si>
    <t>zu</t>
  </si>
  <si>
    <t>hoch</t>
  </si>
  <si>
    <t>GH = 0,4</t>
  </si>
  <si>
    <t>Yloch = -2</t>
  </si>
  <si>
    <t>WICHTIG:</t>
  </si>
  <si>
    <t>Wenn die Geschwindigkeiten bei Do-17 auf Minimum optimiert worden sind</t>
  </si>
  <si>
    <t>dann reichen bei Do-5 diese minimalen Geschwindigkeiten nicht aus um die erste Stufe zu überbrücken</t>
  </si>
  <si>
    <t>Dies ist kein Fehler des Nullstellensuchers - sondern schlicht zu viel Reibung !!!!!</t>
  </si>
  <si>
    <t>dann reichen bei Do-3 diese minimalen Geschwindigkeiten nicht aus um die erste Stufe zu überbrücken</t>
  </si>
</sst>
</file>

<file path=xl/styles.xml><?xml version="1.0" encoding="utf-8"?>
<styleSheet xmlns="http://schemas.openxmlformats.org/spreadsheetml/2006/main">
  <numFmts count="4">
    <numFmt numFmtId="164" formatCode="0.0"/>
    <numFmt numFmtId="165" formatCode="0.000"/>
    <numFmt numFmtId="166" formatCode="0.0%"/>
    <numFmt numFmtId="167" formatCode="0.000000"/>
  </numFmts>
  <fonts count="22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7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sz val="11"/>
      <color rgb="FFFF0000"/>
      <name val="Arial"/>
      <family val="2"/>
    </font>
    <font>
      <sz val="11"/>
      <name val="Arial"/>
      <family val="2"/>
    </font>
    <font>
      <sz val="9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7030A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</borders>
  <cellStyleXfs count="1">
    <xf numFmtId="0" fontId="0" fillId="0" borderId="0"/>
  </cellStyleXfs>
  <cellXfs count="39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0" xfId="0" applyFill="1"/>
    <xf numFmtId="0" fontId="0" fillId="0" borderId="0" xfId="0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9" fontId="0" fillId="0" borderId="0" xfId="0" applyNumberFormat="1" applyFont="1" applyFill="1" applyBorder="1" applyAlignment="1">
      <alignment horizontal="center"/>
    </xf>
    <xf numFmtId="9" fontId="3" fillId="0" borderId="0" xfId="0" applyNumberFormat="1" applyFont="1" applyFill="1" applyBorder="1" applyAlignment="1">
      <alignment horizontal="center"/>
    </xf>
    <xf numFmtId="9" fontId="2" fillId="0" borderId="0" xfId="0" applyNumberFormat="1" applyFont="1" applyFill="1" applyBorder="1" applyAlignment="1">
      <alignment horizontal="center"/>
    </xf>
    <xf numFmtId="9" fontId="5" fillId="0" borderId="0" xfId="0" applyNumberFormat="1" applyFont="1" applyFill="1" applyBorder="1"/>
    <xf numFmtId="0" fontId="0" fillId="0" borderId="0" xfId="0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0" fontId="4" fillId="0" borderId="0" xfId="0" quotePrefix="1" applyFont="1" applyFill="1" applyBorder="1" applyAlignment="1">
      <alignment horizontal="center"/>
    </xf>
    <xf numFmtId="0" fontId="1" fillId="0" borderId="0" xfId="0" applyFont="1" applyFill="1" applyBorder="1"/>
    <xf numFmtId="0" fontId="0" fillId="0" borderId="0" xfId="0" applyFill="1"/>
    <xf numFmtId="165" fontId="6" fillId="0" borderId="1" xfId="0" applyNumberFormat="1" applyFont="1" applyFill="1" applyBorder="1" applyAlignment="1">
      <alignment horizontal="center"/>
    </xf>
    <xf numFmtId="165" fontId="6" fillId="0" borderId="1" xfId="0" applyNumberFormat="1" applyFont="1" applyBorder="1" applyAlignment="1">
      <alignment horizontal="center"/>
    </xf>
    <xf numFmtId="166" fontId="6" fillId="0" borderId="1" xfId="0" applyNumberFormat="1" applyFont="1" applyBorder="1" applyAlignment="1">
      <alignment horizontal="center"/>
    </xf>
    <xf numFmtId="166" fontId="6" fillId="0" borderId="0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165" fontId="6" fillId="5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right"/>
    </xf>
    <xf numFmtId="0" fontId="6" fillId="0" borderId="0" xfId="0" applyFont="1"/>
    <xf numFmtId="0" fontId="6" fillId="3" borderId="0" xfId="0" applyFont="1" applyFill="1"/>
    <xf numFmtId="166" fontId="6" fillId="8" borderId="1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5" borderId="0" xfId="0" applyFont="1" applyFill="1"/>
    <xf numFmtId="166" fontId="6" fillId="5" borderId="1" xfId="0" applyNumberFormat="1" applyFont="1" applyFill="1" applyBorder="1" applyAlignment="1">
      <alignment horizontal="center"/>
    </xf>
    <xf numFmtId="166" fontId="6" fillId="7" borderId="1" xfId="0" applyNumberFormat="1" applyFont="1" applyFill="1" applyBorder="1" applyAlignment="1">
      <alignment horizontal="center"/>
    </xf>
    <xf numFmtId="0" fontId="6" fillId="0" borderId="1" xfId="0" applyFont="1" applyBorder="1"/>
    <xf numFmtId="0" fontId="6" fillId="0" borderId="0" xfId="0" applyFont="1" applyAlignment="1">
      <alignment horizontal="center"/>
    </xf>
    <xf numFmtId="165" fontId="6" fillId="0" borderId="0" xfId="0" applyNumberFormat="1" applyFont="1" applyFill="1" applyBorder="1" applyAlignment="1">
      <alignment horizontal="center"/>
    </xf>
    <xf numFmtId="165" fontId="6" fillId="7" borderId="1" xfId="0" applyNumberFormat="1" applyFont="1" applyFill="1" applyBorder="1" applyAlignment="1">
      <alignment horizontal="center"/>
    </xf>
    <xf numFmtId="165" fontId="6" fillId="6" borderId="1" xfId="0" applyNumberFormat="1" applyFont="1" applyFill="1" applyBorder="1" applyAlignment="1">
      <alignment horizontal="center"/>
    </xf>
    <xf numFmtId="165" fontId="6" fillId="9" borderId="1" xfId="0" applyNumberFormat="1" applyFont="1" applyFill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1" xfId="0" applyFont="1" applyFill="1" applyBorder="1" applyAlignment="1">
      <alignment horizontal="center" shrinkToFit="1"/>
    </xf>
    <xf numFmtId="2" fontId="6" fillId="0" borderId="0" xfId="0" applyNumberFormat="1" applyFont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6" fillId="10" borderId="1" xfId="0" applyFont="1" applyFill="1" applyBorder="1" applyAlignment="1">
      <alignment horizontal="center"/>
    </xf>
    <xf numFmtId="166" fontId="6" fillId="11" borderId="1" xfId="0" applyNumberFormat="1" applyFont="1" applyFill="1" applyBorder="1" applyAlignment="1">
      <alignment horizontal="center"/>
    </xf>
    <xf numFmtId="165" fontId="6" fillId="11" borderId="1" xfId="0" applyNumberFormat="1" applyFont="1" applyFill="1" applyBorder="1" applyAlignment="1">
      <alignment horizontal="center"/>
    </xf>
    <xf numFmtId="10" fontId="6" fillId="0" borderId="1" xfId="0" applyNumberFormat="1" applyFont="1" applyBorder="1" applyAlignment="1">
      <alignment horizontal="center"/>
    </xf>
    <xf numFmtId="166" fontId="6" fillId="9" borderId="1" xfId="0" applyNumberFormat="1" applyFont="1" applyFill="1" applyBorder="1" applyAlignment="1">
      <alignment horizontal="center"/>
    </xf>
    <xf numFmtId="166" fontId="6" fillId="12" borderId="1" xfId="0" applyNumberFormat="1" applyFont="1" applyFill="1" applyBorder="1" applyAlignment="1">
      <alignment horizontal="center"/>
    </xf>
    <xf numFmtId="0" fontId="6" fillId="8" borderId="1" xfId="0" applyFont="1" applyFill="1" applyBorder="1"/>
    <xf numFmtId="0" fontId="8" fillId="0" borderId="0" xfId="0" applyFont="1"/>
    <xf numFmtId="0" fontId="6" fillId="0" borderId="1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10" fontId="6" fillId="5" borderId="1" xfId="0" applyNumberFormat="1" applyFont="1" applyFill="1" applyBorder="1" applyAlignment="1">
      <alignment horizontal="center"/>
    </xf>
    <xf numFmtId="166" fontId="6" fillId="6" borderId="1" xfId="0" applyNumberFormat="1" applyFont="1" applyFill="1" applyBorder="1" applyAlignment="1">
      <alignment horizontal="center"/>
    </xf>
    <xf numFmtId="10" fontId="6" fillId="10" borderId="1" xfId="0" applyNumberFormat="1" applyFont="1" applyFill="1" applyBorder="1" applyAlignment="1">
      <alignment horizontal="center"/>
    </xf>
    <xf numFmtId="0" fontId="6" fillId="8" borderId="1" xfId="0" applyNumberFormat="1" applyFont="1" applyFill="1" applyBorder="1" applyAlignment="1">
      <alignment horizontal="center"/>
    </xf>
    <xf numFmtId="165" fontId="6" fillId="13" borderId="1" xfId="0" applyNumberFormat="1" applyFont="1" applyFill="1" applyBorder="1" applyAlignment="1">
      <alignment horizontal="center"/>
    </xf>
    <xf numFmtId="165" fontId="6" fillId="14" borderId="1" xfId="0" applyNumberFormat="1" applyFont="1" applyFill="1" applyBorder="1" applyAlignment="1">
      <alignment horizontal="center"/>
    </xf>
    <xf numFmtId="165" fontId="6" fillId="12" borderId="1" xfId="0" applyNumberFormat="1" applyFont="1" applyFill="1" applyBorder="1" applyAlignment="1">
      <alignment horizontal="center"/>
    </xf>
    <xf numFmtId="166" fontId="6" fillId="14" borderId="1" xfId="0" applyNumberFormat="1" applyFont="1" applyFill="1" applyBorder="1" applyAlignment="1">
      <alignment horizontal="center"/>
    </xf>
    <xf numFmtId="166" fontId="6" fillId="13" borderId="1" xfId="0" applyNumberFormat="1" applyFont="1" applyFill="1" applyBorder="1" applyAlignment="1">
      <alignment horizontal="center"/>
    </xf>
    <xf numFmtId="0" fontId="6" fillId="8" borderId="4" xfId="0" applyFont="1" applyFill="1" applyBorder="1" applyAlignment="1">
      <alignment horizontal="right"/>
    </xf>
    <xf numFmtId="166" fontId="6" fillId="0" borderId="0" xfId="0" applyNumberFormat="1" applyFont="1" applyFill="1" applyBorder="1" applyAlignment="1">
      <alignment horizontal="center"/>
    </xf>
    <xf numFmtId="0" fontId="6" fillId="0" borderId="6" xfId="0" applyFont="1" applyBorder="1" applyAlignment="1">
      <alignment horizontal="center"/>
    </xf>
    <xf numFmtId="165" fontId="6" fillId="10" borderId="1" xfId="0" applyNumberFormat="1" applyFont="1" applyFill="1" applyBorder="1" applyAlignment="1">
      <alignment horizontal="center"/>
    </xf>
    <xf numFmtId="0" fontId="0" fillId="15" borderId="1" xfId="0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/>
    </xf>
    <xf numFmtId="165" fontId="7" fillId="0" borderId="1" xfId="0" applyNumberFormat="1" applyFont="1" applyBorder="1"/>
    <xf numFmtId="0" fontId="0" fillId="0" borderId="0" xfId="0" applyFill="1" applyBorder="1" applyAlignment="1">
      <alignment horizontal="center"/>
    </xf>
    <xf numFmtId="165" fontId="7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shrinkToFit="1"/>
    </xf>
    <xf numFmtId="0" fontId="7" fillId="0" borderId="1" xfId="0" applyFont="1" applyFill="1" applyBorder="1" applyAlignment="1">
      <alignment horizontal="center"/>
    </xf>
    <xf numFmtId="165" fontId="6" fillId="15" borderId="1" xfId="0" applyNumberFormat="1" applyFont="1" applyFill="1" applyBorder="1" applyAlignment="1">
      <alignment horizontal="center"/>
    </xf>
    <xf numFmtId="0" fontId="6" fillId="15" borderId="1" xfId="0" applyFont="1" applyFill="1" applyBorder="1" applyAlignment="1">
      <alignment horizontal="center"/>
    </xf>
    <xf numFmtId="0" fontId="7" fillId="15" borderId="1" xfId="0" applyFont="1" applyFill="1" applyBorder="1" applyAlignment="1">
      <alignment horizontal="center"/>
    </xf>
    <xf numFmtId="165" fontId="7" fillId="15" borderId="1" xfId="0" applyNumberFormat="1" applyFont="1" applyFill="1" applyBorder="1" applyAlignment="1">
      <alignment horizontal="center"/>
    </xf>
    <xf numFmtId="0" fontId="0" fillId="8" borderId="1" xfId="0" applyFill="1" applyBorder="1"/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9" fillId="2" borderId="0" xfId="0" applyFont="1" applyFill="1"/>
    <xf numFmtId="0" fontId="10" fillId="3" borderId="0" xfId="0" applyFont="1" applyFill="1" applyAlignment="1">
      <alignment horizontal="center"/>
    </xf>
    <xf numFmtId="0" fontId="8" fillId="2" borderId="0" xfId="0" applyFont="1" applyFill="1"/>
    <xf numFmtId="0" fontId="6" fillId="0" borderId="0" xfId="0" applyFont="1" applyBorder="1"/>
    <xf numFmtId="10" fontId="6" fillId="0" borderId="1" xfId="0" applyNumberFormat="1" applyFont="1" applyBorder="1"/>
    <xf numFmtId="2" fontId="6" fillId="0" borderId="1" xfId="0" applyNumberFormat="1" applyFont="1" applyFill="1" applyBorder="1" applyAlignment="1">
      <alignment horizontal="center"/>
    </xf>
    <xf numFmtId="0" fontId="6" fillId="0" borderId="0" xfId="0" applyFont="1" applyFill="1"/>
    <xf numFmtId="2" fontId="6" fillId="0" borderId="0" xfId="0" applyNumberFormat="1" applyFont="1" applyFill="1" applyBorder="1" applyAlignment="1">
      <alignment horizontal="center"/>
    </xf>
    <xf numFmtId="0" fontId="0" fillId="3" borderId="0" xfId="0" applyFill="1"/>
    <xf numFmtId="0" fontId="8" fillId="0" borderId="0" xfId="0" applyFont="1" applyFill="1"/>
    <xf numFmtId="2" fontId="0" fillId="6" borderId="1" xfId="0" applyNumberFormat="1" applyFill="1" applyBorder="1" applyAlignment="1">
      <alignment horizontal="center"/>
    </xf>
    <xf numFmtId="165" fontId="7" fillId="4" borderId="1" xfId="0" applyNumberFormat="1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165" fontId="7" fillId="7" borderId="1" xfId="0" applyNumberFormat="1" applyFont="1" applyFill="1" applyBorder="1" applyAlignment="1">
      <alignment horizontal="center"/>
    </xf>
    <xf numFmtId="165" fontId="7" fillId="6" borderId="1" xfId="0" applyNumberFormat="1" applyFont="1" applyFill="1" applyBorder="1" applyAlignment="1">
      <alignment horizontal="center"/>
    </xf>
    <xf numFmtId="2" fontId="0" fillId="7" borderId="1" xfId="0" applyNumberFormat="1" applyFill="1" applyBorder="1" applyAlignment="1">
      <alignment horizontal="center"/>
    </xf>
    <xf numFmtId="0" fontId="6" fillId="0" borderId="0" xfId="0" quotePrefix="1" applyFont="1"/>
    <xf numFmtId="167" fontId="6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6" fillId="7" borderId="1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 shrinkToFit="1"/>
    </xf>
    <xf numFmtId="0" fontId="6" fillId="7" borderId="1" xfId="0" applyFont="1" applyFill="1" applyBorder="1" applyAlignment="1">
      <alignment horizontal="center" shrinkToFit="1"/>
    </xf>
    <xf numFmtId="165" fontId="7" fillId="16" borderId="1" xfId="0" applyNumberFormat="1" applyFont="1" applyFill="1" applyBorder="1" applyAlignment="1">
      <alignment horizontal="center"/>
    </xf>
    <xf numFmtId="165" fontId="7" fillId="8" borderId="1" xfId="0" applyNumberFormat="1" applyFont="1" applyFill="1" applyBorder="1" applyAlignment="1">
      <alignment horizontal="center"/>
    </xf>
    <xf numFmtId="2" fontId="0" fillId="15" borderId="1" xfId="0" applyNumberFormat="1" applyFill="1" applyBorder="1" applyAlignment="1">
      <alignment horizontal="center"/>
    </xf>
    <xf numFmtId="2" fontId="0" fillId="8" borderId="1" xfId="0" applyNumberFormat="1" applyFill="1" applyBorder="1" applyAlignment="1">
      <alignment horizontal="center"/>
    </xf>
    <xf numFmtId="2" fontId="2" fillId="15" borderId="1" xfId="0" applyNumberFormat="1" applyFont="1" applyFill="1" applyBorder="1" applyAlignment="1">
      <alignment horizontal="center"/>
    </xf>
    <xf numFmtId="165" fontId="11" fillId="15" borderId="1" xfId="0" applyNumberFormat="1" applyFont="1" applyFill="1" applyBorder="1" applyAlignment="1">
      <alignment horizontal="center"/>
    </xf>
    <xf numFmtId="165" fontId="11" fillId="6" borderId="1" xfId="0" applyNumberFormat="1" applyFont="1" applyFill="1" applyBorder="1" applyAlignment="1">
      <alignment horizontal="center"/>
    </xf>
    <xf numFmtId="0" fontId="6" fillId="12" borderId="1" xfId="0" applyFont="1" applyFill="1" applyBorder="1" applyAlignment="1">
      <alignment horizontal="center"/>
    </xf>
    <xf numFmtId="0" fontId="6" fillId="12" borderId="1" xfId="0" applyFont="1" applyFill="1" applyBorder="1" applyAlignment="1">
      <alignment horizontal="center" shrinkToFit="1"/>
    </xf>
    <xf numFmtId="0" fontId="6" fillId="17" borderId="1" xfId="0" applyFont="1" applyFill="1" applyBorder="1" applyAlignment="1">
      <alignment horizontal="center"/>
    </xf>
    <xf numFmtId="0" fontId="7" fillId="17" borderId="1" xfId="0" applyFont="1" applyFill="1" applyBorder="1" applyAlignment="1">
      <alignment horizontal="center" shrinkToFit="1"/>
    </xf>
    <xf numFmtId="2" fontId="0" fillId="16" borderId="1" xfId="0" applyNumberFormat="1" applyFill="1" applyBorder="1" applyAlignment="1">
      <alignment horizontal="center"/>
    </xf>
    <xf numFmtId="2" fontId="0" fillId="11" borderId="1" xfId="0" applyNumberFormat="1" applyFill="1" applyBorder="1" applyAlignment="1">
      <alignment horizontal="center"/>
    </xf>
    <xf numFmtId="165" fontId="7" fillId="11" borderId="1" xfId="0" applyNumberFormat="1" applyFont="1" applyFill="1" applyBorder="1" applyAlignment="1">
      <alignment horizontal="center"/>
    </xf>
    <xf numFmtId="0" fontId="0" fillId="0" borderId="0" xfId="0" applyNumberFormat="1"/>
    <xf numFmtId="0" fontId="0" fillId="0" borderId="0" xfId="0" applyFill="1" applyBorder="1" applyAlignment="1">
      <alignment horizontal="center"/>
    </xf>
    <xf numFmtId="0" fontId="0" fillId="15" borderId="1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2" fontId="0" fillId="12" borderId="1" xfId="0" applyNumberFormat="1" applyFill="1" applyBorder="1" applyAlignment="1">
      <alignment horizontal="center"/>
    </xf>
    <xf numFmtId="2" fontId="0" fillId="9" borderId="1" xfId="0" applyNumberFormat="1" applyFill="1" applyBorder="1" applyAlignment="1">
      <alignment horizontal="center"/>
    </xf>
    <xf numFmtId="165" fontId="7" fillId="9" borderId="1" xfId="0" applyNumberFormat="1" applyFont="1" applyFill="1" applyBorder="1" applyAlignment="1">
      <alignment horizontal="center"/>
    </xf>
    <xf numFmtId="2" fontId="0" fillId="14" borderId="1" xfId="0" applyNumberFormat="1" applyFill="1" applyBorder="1" applyAlignment="1">
      <alignment horizontal="center"/>
    </xf>
    <xf numFmtId="165" fontId="7" fillId="14" borderId="1" xfId="0" applyNumberFormat="1" applyFont="1" applyFill="1" applyBorder="1" applyAlignment="1">
      <alignment horizontal="center"/>
    </xf>
    <xf numFmtId="2" fontId="0" fillId="13" borderId="1" xfId="0" applyNumberForma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165" fontId="7" fillId="2" borderId="1" xfId="0" applyNumberFormat="1" applyFont="1" applyFill="1" applyBorder="1" applyAlignment="1">
      <alignment horizontal="center"/>
    </xf>
    <xf numFmtId="2" fontId="0" fillId="18" borderId="1" xfId="0" applyNumberFormat="1" applyFill="1" applyBorder="1" applyAlignment="1">
      <alignment horizontal="center"/>
    </xf>
    <xf numFmtId="165" fontId="7" fillId="18" borderId="1" xfId="0" applyNumberFormat="1" applyFont="1" applyFill="1" applyBorder="1" applyAlignment="1">
      <alignment horizontal="center"/>
    </xf>
    <xf numFmtId="165" fontId="7" fillId="12" borderId="1" xfId="0" applyNumberFormat="1" applyFont="1" applyFill="1" applyBorder="1" applyAlignment="1">
      <alignment horizontal="center"/>
    </xf>
    <xf numFmtId="165" fontId="7" fillId="13" borderId="1" xfId="0" applyNumberFormat="1" applyFont="1" applyFill="1" applyBorder="1" applyAlignment="1">
      <alignment horizontal="center"/>
    </xf>
    <xf numFmtId="0" fontId="12" fillId="8" borderId="1" xfId="0" applyFont="1" applyFill="1" applyBorder="1" applyAlignment="1">
      <alignment horizontal="center"/>
    </xf>
    <xf numFmtId="165" fontId="6" fillId="8" borderId="1" xfId="0" applyNumberFormat="1" applyFont="1" applyFill="1" applyBorder="1" applyAlignment="1">
      <alignment horizontal="center"/>
    </xf>
    <xf numFmtId="0" fontId="6" fillId="4" borderId="0" xfId="0" applyFont="1" applyFill="1"/>
    <xf numFmtId="0" fontId="10" fillId="4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15" borderId="1" xfId="0" applyFill="1" applyBorder="1" applyAlignment="1">
      <alignment horizontal="center"/>
    </xf>
    <xf numFmtId="0" fontId="0" fillId="15" borderId="1" xfId="0" applyFill="1" applyBorder="1" applyAlignment="1">
      <alignment horizontal="center"/>
    </xf>
    <xf numFmtId="165" fontId="0" fillId="0" borderId="0" xfId="0" applyNumberFormat="1"/>
    <xf numFmtId="165" fontId="0" fillId="0" borderId="1" xfId="0" applyNumberFormat="1" applyBorder="1" applyAlignment="1">
      <alignment horizontal="center"/>
    </xf>
    <xf numFmtId="2" fontId="6" fillId="15" borderId="1" xfId="0" applyNumberFormat="1" applyFont="1" applyFill="1" applyBorder="1" applyAlignment="1">
      <alignment horizontal="center"/>
    </xf>
    <xf numFmtId="0" fontId="0" fillId="0" borderId="0" xfId="0" applyAlignment="1"/>
    <xf numFmtId="165" fontId="6" fillId="0" borderId="0" xfId="0" applyNumberFormat="1" applyFont="1"/>
    <xf numFmtId="0" fontId="13" fillId="0" borderId="0" xfId="0" applyFont="1"/>
    <xf numFmtId="165" fontId="6" fillId="0" borderId="1" xfId="0" applyNumberFormat="1" applyFont="1" applyBorder="1"/>
    <xf numFmtId="165" fontId="6" fillId="17" borderId="1" xfId="0" applyNumberFormat="1" applyFont="1" applyFill="1" applyBorder="1"/>
    <xf numFmtId="165" fontId="6" fillId="8" borderId="1" xfId="0" applyNumberFormat="1" applyFont="1" applyFill="1" applyBorder="1"/>
    <xf numFmtId="165" fontId="6" fillId="17" borderId="1" xfId="0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0" xfId="0" applyFont="1" applyBorder="1"/>
    <xf numFmtId="0" fontId="13" fillId="4" borderId="0" xfId="0" applyFont="1" applyFill="1"/>
    <xf numFmtId="2" fontId="6" fillId="7" borderId="1" xfId="0" applyNumberFormat="1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14" fillId="0" borderId="0" xfId="0" applyFont="1"/>
    <xf numFmtId="2" fontId="6" fillId="4" borderId="1" xfId="0" applyNumberFormat="1" applyFont="1" applyFill="1" applyBorder="1" applyAlignment="1">
      <alignment horizontal="center"/>
    </xf>
    <xf numFmtId="2" fontId="6" fillId="6" borderId="1" xfId="0" applyNumberFormat="1" applyFont="1" applyFill="1" applyBorder="1" applyAlignment="1">
      <alignment horizontal="center"/>
    </xf>
    <xf numFmtId="0" fontId="13" fillId="0" borderId="0" xfId="0" applyFont="1" applyFill="1"/>
    <xf numFmtId="2" fontId="6" fillId="9" borderId="1" xfId="0" applyNumberFormat="1" applyFont="1" applyFill="1" applyBorder="1" applyAlignment="1">
      <alignment horizontal="center"/>
    </xf>
    <xf numFmtId="2" fontId="6" fillId="14" borderId="1" xfId="0" applyNumberFormat="1" applyFont="1" applyFill="1" applyBorder="1" applyAlignment="1">
      <alignment horizontal="center"/>
    </xf>
    <xf numFmtId="2" fontId="6" fillId="2" borderId="1" xfId="0" applyNumberFormat="1" applyFont="1" applyFill="1" applyBorder="1" applyAlignment="1">
      <alignment horizontal="center"/>
    </xf>
    <xf numFmtId="2" fontId="6" fillId="18" borderId="1" xfId="0" applyNumberFormat="1" applyFont="1" applyFill="1" applyBorder="1" applyAlignment="1">
      <alignment horizontal="center"/>
    </xf>
    <xf numFmtId="2" fontId="6" fillId="12" borderId="1" xfId="0" applyNumberFormat="1" applyFont="1" applyFill="1" applyBorder="1" applyAlignment="1">
      <alignment horizontal="center"/>
    </xf>
    <xf numFmtId="2" fontId="6" fillId="8" borderId="1" xfId="0" applyNumberFormat="1" applyFont="1" applyFill="1" applyBorder="1" applyAlignment="1">
      <alignment horizontal="center"/>
    </xf>
    <xf numFmtId="2" fontId="6" fillId="11" borderId="1" xfId="0" applyNumberFormat="1" applyFont="1" applyFill="1" applyBorder="1" applyAlignment="1">
      <alignment horizontal="center"/>
    </xf>
    <xf numFmtId="2" fontId="6" fillId="13" borderId="1" xfId="0" applyNumberFormat="1" applyFont="1" applyFill="1" applyBorder="1" applyAlignment="1">
      <alignment horizontal="center"/>
    </xf>
    <xf numFmtId="0" fontId="6" fillId="0" borderId="0" xfId="0" applyNumberFormat="1" applyFont="1"/>
    <xf numFmtId="2" fontId="11" fillId="0" borderId="1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center"/>
    </xf>
    <xf numFmtId="9" fontId="13" fillId="0" borderId="0" xfId="0" applyNumberFormat="1" applyFont="1" applyFill="1" applyBorder="1" applyAlignment="1">
      <alignment horizontal="center"/>
    </xf>
    <xf numFmtId="9" fontId="16" fillId="0" borderId="0" xfId="0" applyNumberFormat="1" applyFont="1" applyFill="1" applyBorder="1" applyAlignment="1">
      <alignment horizontal="center"/>
    </xf>
    <xf numFmtId="9" fontId="15" fillId="0" borderId="0" xfId="0" applyNumberFormat="1" applyFont="1" applyFill="1" applyBorder="1" applyAlignment="1">
      <alignment horizontal="center"/>
    </xf>
    <xf numFmtId="9" fontId="12" fillId="0" borderId="0" xfId="0" applyNumberFormat="1" applyFont="1" applyFill="1" applyBorder="1"/>
    <xf numFmtId="0" fontId="8" fillId="0" borderId="0" xfId="0" applyFont="1" applyFill="1" applyAlignment="1">
      <alignment horizontal="right"/>
    </xf>
    <xf numFmtId="164" fontId="6" fillId="4" borderId="0" xfId="0" applyNumberFormat="1" applyFont="1" applyFill="1"/>
    <xf numFmtId="0" fontId="6" fillId="4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11" fillId="4" borderId="0" xfId="0" applyFont="1" applyFill="1"/>
    <xf numFmtId="0" fontId="11" fillId="3" borderId="0" xfId="0" applyFont="1" applyFill="1"/>
    <xf numFmtId="0" fontId="0" fillId="3" borderId="1" xfId="0" applyFill="1" applyBorder="1" applyAlignment="1">
      <alignment horizontal="center"/>
    </xf>
    <xf numFmtId="0" fontId="6" fillId="2" borderId="0" xfId="0" applyFont="1" applyFill="1"/>
    <xf numFmtId="0" fontId="0" fillId="0" borderId="1" xfId="0" applyNumberForma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0" fontId="6" fillId="2" borderId="1" xfId="0" applyFont="1" applyFill="1" applyBorder="1"/>
    <xf numFmtId="0" fontId="0" fillId="0" borderId="1" xfId="0" applyFill="1" applyBorder="1"/>
    <xf numFmtId="0" fontId="1" fillId="0" borderId="1" xfId="0" applyFont="1" applyFill="1" applyBorder="1"/>
    <xf numFmtId="0" fontId="0" fillId="2" borderId="1" xfId="0" applyFont="1" applyFill="1" applyBorder="1"/>
    <xf numFmtId="0" fontId="0" fillId="15" borderId="1" xfId="0" applyNumberFormat="1" applyFill="1" applyBorder="1" applyAlignment="1">
      <alignment horizontal="center"/>
    </xf>
    <xf numFmtId="0" fontId="0" fillId="15" borderId="1" xfId="0" applyFill="1" applyBorder="1"/>
    <xf numFmtId="0" fontId="8" fillId="2" borderId="10" xfId="0" applyFont="1" applyFill="1" applyBorder="1"/>
    <xf numFmtId="0" fontId="0" fillId="2" borderId="7" xfId="0" applyFill="1" applyBorder="1"/>
    <xf numFmtId="0" fontId="0" fillId="2" borderId="11" xfId="0" applyFill="1" applyBorder="1"/>
    <xf numFmtId="0" fontId="6" fillId="15" borderId="1" xfId="0" applyFont="1" applyFill="1" applyBorder="1"/>
    <xf numFmtId="0" fontId="6" fillId="0" borderId="1" xfId="0" applyFont="1" applyBorder="1" applyAlignment="1">
      <alignment horizontal="left"/>
    </xf>
    <xf numFmtId="0" fontId="6" fillId="0" borderId="1" xfId="0" quotePrefix="1" applyFont="1" applyBorder="1" applyAlignment="1">
      <alignment horizontal="center"/>
    </xf>
    <xf numFmtId="0" fontId="6" fillId="2" borderId="7" xfId="0" applyFont="1" applyFill="1" applyBorder="1"/>
    <xf numFmtId="0" fontId="6" fillId="2" borderId="11" xfId="0" applyFont="1" applyFill="1" applyBorder="1"/>
    <xf numFmtId="0" fontId="6" fillId="0" borderId="0" xfId="0" applyFont="1" applyFill="1" applyBorder="1"/>
    <xf numFmtId="0" fontId="6" fillId="0" borderId="0" xfId="0" applyFont="1" applyFill="1" applyBorder="1" applyAlignment="1">
      <alignment horizontal="right"/>
    </xf>
    <xf numFmtId="9" fontId="7" fillId="0" borderId="0" xfId="0" applyNumberFormat="1" applyFont="1" applyFill="1" applyBorder="1" applyAlignment="1">
      <alignment horizontal="center"/>
    </xf>
    <xf numFmtId="9" fontId="11" fillId="0" borderId="0" xfId="0" applyNumberFormat="1" applyFont="1" applyFill="1" applyBorder="1" applyAlignment="1">
      <alignment horizontal="center"/>
    </xf>
    <xf numFmtId="9" fontId="6" fillId="0" borderId="0" xfId="0" applyNumberFormat="1" applyFont="1" applyFill="1" applyBorder="1" applyAlignment="1">
      <alignment horizontal="center"/>
    </xf>
    <xf numFmtId="9" fontId="6" fillId="0" borderId="0" xfId="0" applyNumberFormat="1" applyFont="1" applyFill="1" applyBorder="1"/>
    <xf numFmtId="0" fontId="6" fillId="0" borderId="4" xfId="0" applyFont="1" applyBorder="1" applyAlignment="1">
      <alignment horizontal="center"/>
    </xf>
    <xf numFmtId="0" fontId="6" fillId="0" borderId="1" xfId="0" applyFont="1" applyFill="1" applyBorder="1"/>
    <xf numFmtId="0" fontId="0" fillId="8" borderId="0" xfId="0" applyFill="1"/>
    <xf numFmtId="0" fontId="13" fillId="0" borderId="12" xfId="0" applyFont="1" applyBorder="1"/>
    <xf numFmtId="0" fontId="6" fillId="0" borderId="4" xfId="0" applyFont="1" applyBorder="1"/>
    <xf numFmtId="165" fontId="14" fillId="15" borderId="1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5" fontId="17" fillId="15" borderId="1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Alignment="1"/>
    <xf numFmtId="0" fontId="8" fillId="0" borderId="0" xfId="0" applyFont="1" applyAlignment="1"/>
    <xf numFmtId="0" fontId="6" fillId="0" borderId="0" xfId="0" applyFont="1" applyAlignment="1"/>
    <xf numFmtId="0" fontId="0" fillId="0" borderId="1" xfId="0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2" fontId="6" fillId="0" borderId="1" xfId="0" applyNumberFormat="1" applyFont="1" applyFill="1" applyBorder="1" applyAlignment="1">
      <alignment horizontal="center" shrinkToFit="1"/>
    </xf>
    <xf numFmtId="165" fontId="7" fillId="0" borderId="1" xfId="0" applyNumberFormat="1" applyFont="1" applyBorder="1" applyAlignment="1">
      <alignment horizontal="center"/>
    </xf>
    <xf numFmtId="165" fontId="7" fillId="0" borderId="4" xfId="0" applyNumberFormat="1" applyFont="1" applyBorder="1" applyAlignment="1">
      <alignment horizontal="center"/>
    </xf>
    <xf numFmtId="165" fontId="7" fillId="0" borderId="12" xfId="0" applyNumberFormat="1" applyFont="1" applyBorder="1" applyAlignment="1">
      <alignment horizontal="center"/>
    </xf>
    <xf numFmtId="0" fontId="6" fillId="0" borderId="1" xfId="0" applyFont="1" applyBorder="1" applyAlignment="1"/>
    <xf numFmtId="0" fontId="8" fillId="0" borderId="1" xfId="0" applyFont="1" applyFill="1" applyBorder="1" applyAlignment="1">
      <alignment horizontal="center"/>
    </xf>
    <xf numFmtId="165" fontId="6" fillId="3" borderId="0" xfId="0" applyNumberFormat="1" applyFont="1" applyFill="1"/>
    <xf numFmtId="0" fontId="0" fillId="3" borderId="0" xfId="0" applyFill="1" applyBorder="1"/>
    <xf numFmtId="0" fontId="0" fillId="3" borderId="0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10" fillId="0" borderId="1" xfId="0" applyFont="1" applyFill="1" applyBorder="1" applyAlignment="1">
      <alignment horizontal="center" shrinkToFit="1"/>
    </xf>
    <xf numFmtId="165" fontId="10" fillId="0" borderId="1" xfId="0" applyNumberFormat="1" applyFont="1" applyBorder="1"/>
    <xf numFmtId="0" fontId="0" fillId="20" borderId="1" xfId="0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3" fillId="20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0" fontId="0" fillId="0" borderId="4" xfId="0" applyBorder="1"/>
    <xf numFmtId="0" fontId="0" fillId="0" borderId="12" xfId="0" applyBorder="1" applyAlignment="1">
      <alignment horizontal="right"/>
    </xf>
    <xf numFmtId="0" fontId="0" fillId="6" borderId="1" xfId="0" applyFill="1" applyBorder="1" applyAlignment="1">
      <alignment horizontal="center"/>
    </xf>
    <xf numFmtId="0" fontId="0" fillId="21" borderId="0" xfId="0" applyFill="1"/>
    <xf numFmtId="0" fontId="0" fillId="0" borderId="1" xfId="0" applyBorder="1" applyAlignment="1">
      <alignment horizontal="center"/>
    </xf>
    <xf numFmtId="0" fontId="0" fillId="20" borderId="1" xfId="0" applyFill="1" applyBorder="1"/>
    <xf numFmtId="0" fontId="0" fillId="0" borderId="1" xfId="0" applyBorder="1" applyAlignment="1">
      <alignment horizontal="center"/>
    </xf>
    <xf numFmtId="0" fontId="3" fillId="5" borderId="4" xfId="0" applyFont="1" applyFill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20" borderId="12" xfId="0" applyFont="1" applyFill="1" applyBorder="1" applyAlignment="1">
      <alignment horizontal="center"/>
    </xf>
    <xf numFmtId="0" fontId="3" fillId="20" borderId="2" xfId="0" applyFont="1" applyFill="1" applyBorder="1" applyAlignment="1">
      <alignment horizontal="center"/>
    </xf>
    <xf numFmtId="0" fontId="3" fillId="9" borderId="2" xfId="0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9" borderId="5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9" borderId="17" xfId="0" applyFont="1" applyFill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9" borderId="19" xfId="0" applyFont="1" applyFill="1" applyBorder="1" applyAlignment="1">
      <alignment horizontal="center"/>
    </xf>
    <xf numFmtId="0" fontId="3" fillId="20" borderId="18" xfId="0" applyFont="1" applyFill="1" applyBorder="1" applyAlignment="1">
      <alignment horizontal="center"/>
    </xf>
    <xf numFmtId="0" fontId="3" fillId="20" borderId="20" xfId="0" applyFont="1" applyFill="1" applyBorder="1" applyAlignment="1">
      <alignment horizontal="center"/>
    </xf>
    <xf numFmtId="0" fontId="3" fillId="20" borderId="21" xfId="0" applyFont="1" applyFill="1" applyBorder="1" applyAlignment="1">
      <alignment horizontal="center"/>
    </xf>
    <xf numFmtId="0" fontId="3" fillId="9" borderId="22" xfId="0" applyFont="1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4" xfId="0" applyFill="1" applyBorder="1"/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9" borderId="17" xfId="0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9" borderId="19" xfId="0" applyFill="1" applyBorder="1" applyAlignment="1">
      <alignment horizontal="center"/>
    </xf>
    <xf numFmtId="0" fontId="0" fillId="20" borderId="18" xfId="0" applyFill="1" applyBorder="1"/>
    <xf numFmtId="0" fontId="0" fillId="9" borderId="19" xfId="0" applyFill="1" applyBorder="1"/>
    <xf numFmtId="0" fontId="0" fillId="20" borderId="20" xfId="0" applyFill="1" applyBorder="1"/>
    <xf numFmtId="0" fontId="0" fillId="20" borderId="21" xfId="0" applyFill="1" applyBorder="1"/>
    <xf numFmtId="0" fontId="0" fillId="9" borderId="22" xfId="0" applyFill="1" applyBorder="1"/>
    <xf numFmtId="166" fontId="6" fillId="0" borderId="1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8" fillId="8" borderId="1" xfId="0" applyFont="1" applyFill="1" applyBorder="1" applyAlignment="1">
      <alignment horizontal="center"/>
    </xf>
    <xf numFmtId="0" fontId="10" fillId="0" borderId="0" xfId="0" applyFont="1" applyAlignment="1"/>
    <xf numFmtId="0" fontId="0" fillId="0" borderId="1" xfId="0" applyBorder="1" applyAlignment="1">
      <alignment horizontal="center"/>
    </xf>
    <xf numFmtId="0" fontId="1" fillId="0" borderId="0" xfId="0" quotePrefix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quotePrefix="1"/>
    <xf numFmtId="0" fontId="0" fillId="6" borderId="0" xfId="0" applyFill="1" applyAlignment="1">
      <alignment horizontal="center"/>
    </xf>
    <xf numFmtId="0" fontId="6" fillId="0" borderId="0" xfId="0" applyFont="1" applyAlignment="1">
      <alignment horizontal="center"/>
    </xf>
    <xf numFmtId="0" fontId="0" fillId="0" borderId="14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  <xf numFmtId="0" fontId="19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/>
    <xf numFmtId="0" fontId="0" fillId="8" borderId="1" xfId="0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1" fillId="0" borderId="0" xfId="0" quotePrefix="1" applyFont="1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0" xfId="0" quotePrefix="1" applyFill="1" applyBorder="1" applyAlignment="1"/>
    <xf numFmtId="0" fontId="19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1" fillId="0" borderId="1" xfId="0" applyFont="1" applyBorder="1"/>
    <xf numFmtId="0" fontId="0" fillId="19" borderId="0" xfId="0" applyFill="1" applyAlignment="1">
      <alignment horizontal="center"/>
    </xf>
    <xf numFmtId="0" fontId="0" fillId="19" borderId="1" xfId="0" applyFill="1" applyBorder="1" applyAlignment="1">
      <alignment horizontal="center"/>
    </xf>
    <xf numFmtId="0" fontId="0" fillId="4" borderId="0" xfId="0" applyFill="1" applyBorder="1"/>
    <xf numFmtId="165" fontId="6" fillId="4" borderId="0" xfId="0" applyNumberFormat="1" applyFont="1" applyFill="1" applyBorder="1"/>
    <xf numFmtId="0" fontId="0" fillId="4" borderId="0" xfId="0" applyFill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2" fontId="6" fillId="0" borderId="12" xfId="0" applyNumberFormat="1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9" fillId="0" borderId="12" xfId="0" applyFont="1" applyBorder="1" applyAlignment="1">
      <alignment horizontal="center"/>
    </xf>
    <xf numFmtId="2" fontId="6" fillId="0" borderId="14" xfId="0" applyNumberFormat="1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ill="1" applyAlignment="1">
      <alignment horizontal="center"/>
    </xf>
    <xf numFmtId="2" fontId="6" fillId="5" borderId="1" xfId="0" applyNumberFormat="1" applyFont="1" applyFill="1" applyBorder="1" applyAlignment="1">
      <alignment horizontal="center" shrinkToFit="1"/>
    </xf>
    <xf numFmtId="165" fontId="7" fillId="5" borderId="12" xfId="0" applyNumberFormat="1" applyFont="1" applyFill="1" applyBorder="1" applyAlignment="1">
      <alignment horizontal="center"/>
    </xf>
    <xf numFmtId="165" fontId="7" fillId="5" borderId="1" xfId="0" applyNumberFormat="1" applyFont="1" applyFill="1" applyBorder="1" applyAlignment="1">
      <alignment horizontal="center"/>
    </xf>
    <xf numFmtId="165" fontId="7" fillId="5" borderId="14" xfId="0" applyNumberFormat="1" applyFont="1" applyFill="1" applyBorder="1" applyAlignment="1">
      <alignment horizontal="center"/>
    </xf>
    <xf numFmtId="0" fontId="0" fillId="11" borderId="0" xfId="0" applyFill="1"/>
    <xf numFmtId="0" fontId="0" fillId="11" borderId="14" xfId="0" applyFill="1" applyBorder="1" applyAlignment="1">
      <alignment horizontal="center"/>
    </xf>
    <xf numFmtId="0" fontId="0" fillId="11" borderId="12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" xfId="0" applyBorder="1" applyAlignment="1">
      <alignment horizontal="center"/>
    </xf>
    <xf numFmtId="0" fontId="6" fillId="0" borderId="0" xfId="0" applyFont="1" applyFill="1" applyBorder="1" applyAlignment="1">
      <alignment horizontal="center" shrinkToFit="1"/>
    </xf>
    <xf numFmtId="2" fontId="7" fillId="0" borderId="0" xfId="0" applyNumberFormat="1" applyFont="1" applyBorder="1" applyAlignment="1">
      <alignment horizontal="center"/>
    </xf>
    <xf numFmtId="0" fontId="0" fillId="2" borderId="0" xfId="0" applyFill="1" applyAlignment="1">
      <alignment horizontal="center"/>
    </xf>
    <xf numFmtId="0" fontId="6" fillId="19" borderId="1" xfId="0" applyFont="1" applyFill="1" applyBorder="1"/>
    <xf numFmtId="0" fontId="21" fillId="0" borderId="14" xfId="0" applyFont="1" applyBorder="1"/>
    <xf numFmtId="0" fontId="0" fillId="0" borderId="14" xfId="0" applyFill="1" applyBorder="1" applyAlignment="1">
      <alignment horizontal="center"/>
    </xf>
    <xf numFmtId="0" fontId="0" fillId="0" borderId="1" xfId="0" applyFill="1" applyBorder="1" applyAlignment="1"/>
    <xf numFmtId="0" fontId="18" fillId="0" borderId="1" xfId="0" applyFont="1" applyFill="1" applyBorder="1" applyAlignment="1">
      <alignment horizontal="center"/>
    </xf>
    <xf numFmtId="0" fontId="18" fillId="19" borderId="9" xfId="0" applyFont="1" applyFill="1" applyBorder="1" applyAlignment="1">
      <alignment horizontal="center"/>
    </xf>
    <xf numFmtId="0" fontId="0" fillId="19" borderId="11" xfId="0" applyFill="1" applyBorder="1" applyAlignment="1">
      <alignment horizontal="center"/>
    </xf>
    <xf numFmtId="0" fontId="18" fillId="19" borderId="3" xfId="0" applyFont="1" applyFill="1" applyBorder="1" applyAlignment="1">
      <alignment horizontal="center"/>
    </xf>
    <xf numFmtId="0" fontId="0" fillId="19" borderId="7" xfId="0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66" fontId="6" fillId="10" borderId="3" xfId="0" applyNumberFormat="1" applyFont="1" applyFill="1" applyBorder="1" applyAlignment="1">
      <alignment horizontal="right"/>
    </xf>
    <xf numFmtId="0" fontId="0" fillId="0" borderId="3" xfId="0" applyBorder="1" applyAlignment="1"/>
    <xf numFmtId="0" fontId="0" fillId="0" borderId="9" xfId="0" applyBorder="1" applyAlignment="1"/>
    <xf numFmtId="166" fontId="6" fillId="5" borderId="8" xfId="0" quotePrefix="1" applyNumberFormat="1" applyFont="1" applyFill="1" applyBorder="1" applyAlignment="1">
      <alignment horizontal="left"/>
    </xf>
    <xf numFmtId="0" fontId="6" fillId="0" borderId="0" xfId="0" applyFont="1" applyAlignment="1">
      <alignment horizontal="center"/>
    </xf>
    <xf numFmtId="0" fontId="0" fillId="0" borderId="0" xfId="0" applyAlignment="1"/>
    <xf numFmtId="0" fontId="0" fillId="0" borderId="13" xfId="0" applyBorder="1" applyAlignment="1"/>
    <xf numFmtId="0" fontId="6" fillId="0" borderId="6" xfId="0" applyFont="1" applyBorder="1" applyAlignment="1"/>
    <xf numFmtId="0" fontId="6" fillId="0" borderId="0" xfId="0" applyFont="1" applyAlignment="1"/>
    <xf numFmtId="0" fontId="8" fillId="0" borderId="0" xfId="0" applyFont="1" applyAlignment="1"/>
    <xf numFmtId="164" fontId="8" fillId="4" borderId="3" xfId="0" applyNumberFormat="1" applyFont="1" applyFill="1" applyBorder="1" applyAlignment="1">
      <alignment horizontal="left"/>
    </xf>
    <xf numFmtId="0" fontId="6" fillId="15" borderId="5" xfId="0" applyFont="1" applyFill="1" applyBorder="1" applyAlignment="1">
      <alignment horizontal="center"/>
    </xf>
    <xf numFmtId="0" fontId="0" fillId="15" borderId="5" xfId="0" applyFill="1" applyBorder="1" applyAlignment="1">
      <alignment horizontal="center"/>
    </xf>
    <xf numFmtId="164" fontId="6" fillId="3" borderId="3" xfId="0" applyNumberFormat="1" applyFont="1" applyFill="1" applyBorder="1" applyAlignment="1">
      <alignment horizontal="center"/>
    </xf>
    <xf numFmtId="164" fontId="8" fillId="3" borderId="3" xfId="0" applyNumberFormat="1" applyFont="1" applyFill="1" applyBorder="1" applyAlignment="1">
      <alignment horizontal="left"/>
    </xf>
    <xf numFmtId="0" fontId="3" fillId="2" borderId="7" xfId="0" applyFont="1" applyFill="1" applyBorder="1" applyAlignment="1">
      <alignment horizontal="center"/>
    </xf>
    <xf numFmtId="164" fontId="8" fillId="2" borderId="3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164" fontId="6" fillId="3" borderId="8" xfId="0" applyNumberFormat="1" applyFont="1" applyFill="1" applyBorder="1" applyAlignment="1">
      <alignment horizontal="center"/>
    </xf>
    <xf numFmtId="164" fontId="6" fillId="3" borderId="9" xfId="0" applyNumberFormat="1" applyFont="1" applyFill="1" applyBorder="1" applyAlignment="1">
      <alignment horizontal="center"/>
    </xf>
    <xf numFmtId="0" fontId="7" fillId="15" borderId="7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6" fillId="19" borderId="0" xfId="0" applyFont="1" applyFill="1" applyAlignment="1">
      <alignment horizontal="center"/>
    </xf>
    <xf numFmtId="164" fontId="6" fillId="4" borderId="8" xfId="0" applyNumberFormat="1" applyFont="1" applyFill="1" applyBorder="1" applyAlignment="1">
      <alignment horizontal="center"/>
    </xf>
    <xf numFmtId="164" fontId="6" fillId="4" borderId="3" xfId="0" applyNumberFormat="1" applyFont="1" applyFill="1" applyBorder="1" applyAlignment="1">
      <alignment horizontal="center"/>
    </xf>
    <xf numFmtId="164" fontId="6" fillId="4" borderId="9" xfId="0" applyNumberFormat="1" applyFont="1" applyFill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165" fontId="0" fillId="0" borderId="12" xfId="0" applyNumberFormat="1" applyBorder="1" applyAlignment="1">
      <alignment horizontal="center"/>
    </xf>
    <xf numFmtId="0" fontId="18" fillId="9" borderId="4" xfId="0" applyFont="1" applyFill="1" applyBorder="1" applyAlignment="1">
      <alignment horizontal="center"/>
    </xf>
    <xf numFmtId="0" fontId="18" fillId="9" borderId="14" xfId="0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2" xfId="0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18" fillId="9" borderId="5" xfId="0" applyFont="1" applyFill="1" applyBorder="1" applyAlignment="1">
      <alignment horizontal="center"/>
    </xf>
    <xf numFmtId="0" fontId="0" fillId="9" borderId="5" xfId="0" applyFill="1" applyBorder="1" applyAlignment="1">
      <alignment horizontal="center"/>
    </xf>
    <xf numFmtId="0" fontId="0" fillId="2" borderId="7" xfId="0" applyFill="1" applyBorder="1" applyAlignment="1">
      <alignment horizontal="center"/>
    </xf>
  </cellXfs>
  <cellStyles count="1">
    <cellStyle name="Standard" xfId="0" builtinId="0"/>
  </cellStyles>
  <dxfs count="11">
    <dxf>
      <fill>
        <patternFill>
          <bgColor rgb="FFFFFF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9" defaultPivotStyle="PivotStyleLight16"/>
  <colors>
    <mruColors>
      <color rgb="FFFFFF99"/>
      <color rgb="FFFFFFCC"/>
      <color rgb="FFF2DCDB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lineMarker"/>
        <c:ser>
          <c:idx val="0"/>
          <c:order val="0"/>
          <c:tx>
            <c:strRef>
              <c:f>Stufengrün!$B$11</c:f>
              <c:strCache>
                <c:ptCount val="1"/>
                <c:pt idx="0">
                  <c:v>Z/m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Stufengrün!$C$10:$AG$10</c:f>
              <c:numCache>
                <c:formatCode>General</c:formatCode>
                <c:ptCount val="31"/>
                <c:pt idx="0">
                  <c:v>-3.0000000000000009</c:v>
                </c:pt>
                <c:pt idx="1">
                  <c:v>-2.8000000000000007</c:v>
                </c:pt>
                <c:pt idx="2">
                  <c:v>-2.6000000000000005</c:v>
                </c:pt>
                <c:pt idx="3">
                  <c:v>-2.4000000000000004</c:v>
                </c:pt>
                <c:pt idx="4">
                  <c:v>-2.2000000000000002</c:v>
                </c:pt>
                <c:pt idx="5">
                  <c:v>-2</c:v>
                </c:pt>
                <c:pt idx="6">
                  <c:v>-1.8</c:v>
                </c:pt>
                <c:pt idx="7">
                  <c:v>-1.6</c:v>
                </c:pt>
                <c:pt idx="8">
                  <c:v>-1.4000000000000001</c:v>
                </c:pt>
                <c:pt idx="9">
                  <c:v>-1.2000000000000002</c:v>
                </c:pt>
                <c:pt idx="10">
                  <c:v>-1.0000000000000002</c:v>
                </c:pt>
                <c:pt idx="11">
                  <c:v>-0.80000000000000027</c:v>
                </c:pt>
                <c:pt idx="12">
                  <c:v>-0.60000000000000031</c:v>
                </c:pt>
                <c:pt idx="13">
                  <c:v>-0.4000000000000003</c:v>
                </c:pt>
                <c:pt idx="14">
                  <c:v>-0.20000000000000029</c:v>
                </c:pt>
                <c:pt idx="15">
                  <c:v>-2.7755575615628914E-16</c:v>
                </c:pt>
                <c:pt idx="16">
                  <c:v>0.20000000000000029</c:v>
                </c:pt>
                <c:pt idx="17">
                  <c:v>0.4000000000000003</c:v>
                </c:pt>
                <c:pt idx="18">
                  <c:v>0.60000000000000031</c:v>
                </c:pt>
                <c:pt idx="19">
                  <c:v>0.80000000000000027</c:v>
                </c:pt>
                <c:pt idx="20">
                  <c:v>1.0000000000000002</c:v>
                </c:pt>
                <c:pt idx="21">
                  <c:v>1.2000000000000002</c:v>
                </c:pt>
                <c:pt idx="22">
                  <c:v>1.4000000000000001</c:v>
                </c:pt>
                <c:pt idx="23">
                  <c:v>1.6</c:v>
                </c:pt>
                <c:pt idx="24">
                  <c:v>1.8</c:v>
                </c:pt>
                <c:pt idx="25">
                  <c:v>2</c:v>
                </c:pt>
                <c:pt idx="26">
                  <c:v>2.2000000000000002</c:v>
                </c:pt>
                <c:pt idx="27">
                  <c:v>2.4000000000000004</c:v>
                </c:pt>
                <c:pt idx="28">
                  <c:v>2.6000000000000005</c:v>
                </c:pt>
                <c:pt idx="29">
                  <c:v>2.8000000000000007</c:v>
                </c:pt>
                <c:pt idx="30">
                  <c:v>3.0000000000000009</c:v>
                </c:pt>
              </c:numCache>
            </c:numRef>
          </c:xVal>
          <c:yVal>
            <c:numRef>
              <c:f>Stufengrün!$C$11:$AG$11</c:f>
              <c:numCache>
                <c:formatCode>General</c:formatCode>
                <c:ptCount val="31"/>
                <c:pt idx="0">
                  <c:v>-0.18591068500908908</c:v>
                </c:pt>
                <c:pt idx="1">
                  <c:v>-0.18491338983458047</c:v>
                </c:pt>
                <c:pt idx="2">
                  <c:v>-0.18376497881486484</c:v>
                </c:pt>
                <c:pt idx="3">
                  <c:v>-0.18242852732675899</c:v>
                </c:pt>
                <c:pt idx="4">
                  <c:v>-0.18085411514630198</c:v>
                </c:pt>
                <c:pt idx="5" formatCode="0.000">
                  <c:v>-0.17897261731549866</c:v>
                </c:pt>
                <c:pt idx="6">
                  <c:v>-0.17668560663926314</c:v>
                </c:pt>
                <c:pt idx="7">
                  <c:v>-0.17384824681773192</c:v>
                </c:pt>
                <c:pt idx="8">
                  <c:v>-0.1702388938805531</c:v>
                </c:pt>
                <c:pt idx="9">
                  <c:v>-0.16550197556276833</c:v>
                </c:pt>
                <c:pt idx="10">
                  <c:v>-0.15903344706017331</c:v>
                </c:pt>
                <c:pt idx="11">
                  <c:v>-0.14973363344879906</c:v>
                </c:pt>
                <c:pt idx="12">
                  <c:v>-0.13543421311316195</c:v>
                </c:pt>
                <c:pt idx="13">
                  <c:v>-0.11154317535052183</c:v>
                </c:pt>
                <c:pt idx="14">
                  <c:v>-6.8808347849052362E-2</c:v>
                </c:pt>
                <c:pt idx="15">
                  <c:v>-1.0601848938211722E-16</c:v>
                </c:pt>
                <c:pt idx="16">
                  <c:v>6.8808347849052362E-2</c:v>
                </c:pt>
                <c:pt idx="17">
                  <c:v>0.11154317535052183</c:v>
                </c:pt>
                <c:pt idx="18">
                  <c:v>0.13543421311316195</c:v>
                </c:pt>
                <c:pt idx="19">
                  <c:v>0.14973363344879906</c:v>
                </c:pt>
                <c:pt idx="20">
                  <c:v>0.15903344706017331</c:v>
                </c:pt>
                <c:pt idx="21">
                  <c:v>0.16550197556276833</c:v>
                </c:pt>
                <c:pt idx="22">
                  <c:v>0.1702388938805531</c:v>
                </c:pt>
                <c:pt idx="23">
                  <c:v>0.17384824681773192</c:v>
                </c:pt>
                <c:pt idx="24">
                  <c:v>0.17668560663926314</c:v>
                </c:pt>
                <c:pt idx="25">
                  <c:v>0.17897261731549866</c:v>
                </c:pt>
                <c:pt idx="26">
                  <c:v>0.18085411514630198</c:v>
                </c:pt>
                <c:pt idx="27">
                  <c:v>0.18242852732675899</c:v>
                </c:pt>
                <c:pt idx="28">
                  <c:v>0.18376497881486484</c:v>
                </c:pt>
                <c:pt idx="29">
                  <c:v>0.18491338983458047</c:v>
                </c:pt>
                <c:pt idx="30">
                  <c:v>0.18591068500908908</c:v>
                </c:pt>
              </c:numCache>
            </c:numRef>
          </c:yVal>
        </c:ser>
        <c:axId val="158229248"/>
        <c:axId val="158230784"/>
      </c:scatterChart>
      <c:valAx>
        <c:axId val="158229248"/>
        <c:scaling>
          <c:orientation val="minMax"/>
        </c:scaling>
        <c:axPos val="b"/>
        <c:majorGridlines/>
        <c:numFmt formatCode="General" sourceLinked="1"/>
        <c:minorTickMark val="in"/>
        <c:tickLblPos val="nextTo"/>
        <c:crossAx val="158230784"/>
        <c:crosses val="autoZero"/>
        <c:crossBetween val="midCat"/>
      </c:valAx>
      <c:valAx>
        <c:axId val="158230784"/>
        <c:scaling>
          <c:orientation val="minMax"/>
          <c:max val="0.25"/>
          <c:min val="-0.25"/>
        </c:scaling>
        <c:axPos val="l"/>
        <c:majorGridlines/>
        <c:numFmt formatCode="General" sourceLinked="1"/>
        <c:tickLblPos val="nextTo"/>
        <c:crossAx val="158229248"/>
        <c:crosses val="autoZero"/>
        <c:crossBetween val="midCat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lineMarker"/>
        <c:ser>
          <c:idx val="0"/>
          <c:order val="0"/>
          <c:tx>
            <c:strRef>
              <c:f>Stufengrün!$B$185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solidFill>
                <a:srgbClr val="C0504D">
                  <a:shade val="95000"/>
                  <a:satMod val="105000"/>
                </a:srgbClr>
              </a:solidFill>
            </a:ln>
          </c:spPr>
          <c:xVal>
            <c:numRef>
              <c:f>Stufengrün!$C$183:$F$183</c:f>
              <c:numCache>
                <c:formatCode>General</c:formatCode>
                <c:ptCount val="4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17</c:v>
                </c:pt>
              </c:numCache>
            </c:numRef>
          </c:xVal>
          <c:yVal>
            <c:numRef>
              <c:f>Stufengrün!$C$185:$F$185</c:f>
              <c:numCache>
                <c:formatCode>0.000</c:formatCode>
                <c:ptCount val="4"/>
                <c:pt idx="0">
                  <c:v>2.0781790189894584</c:v>
                </c:pt>
                <c:pt idx="1">
                  <c:v>2.0198107117598321</c:v>
                </c:pt>
                <c:pt idx="2">
                  <c:v>2.0041103576917432</c:v>
                </c:pt>
                <c:pt idx="3">
                  <c:v>1.9999402050209687</c:v>
                </c:pt>
              </c:numCache>
            </c:numRef>
          </c:yVal>
        </c:ser>
        <c:axId val="159437184"/>
        <c:axId val="159438720"/>
      </c:scatterChart>
      <c:valAx>
        <c:axId val="159437184"/>
        <c:scaling>
          <c:orientation val="minMax"/>
        </c:scaling>
        <c:axPos val="b"/>
        <c:majorGridlines/>
        <c:minorGridlines/>
        <c:numFmt formatCode="General" sourceLinked="1"/>
        <c:tickLblPos val="nextTo"/>
        <c:crossAx val="159438720"/>
        <c:crosses val="autoZero"/>
        <c:crossBetween val="midCat"/>
        <c:minorUnit val="5"/>
      </c:valAx>
      <c:valAx>
        <c:axId val="159438720"/>
        <c:scaling>
          <c:orientation val="minMax"/>
        </c:scaling>
        <c:axPos val="l"/>
        <c:majorGridlines/>
        <c:numFmt formatCode="0.000" sourceLinked="1"/>
        <c:tickLblPos val="nextTo"/>
        <c:crossAx val="15943718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lineMarker"/>
        <c:ser>
          <c:idx val="0"/>
          <c:order val="0"/>
          <c:tx>
            <c:strRef>
              <c:f>Stufengrün!$B$150</c:f>
              <c:strCache>
                <c:ptCount val="1"/>
                <c:pt idx="0">
                  <c:v>X</c:v>
                </c:pt>
              </c:strCache>
            </c:strRef>
          </c:tx>
          <c:spPr>
            <a:ln w="28575">
              <a:solidFill>
                <a:srgbClr val="C0504D">
                  <a:shade val="95000"/>
                  <a:satMod val="105000"/>
                </a:srgbClr>
              </a:solidFill>
            </a:ln>
          </c:spPr>
          <c:xVal>
            <c:numRef>
              <c:f>Stufengrün!$C$149:$F$149</c:f>
              <c:numCache>
                <c:formatCode>General</c:formatCode>
                <c:ptCount val="4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17</c:v>
                </c:pt>
              </c:numCache>
            </c:numRef>
          </c:xVal>
          <c:yVal>
            <c:numRef>
              <c:f>Stufengrün!$C$150:$F$150</c:f>
              <c:numCache>
                <c:formatCode>0.000</c:formatCode>
                <c:ptCount val="4"/>
                <c:pt idx="0">
                  <c:v>-2.7051705684640215E-2</c:v>
                </c:pt>
                <c:pt idx="1">
                  <c:v>-7.5260509114938312E-3</c:v>
                </c:pt>
                <c:pt idx="2">
                  <c:v>-1.6115065745950785E-3</c:v>
                </c:pt>
                <c:pt idx="3">
                  <c:v>1.8042371656679101E-4</c:v>
                </c:pt>
              </c:numCache>
            </c:numRef>
          </c:yVal>
        </c:ser>
        <c:axId val="159458432"/>
        <c:axId val="159459968"/>
      </c:scatterChart>
      <c:valAx>
        <c:axId val="159458432"/>
        <c:scaling>
          <c:orientation val="minMax"/>
        </c:scaling>
        <c:axPos val="b"/>
        <c:majorGridlines/>
        <c:minorGridlines/>
        <c:numFmt formatCode="General" sourceLinked="1"/>
        <c:tickLblPos val="nextTo"/>
        <c:crossAx val="159459968"/>
        <c:crosses val="autoZero"/>
        <c:crossBetween val="midCat"/>
        <c:minorUnit val="5"/>
      </c:valAx>
      <c:valAx>
        <c:axId val="159459968"/>
        <c:scaling>
          <c:orientation val="minMax"/>
          <c:max val="5.0000000000000114E-3"/>
        </c:scaling>
        <c:axPos val="l"/>
        <c:majorGridlines/>
        <c:numFmt formatCode="0.000" sourceLinked="1"/>
        <c:tickLblPos val="nextTo"/>
        <c:crossAx val="15945843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lineMarker"/>
        <c:ser>
          <c:idx val="0"/>
          <c:order val="0"/>
          <c:tx>
            <c:strRef>
              <c:f>Stufengrün!$B$151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solidFill>
                <a:srgbClr val="C0504D">
                  <a:shade val="95000"/>
                  <a:satMod val="105000"/>
                </a:srgbClr>
              </a:solidFill>
            </a:ln>
          </c:spPr>
          <c:xVal>
            <c:numRef>
              <c:f>Stufengrün!$C$149:$F$149</c:f>
              <c:numCache>
                <c:formatCode>General</c:formatCode>
                <c:ptCount val="4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17</c:v>
                </c:pt>
              </c:numCache>
            </c:numRef>
          </c:xVal>
          <c:yVal>
            <c:numRef>
              <c:f>Stufengrün!$C$151:$F$151</c:f>
              <c:numCache>
                <c:formatCode>0.000</c:formatCode>
                <c:ptCount val="4"/>
                <c:pt idx="0">
                  <c:v>2.0629683873326417</c:v>
                </c:pt>
                <c:pt idx="1">
                  <c:v>2.0163702580902272</c:v>
                </c:pt>
                <c:pt idx="2">
                  <c:v>2.0034098313472732</c:v>
                </c:pt>
                <c:pt idx="3">
                  <c:v>1.9998046110788721</c:v>
                </c:pt>
              </c:numCache>
            </c:numRef>
          </c:yVal>
        </c:ser>
        <c:axId val="159496064"/>
        <c:axId val="159497600"/>
      </c:scatterChart>
      <c:valAx>
        <c:axId val="159496064"/>
        <c:scaling>
          <c:orientation val="minMax"/>
        </c:scaling>
        <c:axPos val="b"/>
        <c:majorGridlines/>
        <c:minorGridlines/>
        <c:numFmt formatCode="General" sourceLinked="1"/>
        <c:tickLblPos val="nextTo"/>
        <c:crossAx val="159497600"/>
        <c:crosses val="autoZero"/>
        <c:crossBetween val="midCat"/>
        <c:minorUnit val="5"/>
      </c:valAx>
      <c:valAx>
        <c:axId val="159497600"/>
        <c:scaling>
          <c:orientation val="minMax"/>
          <c:max val="2.09"/>
        </c:scaling>
        <c:axPos val="l"/>
        <c:majorGridlines/>
        <c:numFmt formatCode="0.000" sourceLinked="1"/>
        <c:tickLblPos val="nextTo"/>
        <c:crossAx val="15949606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Stufengrün!$AJ$149</c:f>
              <c:strCache>
                <c:ptCount val="1"/>
                <c:pt idx="0">
                  <c:v>X</c:v>
                </c:pt>
              </c:strCache>
            </c:strRef>
          </c:tx>
          <c:xVal>
            <c:numRef>
              <c:f>Stufengrün!$AI$150:$AI$154</c:f>
              <c:numCache>
                <c:formatCode>General</c:formatCode>
                <c:ptCount val="5"/>
                <c:pt idx="0">
                  <c:v>0.03</c:v>
                </c:pt>
                <c:pt idx="1">
                  <c:v>0.01</c:v>
                </c:pt>
                <c:pt idx="2">
                  <c:v>3.0000000000000001E-3</c:v>
                </c:pt>
                <c:pt idx="3">
                  <c:v>1E-3</c:v>
                </c:pt>
                <c:pt idx="4">
                  <c:v>2.9999999999999997E-4</c:v>
                </c:pt>
              </c:numCache>
            </c:numRef>
          </c:xVal>
          <c:yVal>
            <c:numRef>
              <c:f>Stufengrün!$AJ$150:$AJ$154</c:f>
              <c:numCache>
                <c:formatCode>0.000</c:formatCode>
                <c:ptCount val="5"/>
                <c:pt idx="0">
                  <c:v>-8.125752984625445E-2</c:v>
                </c:pt>
                <c:pt idx="1">
                  <c:v>-4.6667245348506192E-2</c:v>
                </c:pt>
                <c:pt idx="2">
                  <c:v>-4.4957653565930011E-2</c:v>
                </c:pt>
                <c:pt idx="3">
                  <c:v>-4.6450930745918273E-2</c:v>
                </c:pt>
                <c:pt idx="4">
                  <c:v>-6.6774155999577312E-2</c:v>
                </c:pt>
              </c:numCache>
            </c:numRef>
          </c:yVal>
          <c:smooth val="1"/>
        </c:ser>
        <c:axId val="159517312"/>
        <c:axId val="159535488"/>
      </c:scatterChart>
      <c:valAx>
        <c:axId val="159517312"/>
        <c:scaling>
          <c:logBase val="10"/>
          <c:orientation val="minMax"/>
        </c:scaling>
        <c:axPos val="b"/>
        <c:numFmt formatCode="General" sourceLinked="1"/>
        <c:tickLblPos val="nextTo"/>
        <c:crossAx val="159535488"/>
        <c:crosses val="autoZero"/>
        <c:crossBetween val="midCat"/>
      </c:valAx>
      <c:valAx>
        <c:axId val="159535488"/>
        <c:scaling>
          <c:orientation val="minMax"/>
        </c:scaling>
        <c:axPos val="l"/>
        <c:majorGridlines/>
        <c:numFmt formatCode="0.000" sourceLinked="1"/>
        <c:tickLblPos val="nextTo"/>
        <c:crossAx val="15951731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Stufengrün!$AK$149</c:f>
              <c:strCache>
                <c:ptCount val="1"/>
                <c:pt idx="0">
                  <c:v>Y</c:v>
                </c:pt>
              </c:strCache>
            </c:strRef>
          </c:tx>
          <c:xVal>
            <c:numRef>
              <c:f>Stufengrün!$AI$150:$AI$154</c:f>
              <c:numCache>
                <c:formatCode>General</c:formatCode>
                <c:ptCount val="5"/>
                <c:pt idx="0">
                  <c:v>0.03</c:v>
                </c:pt>
                <c:pt idx="1">
                  <c:v>0.01</c:v>
                </c:pt>
                <c:pt idx="2">
                  <c:v>3.0000000000000001E-3</c:v>
                </c:pt>
                <c:pt idx="3">
                  <c:v>1E-3</c:v>
                </c:pt>
                <c:pt idx="4">
                  <c:v>2.9999999999999997E-4</c:v>
                </c:pt>
              </c:numCache>
            </c:numRef>
          </c:xVal>
          <c:yVal>
            <c:numRef>
              <c:f>Stufengrün!$AK$150:$AK$154</c:f>
              <c:numCache>
                <c:formatCode>0.000</c:formatCode>
                <c:ptCount val="5"/>
                <c:pt idx="0">
                  <c:v>2.2377810841891637</c:v>
                </c:pt>
                <c:pt idx="1">
                  <c:v>2.0875834016811932</c:v>
                </c:pt>
                <c:pt idx="2">
                  <c:v>2.0801980023194044</c:v>
                </c:pt>
                <c:pt idx="3">
                  <c:v>2.0859877887426279</c:v>
                </c:pt>
                <c:pt idx="4">
                  <c:v>2.1661162682179658</c:v>
                </c:pt>
              </c:numCache>
            </c:numRef>
          </c:yVal>
          <c:smooth val="1"/>
        </c:ser>
        <c:axId val="159542656"/>
        <c:axId val="159556736"/>
      </c:scatterChart>
      <c:valAx>
        <c:axId val="159542656"/>
        <c:scaling>
          <c:logBase val="10"/>
          <c:orientation val="minMax"/>
        </c:scaling>
        <c:axPos val="b"/>
        <c:numFmt formatCode="General" sourceLinked="1"/>
        <c:tickLblPos val="nextTo"/>
        <c:crossAx val="159556736"/>
        <c:crosses val="autoZero"/>
        <c:crossBetween val="midCat"/>
      </c:valAx>
      <c:valAx>
        <c:axId val="159556736"/>
        <c:scaling>
          <c:orientation val="minMax"/>
        </c:scaling>
        <c:axPos val="l"/>
        <c:majorGridlines/>
        <c:numFmt formatCode="0.000" sourceLinked="1"/>
        <c:tickLblPos val="nextTo"/>
        <c:crossAx val="15954265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Stufengrün!$AJ$176</c:f>
              <c:strCache>
                <c:ptCount val="1"/>
                <c:pt idx="0">
                  <c:v>X</c:v>
                </c:pt>
              </c:strCache>
            </c:strRef>
          </c:tx>
          <c:xVal>
            <c:numRef>
              <c:f>Stufengrün!$AI$177:$AI$182</c:f>
              <c:numCache>
                <c:formatCode>General</c:formatCode>
                <c:ptCount val="6"/>
                <c:pt idx="0">
                  <c:v>0.03</c:v>
                </c:pt>
                <c:pt idx="1">
                  <c:v>0.01</c:v>
                </c:pt>
                <c:pt idx="2">
                  <c:v>3.0000000000000001E-3</c:v>
                </c:pt>
                <c:pt idx="3">
                  <c:v>1E-3</c:v>
                </c:pt>
                <c:pt idx="4">
                  <c:v>2.9999999999999997E-4</c:v>
                </c:pt>
                <c:pt idx="5">
                  <c:v>1E-4</c:v>
                </c:pt>
              </c:numCache>
            </c:numRef>
          </c:xVal>
          <c:yVal>
            <c:numRef>
              <c:f>Stufengrün!$AJ$177:$AJ$182</c:f>
              <c:numCache>
                <c:formatCode>0.000</c:formatCode>
                <c:ptCount val="6"/>
                <c:pt idx="1">
                  <c:v>-5.2378873839534323E-2</c:v>
                </c:pt>
                <c:pt idx="2">
                  <c:v>-4.6389948569973583E-2</c:v>
                </c:pt>
                <c:pt idx="3">
                  <c:v>-5.0146005531049864E-2</c:v>
                </c:pt>
                <c:pt idx="4">
                  <c:v>-8.1606728577331644E-2</c:v>
                </c:pt>
                <c:pt idx="5">
                  <c:v>-0.14412765460563315</c:v>
                </c:pt>
              </c:numCache>
            </c:numRef>
          </c:yVal>
          <c:smooth val="1"/>
        </c:ser>
        <c:axId val="159584640"/>
        <c:axId val="159586176"/>
      </c:scatterChart>
      <c:valAx>
        <c:axId val="159584640"/>
        <c:scaling>
          <c:logBase val="10"/>
          <c:orientation val="minMax"/>
        </c:scaling>
        <c:axPos val="b"/>
        <c:numFmt formatCode="General" sourceLinked="1"/>
        <c:tickLblPos val="nextTo"/>
        <c:crossAx val="159586176"/>
        <c:crosses val="autoZero"/>
        <c:crossBetween val="midCat"/>
      </c:valAx>
      <c:valAx>
        <c:axId val="159586176"/>
        <c:scaling>
          <c:orientation val="minMax"/>
        </c:scaling>
        <c:axPos val="l"/>
        <c:majorGridlines/>
        <c:numFmt formatCode="0.000" sourceLinked="1"/>
        <c:tickLblPos val="nextTo"/>
        <c:crossAx val="15958464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Stufengrün!$AK$176</c:f>
              <c:strCache>
                <c:ptCount val="1"/>
                <c:pt idx="0">
                  <c:v>Y</c:v>
                </c:pt>
              </c:strCache>
            </c:strRef>
          </c:tx>
          <c:xVal>
            <c:numRef>
              <c:f>Stufengrün!$AI$177:$AI$182</c:f>
              <c:numCache>
                <c:formatCode>General</c:formatCode>
                <c:ptCount val="6"/>
                <c:pt idx="0">
                  <c:v>0.03</c:v>
                </c:pt>
                <c:pt idx="1">
                  <c:v>0.01</c:v>
                </c:pt>
                <c:pt idx="2">
                  <c:v>3.0000000000000001E-3</c:v>
                </c:pt>
                <c:pt idx="3">
                  <c:v>1E-3</c:v>
                </c:pt>
                <c:pt idx="4">
                  <c:v>2.9999999999999997E-4</c:v>
                </c:pt>
                <c:pt idx="5">
                  <c:v>1E-4</c:v>
                </c:pt>
              </c:numCache>
            </c:numRef>
          </c:xVal>
          <c:yVal>
            <c:numRef>
              <c:f>Stufengrün!$AK$177:$AK$182</c:f>
              <c:numCache>
                <c:formatCode>0.000</c:formatCode>
                <c:ptCount val="6"/>
                <c:pt idx="1">
                  <c:v>2.1102380652490305</c:v>
                </c:pt>
                <c:pt idx="2">
                  <c:v>2.0845568341468628</c:v>
                </c:pt>
                <c:pt idx="3">
                  <c:v>2.0990084536028082</c:v>
                </c:pt>
                <c:pt idx="4">
                  <c:v>2.2241367375503525</c:v>
                </c:pt>
                <c:pt idx="5">
                  <c:v>2.4882480577191499</c:v>
                </c:pt>
              </c:numCache>
            </c:numRef>
          </c:yVal>
          <c:smooth val="1"/>
        </c:ser>
        <c:axId val="159614080"/>
        <c:axId val="159615616"/>
      </c:scatterChart>
      <c:valAx>
        <c:axId val="159614080"/>
        <c:scaling>
          <c:logBase val="10"/>
          <c:orientation val="minMax"/>
        </c:scaling>
        <c:axPos val="b"/>
        <c:numFmt formatCode="General" sourceLinked="1"/>
        <c:tickLblPos val="nextTo"/>
        <c:crossAx val="159615616"/>
        <c:crosses val="autoZero"/>
        <c:crossBetween val="midCat"/>
      </c:valAx>
      <c:valAx>
        <c:axId val="159615616"/>
        <c:scaling>
          <c:orientation val="minMax"/>
        </c:scaling>
        <c:axPos val="l"/>
        <c:majorGridlines/>
        <c:numFmt formatCode="0.000" sourceLinked="1"/>
        <c:tickLblPos val="nextTo"/>
        <c:crossAx val="15961408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>
        <c:manualLayout>
          <c:layoutTarget val="inner"/>
          <c:xMode val="edge"/>
          <c:yMode val="edge"/>
          <c:x val="4.8015755785327387E-2"/>
          <c:y val="1.6959745368134705E-2"/>
          <c:w val="0.88728705071392888"/>
          <c:h val="0.94106924419020521"/>
        </c:manualLayout>
      </c:layout>
      <c:scatterChart>
        <c:scatterStyle val="lineMarker"/>
        <c:ser>
          <c:idx val="1"/>
          <c:order val="0"/>
          <c:spPr>
            <a:ln w="2540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</c:spPr>
          </c:marker>
          <c:xVal>
            <c:numRef>
              <c:f>'Do-1'!$T$3:$T$23</c:f>
              <c:numCache>
                <c:formatCode>0.00</c:formatCode>
                <c:ptCount val="21"/>
                <c:pt idx="0">
                  <c:v>3.9999999999999996</c:v>
                </c:pt>
                <c:pt idx="1">
                  <c:v>3.6075503297864682</c:v>
                </c:pt>
                <c:pt idx="2">
                  <c:v>3.2437387731996652</c:v>
                </c:pt>
                <c:pt idx="3">
                  <c:v>2.9037180059568239</c:v>
                </c:pt>
                <c:pt idx="4">
                  <c:v>2.5833900579625277</c:v>
                </c:pt>
                <c:pt idx="5">
                  <c:v>2.2792333700578284</c:v>
                </c:pt>
                <c:pt idx="6">
                  <c:v>1.988164489977402</c:v>
                </c:pt>
                <c:pt idx="7">
                  <c:v>1.7074236583612059</c:v>
                </c:pt>
                <c:pt idx="8">
                  <c:v>1.4344756150679423</c:v>
                </c:pt>
                <c:pt idx="9">
                  <c:v>1.1669178745313404</c:v>
                </c:pt>
                <c:pt idx="10">
                  <c:v>0.90238844033527954</c:v>
                </c:pt>
                <c:pt idx="11">
                  <c:v>0.63846305168572393</c:v>
                </c:pt>
                <c:pt idx="12">
                  <c:v>0.37252750293255632</c:v>
                </c:pt>
                <c:pt idx="13">
                  <c:v>0.10160078064896805</c:v>
                </c:pt>
                <c:pt idx="14">
                  <c:v>-0.17793662439631852</c:v>
                </c:pt>
                <c:pt idx="15">
                  <c:v>-0.47080490665812125</c:v>
                </c:pt>
                <c:pt idx="16">
                  <c:v>-0.78370392906091091</c:v>
                </c:pt>
                <c:pt idx="17">
                  <c:v>-1.1272346408720733</c:v>
                </c:pt>
                <c:pt idx="18">
                  <c:v>-1.5210374993109124</c:v>
                </c:pt>
                <c:pt idx="19">
                  <c:v>-2.013437331220949</c:v>
                </c:pt>
                <c:pt idx="20">
                  <c:v>-3.0211204094538484</c:v>
                </c:pt>
              </c:numCache>
            </c:numRef>
          </c:xVal>
          <c:yVal>
            <c:numRef>
              <c:f>'Do-1'!$U$3:$U$23</c:f>
              <c:numCache>
                <c:formatCode>0.00</c:formatCode>
                <c:ptCount val="21"/>
                <c:pt idx="0">
                  <c:v>2.0000000000000004</c:v>
                </c:pt>
                <c:pt idx="1">
                  <c:v>1.9125859413057213</c:v>
                </c:pt>
                <c:pt idx="2">
                  <c:v>1.8046022930605927</c:v>
                </c:pt>
                <c:pt idx="3">
                  <c:v>1.6774331643175364</c:v>
                </c:pt>
                <c:pt idx="4">
                  <c:v>1.5315828035609187</c:v>
                </c:pt>
                <c:pt idx="5">
                  <c:v>1.3667473933911698</c:v>
                </c:pt>
                <c:pt idx="6">
                  <c:v>1.1818161980010995</c:v>
                </c:pt>
                <c:pt idx="7">
                  <c:v>0.97479902005517216</c:v>
                </c:pt>
                <c:pt idx="8">
                  <c:v>0.74266442468844129</c:v>
                </c:pt>
                <c:pt idx="9">
                  <c:v>0.48105516777173363</c:v>
                </c:pt>
                <c:pt idx="10">
                  <c:v>0.1838171580705863</c:v>
                </c:pt>
                <c:pt idx="11">
                  <c:v>-0.15777729331134616</c:v>
                </c:pt>
                <c:pt idx="12">
                  <c:v>-0.55634214925130898</c:v>
                </c:pt>
                <c:pt idx="13">
                  <c:v>-1.0306956135892542</c:v>
                </c:pt>
                <c:pt idx="14">
                  <c:v>-1.6102146258425525</c:v>
                </c:pt>
                <c:pt idx="15">
                  <c:v>-2.3437247132704808</c:v>
                </c:pt>
                <c:pt idx="16">
                  <c:v>-3.3198229849614176</c:v>
                </c:pt>
                <c:pt idx="17">
                  <c:v>-4.7214785558989494</c:v>
                </c:pt>
                <c:pt idx="18">
                  <c:v>-7.0148623594231623</c:v>
                </c:pt>
                <c:pt idx="19">
                  <c:v>-12.003620596808455</c:v>
                </c:pt>
                <c:pt idx="20">
                  <c:v>-330.03245801354836</c:v>
                </c:pt>
              </c:numCache>
            </c:numRef>
          </c:yVal>
        </c:ser>
        <c:axId val="159838208"/>
        <c:axId val="159840128"/>
      </c:scatterChart>
      <c:valAx>
        <c:axId val="159838208"/>
        <c:scaling>
          <c:orientation val="minMax"/>
          <c:max val="0.5"/>
          <c:min val="-0.5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59840128"/>
        <c:crosses val="autoZero"/>
        <c:crossBetween val="midCat"/>
      </c:valAx>
      <c:valAx>
        <c:axId val="159840128"/>
        <c:scaling>
          <c:orientation val="minMax"/>
          <c:max val="-1.5"/>
          <c:min val="-2.5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59838208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lineMarker"/>
        <c:ser>
          <c:idx val="1"/>
          <c:order val="0"/>
          <c:spPr>
            <a:ln w="2540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</c:spPr>
          </c:marker>
          <c:xVal>
            <c:numRef>
              <c:f>'Do-1'!$T$3:$T$23</c:f>
              <c:numCache>
                <c:formatCode>0.00</c:formatCode>
                <c:ptCount val="21"/>
                <c:pt idx="0">
                  <c:v>3.9999999999999996</c:v>
                </c:pt>
                <c:pt idx="1">
                  <c:v>3.6075503297864682</c:v>
                </c:pt>
                <c:pt idx="2">
                  <c:v>3.2437387731996652</c:v>
                </c:pt>
                <c:pt idx="3">
                  <c:v>2.9037180059568239</c:v>
                </c:pt>
                <c:pt idx="4">
                  <c:v>2.5833900579625277</c:v>
                </c:pt>
                <c:pt idx="5">
                  <c:v>2.2792333700578284</c:v>
                </c:pt>
                <c:pt idx="6">
                  <c:v>1.988164489977402</c:v>
                </c:pt>
                <c:pt idx="7">
                  <c:v>1.7074236583612059</c:v>
                </c:pt>
                <c:pt idx="8">
                  <c:v>1.4344756150679423</c:v>
                </c:pt>
                <c:pt idx="9">
                  <c:v>1.1669178745313404</c:v>
                </c:pt>
                <c:pt idx="10">
                  <c:v>0.90238844033527954</c:v>
                </c:pt>
                <c:pt idx="11">
                  <c:v>0.63846305168572393</c:v>
                </c:pt>
                <c:pt idx="12">
                  <c:v>0.37252750293255632</c:v>
                </c:pt>
                <c:pt idx="13">
                  <c:v>0.10160078064896805</c:v>
                </c:pt>
                <c:pt idx="14">
                  <c:v>-0.17793662439631852</c:v>
                </c:pt>
                <c:pt idx="15">
                  <c:v>-0.47080490665812125</c:v>
                </c:pt>
                <c:pt idx="16">
                  <c:v>-0.78370392906091091</c:v>
                </c:pt>
                <c:pt idx="17">
                  <c:v>-1.1272346408720733</c:v>
                </c:pt>
                <c:pt idx="18">
                  <c:v>-1.5210374993109124</c:v>
                </c:pt>
                <c:pt idx="19">
                  <c:v>-2.013437331220949</c:v>
                </c:pt>
                <c:pt idx="20">
                  <c:v>-3.0211204094538484</c:v>
                </c:pt>
              </c:numCache>
            </c:numRef>
          </c:xVal>
          <c:yVal>
            <c:numRef>
              <c:f>'Do-1'!$U$3:$U$23</c:f>
              <c:numCache>
                <c:formatCode>0.00</c:formatCode>
                <c:ptCount val="21"/>
                <c:pt idx="0">
                  <c:v>2.0000000000000004</c:v>
                </c:pt>
                <c:pt idx="1">
                  <c:v>1.9125859413057213</c:v>
                </c:pt>
                <c:pt idx="2">
                  <c:v>1.8046022930605927</c:v>
                </c:pt>
                <c:pt idx="3">
                  <c:v>1.6774331643175364</c:v>
                </c:pt>
                <c:pt idx="4">
                  <c:v>1.5315828035609187</c:v>
                </c:pt>
                <c:pt idx="5">
                  <c:v>1.3667473933911698</c:v>
                </c:pt>
                <c:pt idx="6">
                  <c:v>1.1818161980010995</c:v>
                </c:pt>
                <c:pt idx="7">
                  <c:v>0.97479902005517216</c:v>
                </c:pt>
                <c:pt idx="8">
                  <c:v>0.74266442468844129</c:v>
                </c:pt>
                <c:pt idx="9">
                  <c:v>0.48105516777173363</c:v>
                </c:pt>
                <c:pt idx="10">
                  <c:v>0.1838171580705863</c:v>
                </c:pt>
                <c:pt idx="11">
                  <c:v>-0.15777729331134616</c:v>
                </c:pt>
                <c:pt idx="12">
                  <c:v>-0.55634214925130898</c:v>
                </c:pt>
                <c:pt idx="13">
                  <c:v>-1.0306956135892542</c:v>
                </c:pt>
                <c:pt idx="14">
                  <c:v>-1.6102146258425525</c:v>
                </c:pt>
                <c:pt idx="15">
                  <c:v>-2.3437247132704808</c:v>
                </c:pt>
                <c:pt idx="16">
                  <c:v>-3.3198229849614176</c:v>
                </c:pt>
                <c:pt idx="17">
                  <c:v>-4.7214785558989494</c:v>
                </c:pt>
                <c:pt idx="18">
                  <c:v>-7.0148623594231623</c:v>
                </c:pt>
                <c:pt idx="19">
                  <c:v>-12.003620596808455</c:v>
                </c:pt>
                <c:pt idx="20">
                  <c:v>-330.03245801354836</c:v>
                </c:pt>
              </c:numCache>
            </c:numRef>
          </c:yVal>
        </c:ser>
        <c:axId val="159666560"/>
        <c:axId val="159668480"/>
      </c:scatterChart>
      <c:valAx>
        <c:axId val="159666560"/>
        <c:scaling>
          <c:orientation val="minMax"/>
          <c:max val="2.5"/>
          <c:min val="-2.5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59668480"/>
        <c:crosses val="autoZero"/>
        <c:crossBetween val="midCat"/>
      </c:valAx>
      <c:valAx>
        <c:axId val="159668480"/>
        <c:scaling>
          <c:orientation val="minMax"/>
          <c:max val="2.5"/>
          <c:min val="-2.5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59666560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>
        <c:manualLayout>
          <c:layoutTarget val="inner"/>
          <c:xMode val="edge"/>
          <c:yMode val="edge"/>
          <c:x val="4.8015755785327387E-2"/>
          <c:y val="1.6959745368134705E-2"/>
          <c:w val="0.88728705071392933"/>
          <c:h val="0.94106924419020521"/>
        </c:manualLayout>
      </c:layout>
      <c:scatterChart>
        <c:scatterStyle val="lineMarker"/>
        <c:ser>
          <c:idx val="1"/>
          <c:order val="0"/>
          <c:spPr>
            <a:ln w="2540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</c:spPr>
          </c:marker>
          <c:xVal>
            <c:numRef>
              <c:f>'Do-3'!$T$3:$T$35</c:f>
              <c:numCache>
                <c:formatCode>0.00</c:formatCode>
                <c:ptCount val="33"/>
                <c:pt idx="0">
                  <c:v>4</c:v>
                </c:pt>
                <c:pt idx="1">
                  <c:v>3.9322876960778759</c:v>
                </c:pt>
                <c:pt idx="2">
                  <c:v>3.8702805684627113</c:v>
                </c:pt>
                <c:pt idx="3">
                  <c:v>3.8135352785743288</c:v>
                </c:pt>
                <c:pt idx="4">
                  <c:v>3.7616400071941443</c:v>
                </c:pt>
                <c:pt idx="5">
                  <c:v>3.7142124236837315</c:v>
                </c:pt>
                <c:pt idx="6">
                  <c:v>3.7109521062179875</c:v>
                </c:pt>
                <c:pt idx="7">
                  <c:v>3.6959115239565388</c:v>
                </c:pt>
                <c:pt idx="8">
                  <c:v>3.6783235801292298</c:v>
                </c:pt>
                <c:pt idx="9">
                  <c:v>3.6574039412155779</c:v>
                </c:pt>
                <c:pt idx="10">
                  <c:v>3.6319924430946959</c:v>
                </c:pt>
                <c:pt idx="11">
                  <c:v>3.6002889075472408</c:v>
                </c:pt>
                <c:pt idx="12">
                  <c:v>3.6000586468282729</c:v>
                </c:pt>
                <c:pt idx="13">
                  <c:v>3.4514978075029772</c:v>
                </c:pt>
                <c:pt idx="14">
                  <c:v>3.3341896911632611</c:v>
                </c:pt>
                <c:pt idx="15">
                  <c:v>3.2420113779169299</c:v>
                </c:pt>
                <c:pt idx="16">
                  <c:v>3.1699477597553987</c:v>
                </c:pt>
                <c:pt idx="17">
                  <c:v>3.1139083264895344</c:v>
                </c:pt>
                <c:pt idx="18">
                  <c:v>3.0705712984933982</c:v>
                </c:pt>
                <c:pt idx="19">
                  <c:v>3.0372514814526692</c:v>
                </c:pt>
                <c:pt idx="20">
                  <c:v>3.011788636076675</c:v>
                </c:pt>
                <c:pt idx="21">
                  <c:v>2.9924535328027302</c:v>
                </c:pt>
                <c:pt idx="22">
                  <c:v>2.9778692011191898</c:v>
                </c:pt>
                <c:pt idx="23">
                  <c:v>2.9669451882836464</c:v>
                </c:pt>
                <c:pt idx="24">
                  <c:v>2.9588229157523425</c:v>
                </c:pt>
                <c:pt idx="25">
                  <c:v>2.9528304662243707</c:v>
                </c:pt>
                <c:pt idx="26">
                  <c:v>2.9484453523268033</c:v>
                </c:pt>
                <c:pt idx="27">
                  <c:v>2.9452640119483737</c:v>
                </c:pt>
                <c:pt idx="28">
                  <c:v>2.9429769472378582</c:v>
                </c:pt>
                <c:pt idx="29">
                  <c:v>2.9413485763383838</c:v>
                </c:pt>
                <c:pt idx="30">
                  <c:v>2.9402010009086945</c:v>
                </c:pt>
                <c:pt idx="31">
                  <c:v>2.9394010101303856</c:v>
                </c:pt>
                <c:pt idx="32">
                  <c:v>2.9377735782104457</c:v>
                </c:pt>
              </c:numCache>
            </c:numRef>
          </c:xVal>
          <c:yVal>
            <c:numRef>
              <c:f>'Do-3'!$U$3:$U$35</c:f>
              <c:numCache>
                <c:formatCode>0.00</c:formatCode>
                <c:ptCount val="33"/>
                <c:pt idx="0">
                  <c:v>2.0000000000000004</c:v>
                </c:pt>
                <c:pt idx="1">
                  <c:v>1.636575511233896</c:v>
                </c:pt>
                <c:pt idx="2">
                  <c:v>1.3011923067529438</c:v>
                </c:pt>
                <c:pt idx="3">
                  <c:v>0.99187304535741694</c:v>
                </c:pt>
                <c:pt idx="4">
                  <c:v>0.70676654772401215</c:v>
                </c:pt>
                <c:pt idx="5">
                  <c:v>0.44414060065588701</c:v>
                </c:pt>
                <c:pt idx="6">
                  <c:v>0.42600891691732817</c:v>
                </c:pt>
                <c:pt idx="7">
                  <c:v>0.33828062637021156</c:v>
                </c:pt>
                <c:pt idx="8">
                  <c:v>0.22516071059162635</c:v>
                </c:pt>
                <c:pt idx="9">
                  <c:v>7.5291366668722548E-2</c:v>
                </c:pt>
                <c:pt idx="10">
                  <c:v>-0.13005367825319369</c:v>
                </c:pt>
                <c:pt idx="11">
                  <c:v>-0.42370952550773633</c:v>
                </c:pt>
                <c:pt idx="12">
                  <c:v>-0.4259992235025617</c:v>
                </c:pt>
                <c:pt idx="13">
                  <c:v>-1.9184953013998225</c:v>
                </c:pt>
                <c:pt idx="14">
                  <c:v>-3.1214299448873719</c:v>
                </c:pt>
                <c:pt idx="15">
                  <c:v>-4.0866593562559439</c:v>
                </c:pt>
                <c:pt idx="16">
                  <c:v>-4.8575560330846201</c:v>
                </c:pt>
                <c:pt idx="17">
                  <c:v>-5.4702603954150675</c:v>
                </c:pt>
                <c:pt idx="18">
                  <c:v>-5.9547686215358047</c:v>
                </c:pt>
                <c:pt idx="19">
                  <c:v>-6.3358752957284832</c:v>
                </c:pt>
                <c:pt idx="20">
                  <c:v>-6.6339876910456175</c:v>
                </c:pt>
                <c:pt idx="21">
                  <c:v>-6.8658268674965734</c:v>
                </c:pt>
                <c:pt idx="22">
                  <c:v>-7.0450292528550511</c:v>
                </c:pt>
                <c:pt idx="23">
                  <c:v>-7.1826609819366993</c:v>
                </c:pt>
                <c:pt idx="24">
                  <c:v>-7.2876559932100387</c:v>
                </c:pt>
                <c:pt idx="25">
                  <c:v>-7.3671877118890272</c:v>
                </c:pt>
                <c:pt idx="26">
                  <c:v>-7.4269830794025857</c:v>
                </c:pt>
                <c:pt idx="27">
                  <c:v>-7.4715867138292902</c:v>
                </c:pt>
                <c:pt idx="28">
                  <c:v>-7.504582098294196</c:v>
                </c:pt>
                <c:pt idx="29">
                  <c:v>-7.5287758884981502</c:v>
                </c:pt>
                <c:pt idx="30">
                  <c:v>-7.5463507008080155</c:v>
                </c:pt>
                <c:pt idx="31">
                  <c:v>-7.558991083263793</c:v>
                </c:pt>
                <c:pt idx="32">
                  <c:v>-7.5873455623466013</c:v>
                </c:pt>
              </c:numCache>
            </c:numRef>
          </c:yVal>
        </c:ser>
        <c:axId val="160167040"/>
        <c:axId val="160168960"/>
      </c:scatterChart>
      <c:valAx>
        <c:axId val="160167040"/>
        <c:scaling>
          <c:orientation val="minMax"/>
          <c:max val="0.5"/>
          <c:min val="-0.5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0168960"/>
        <c:crosses val="autoZero"/>
        <c:crossBetween val="midCat"/>
      </c:valAx>
      <c:valAx>
        <c:axId val="160168960"/>
        <c:scaling>
          <c:orientation val="minMax"/>
          <c:max val="-1.5"/>
          <c:min val="-2.5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0167040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Stufengrün!$C$83</c:f>
              <c:strCache>
                <c:ptCount val="1"/>
                <c:pt idx="0">
                  <c:v>Zref</c:v>
                </c:pt>
              </c:strCache>
            </c:strRef>
          </c:tx>
          <c:marker>
            <c:symbol val="none"/>
          </c:marker>
          <c:xVal>
            <c:numRef>
              <c:f>Stufengrün!$B$84:$B$114</c:f>
              <c:numCache>
                <c:formatCode>General</c:formatCode>
                <c:ptCount val="31"/>
                <c:pt idx="0">
                  <c:v>-3</c:v>
                </c:pt>
                <c:pt idx="1">
                  <c:v>-2.8</c:v>
                </c:pt>
                <c:pt idx="2">
                  <c:v>-2.5999999999999996</c:v>
                </c:pt>
                <c:pt idx="3">
                  <c:v>-2.3999999999999995</c:v>
                </c:pt>
                <c:pt idx="4">
                  <c:v>-2.1999999999999993</c:v>
                </c:pt>
                <c:pt idx="5">
                  <c:v>-1.9999999999999993</c:v>
                </c:pt>
                <c:pt idx="6">
                  <c:v>-1.7999999999999994</c:v>
                </c:pt>
                <c:pt idx="7">
                  <c:v>-1.5999999999999994</c:v>
                </c:pt>
                <c:pt idx="8">
                  <c:v>-1.3999999999999995</c:v>
                </c:pt>
                <c:pt idx="9">
                  <c:v>-1.1999999999999995</c:v>
                </c:pt>
                <c:pt idx="10">
                  <c:v>-0.99999999999999956</c:v>
                </c:pt>
                <c:pt idx="11">
                  <c:v>-0.7999999999999996</c:v>
                </c:pt>
                <c:pt idx="12">
                  <c:v>-0.59999999999999964</c:v>
                </c:pt>
                <c:pt idx="13">
                  <c:v>-0.39999999999999963</c:v>
                </c:pt>
                <c:pt idx="14">
                  <c:v>-0.19999999999999962</c:v>
                </c:pt>
                <c:pt idx="15">
                  <c:v>3.8857805861880479E-16</c:v>
                </c:pt>
                <c:pt idx="16">
                  <c:v>0.19999999999999962</c:v>
                </c:pt>
                <c:pt idx="17">
                  <c:v>0.39999999999999963</c:v>
                </c:pt>
                <c:pt idx="18">
                  <c:v>0.59999999999999964</c:v>
                </c:pt>
                <c:pt idx="19">
                  <c:v>0.7999999999999996</c:v>
                </c:pt>
                <c:pt idx="20">
                  <c:v>0.99999999999999956</c:v>
                </c:pt>
                <c:pt idx="21">
                  <c:v>1.1999999999999995</c:v>
                </c:pt>
                <c:pt idx="22">
                  <c:v>1.3999999999999995</c:v>
                </c:pt>
                <c:pt idx="23">
                  <c:v>1.5999999999999994</c:v>
                </c:pt>
                <c:pt idx="24">
                  <c:v>1.7999999999999994</c:v>
                </c:pt>
                <c:pt idx="25">
                  <c:v>1.9999999999999993</c:v>
                </c:pt>
                <c:pt idx="26">
                  <c:v>2.1999999999999993</c:v>
                </c:pt>
                <c:pt idx="27">
                  <c:v>2.3999999999999995</c:v>
                </c:pt>
                <c:pt idx="28">
                  <c:v>2.5999999999999996</c:v>
                </c:pt>
                <c:pt idx="29">
                  <c:v>2.8</c:v>
                </c:pt>
                <c:pt idx="30">
                  <c:v>3</c:v>
                </c:pt>
              </c:numCache>
            </c:numRef>
          </c:xVal>
          <c:yVal>
            <c:numRef>
              <c:f>Stufengrün!$C$84:$C$114</c:f>
              <c:numCache>
                <c:formatCode>General</c:formatCode>
                <c:ptCount val="31"/>
                <c:pt idx="0">
                  <c:v>-0.18591068500908908</c:v>
                </c:pt>
                <c:pt idx="1">
                  <c:v>-0.18491338983458047</c:v>
                </c:pt>
                <c:pt idx="2">
                  <c:v>-0.18376497881486484</c:v>
                </c:pt>
                <c:pt idx="3">
                  <c:v>-0.18242852732675899</c:v>
                </c:pt>
                <c:pt idx="4">
                  <c:v>-0.18085411514630198</c:v>
                </c:pt>
                <c:pt idx="5">
                  <c:v>-0.17897261731549863</c:v>
                </c:pt>
                <c:pt idx="6">
                  <c:v>-0.17668560663926314</c:v>
                </c:pt>
                <c:pt idx="7">
                  <c:v>-0.17384824681773189</c:v>
                </c:pt>
                <c:pt idx="8">
                  <c:v>-0.1702388938805531</c:v>
                </c:pt>
                <c:pt idx="9">
                  <c:v>-0.16550197556276833</c:v>
                </c:pt>
                <c:pt idx="10">
                  <c:v>-0.15903344706017328</c:v>
                </c:pt>
                <c:pt idx="11">
                  <c:v>-0.149733633448799</c:v>
                </c:pt>
                <c:pt idx="12">
                  <c:v>-0.13543421311316189</c:v>
                </c:pt>
                <c:pt idx="13">
                  <c:v>-0.11154317535052173</c:v>
                </c:pt>
                <c:pt idx="14">
                  <c:v>-6.8808347849052154E-2</c:v>
                </c:pt>
                <c:pt idx="15">
                  <c:v>1.4842588513496412E-16</c:v>
                </c:pt>
                <c:pt idx="16">
                  <c:v>6.8808347849052154E-2</c:v>
                </c:pt>
                <c:pt idx="17">
                  <c:v>0.11154317535052173</c:v>
                </c:pt>
                <c:pt idx="18">
                  <c:v>0.13543421311316189</c:v>
                </c:pt>
                <c:pt idx="19">
                  <c:v>0.149733633448799</c:v>
                </c:pt>
                <c:pt idx="20">
                  <c:v>0.15903344706017328</c:v>
                </c:pt>
                <c:pt idx="21">
                  <c:v>0.16550197556276833</c:v>
                </c:pt>
                <c:pt idx="22">
                  <c:v>0.1702388938805531</c:v>
                </c:pt>
                <c:pt idx="23">
                  <c:v>0.17384824681773189</c:v>
                </c:pt>
                <c:pt idx="24">
                  <c:v>0.17668560663926314</c:v>
                </c:pt>
                <c:pt idx="25">
                  <c:v>0.17897261731549863</c:v>
                </c:pt>
                <c:pt idx="26">
                  <c:v>0.18085411514630198</c:v>
                </c:pt>
                <c:pt idx="27">
                  <c:v>0.18242852732675899</c:v>
                </c:pt>
                <c:pt idx="28">
                  <c:v>0.18376497881486484</c:v>
                </c:pt>
                <c:pt idx="29">
                  <c:v>0.18491338983458047</c:v>
                </c:pt>
                <c:pt idx="30">
                  <c:v>0.18591068500908908</c:v>
                </c:pt>
              </c:numCache>
            </c:numRef>
          </c:yVal>
          <c:smooth val="1"/>
        </c:ser>
        <c:ser>
          <c:idx val="1"/>
          <c:order val="1"/>
          <c:tx>
            <c:v>#1 G0</c:v>
          </c:tx>
          <c:marker>
            <c:symbol val="none"/>
          </c:marker>
          <c:xVal>
            <c:numRef>
              <c:f>Stufengrün!$E$84:$E$85</c:f>
              <c:numCache>
                <c:formatCode>General</c:formatCode>
                <c:ptCount val="2"/>
                <c:pt idx="0">
                  <c:v>-2</c:v>
                </c:pt>
                <c:pt idx="1">
                  <c:v>2</c:v>
                </c:pt>
              </c:numCache>
            </c:numRef>
          </c:xVal>
          <c:yVal>
            <c:numRef>
              <c:f>Stufengrün!$F$84:$F$85</c:f>
              <c:numCache>
                <c:formatCode>General</c:formatCode>
                <c:ptCount val="2"/>
                <c:pt idx="0">
                  <c:v>-0.17897261731549866</c:v>
                </c:pt>
                <c:pt idx="1">
                  <c:v>0.17897261731549866</c:v>
                </c:pt>
              </c:numCache>
            </c:numRef>
          </c:yVal>
          <c:smooth val="1"/>
        </c:ser>
        <c:axId val="158254976"/>
        <c:axId val="158256512"/>
      </c:scatterChart>
      <c:valAx>
        <c:axId val="158254976"/>
        <c:scaling>
          <c:orientation val="minMax"/>
        </c:scaling>
        <c:axPos val="b"/>
        <c:minorGridlines/>
        <c:numFmt formatCode="General" sourceLinked="1"/>
        <c:tickLblPos val="nextTo"/>
        <c:crossAx val="158256512"/>
        <c:crosses val="autoZero"/>
        <c:crossBetween val="midCat"/>
      </c:valAx>
      <c:valAx>
        <c:axId val="158256512"/>
        <c:scaling>
          <c:orientation val="minMax"/>
        </c:scaling>
        <c:axPos val="l"/>
        <c:majorGridlines/>
        <c:numFmt formatCode="General" sourceLinked="1"/>
        <c:tickLblPos val="nextTo"/>
        <c:crossAx val="15825497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lineMarker"/>
        <c:ser>
          <c:idx val="1"/>
          <c:order val="0"/>
          <c:spPr>
            <a:ln w="2540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</c:spPr>
          </c:marker>
          <c:xVal>
            <c:numRef>
              <c:f>'Do-3'!$T$3:$T$35</c:f>
              <c:numCache>
                <c:formatCode>0.00</c:formatCode>
                <c:ptCount val="33"/>
                <c:pt idx="0">
                  <c:v>4</c:v>
                </c:pt>
                <c:pt idx="1">
                  <c:v>3.9322876960778759</c:v>
                </c:pt>
                <c:pt idx="2">
                  <c:v>3.8702805684627113</c:v>
                </c:pt>
                <c:pt idx="3">
                  <c:v>3.8135352785743288</c:v>
                </c:pt>
                <c:pt idx="4">
                  <c:v>3.7616400071941443</c:v>
                </c:pt>
                <c:pt idx="5">
                  <c:v>3.7142124236837315</c:v>
                </c:pt>
                <c:pt idx="6">
                  <c:v>3.7109521062179875</c:v>
                </c:pt>
                <c:pt idx="7">
                  <c:v>3.6959115239565388</c:v>
                </c:pt>
                <c:pt idx="8">
                  <c:v>3.6783235801292298</c:v>
                </c:pt>
                <c:pt idx="9">
                  <c:v>3.6574039412155779</c:v>
                </c:pt>
                <c:pt idx="10">
                  <c:v>3.6319924430946959</c:v>
                </c:pt>
                <c:pt idx="11">
                  <c:v>3.6002889075472408</c:v>
                </c:pt>
                <c:pt idx="12">
                  <c:v>3.6000586468282729</c:v>
                </c:pt>
                <c:pt idx="13">
                  <c:v>3.4514978075029772</c:v>
                </c:pt>
                <c:pt idx="14">
                  <c:v>3.3341896911632611</c:v>
                </c:pt>
                <c:pt idx="15">
                  <c:v>3.2420113779169299</c:v>
                </c:pt>
                <c:pt idx="16">
                  <c:v>3.1699477597553987</c:v>
                </c:pt>
                <c:pt idx="17">
                  <c:v>3.1139083264895344</c:v>
                </c:pt>
                <c:pt idx="18">
                  <c:v>3.0705712984933982</c:v>
                </c:pt>
                <c:pt idx="19">
                  <c:v>3.0372514814526692</c:v>
                </c:pt>
                <c:pt idx="20">
                  <c:v>3.011788636076675</c:v>
                </c:pt>
                <c:pt idx="21">
                  <c:v>2.9924535328027302</c:v>
                </c:pt>
                <c:pt idx="22">
                  <c:v>2.9778692011191898</c:v>
                </c:pt>
                <c:pt idx="23">
                  <c:v>2.9669451882836464</c:v>
                </c:pt>
                <c:pt idx="24">
                  <c:v>2.9588229157523425</c:v>
                </c:pt>
                <c:pt idx="25">
                  <c:v>2.9528304662243707</c:v>
                </c:pt>
                <c:pt idx="26">
                  <c:v>2.9484453523268033</c:v>
                </c:pt>
                <c:pt idx="27">
                  <c:v>2.9452640119483737</c:v>
                </c:pt>
                <c:pt idx="28">
                  <c:v>2.9429769472378582</c:v>
                </c:pt>
                <c:pt idx="29">
                  <c:v>2.9413485763383838</c:v>
                </c:pt>
                <c:pt idx="30">
                  <c:v>2.9402010009086945</c:v>
                </c:pt>
                <c:pt idx="31">
                  <c:v>2.9394010101303856</c:v>
                </c:pt>
                <c:pt idx="32">
                  <c:v>2.9377735782104457</c:v>
                </c:pt>
              </c:numCache>
            </c:numRef>
          </c:xVal>
          <c:yVal>
            <c:numRef>
              <c:f>'Do-3'!$U$3:$U$35</c:f>
              <c:numCache>
                <c:formatCode>0.00</c:formatCode>
                <c:ptCount val="33"/>
                <c:pt idx="0">
                  <c:v>2.0000000000000004</c:v>
                </c:pt>
                <c:pt idx="1">
                  <c:v>1.636575511233896</c:v>
                </c:pt>
                <c:pt idx="2">
                  <c:v>1.3011923067529438</c:v>
                </c:pt>
                <c:pt idx="3">
                  <c:v>0.99187304535741694</c:v>
                </c:pt>
                <c:pt idx="4">
                  <c:v>0.70676654772401215</c:v>
                </c:pt>
                <c:pt idx="5">
                  <c:v>0.44414060065588701</c:v>
                </c:pt>
                <c:pt idx="6">
                  <c:v>0.42600891691732817</c:v>
                </c:pt>
                <c:pt idx="7">
                  <c:v>0.33828062637021156</c:v>
                </c:pt>
                <c:pt idx="8">
                  <c:v>0.22516071059162635</c:v>
                </c:pt>
                <c:pt idx="9">
                  <c:v>7.5291366668722548E-2</c:v>
                </c:pt>
                <c:pt idx="10">
                  <c:v>-0.13005367825319369</c:v>
                </c:pt>
                <c:pt idx="11">
                  <c:v>-0.42370952550773633</c:v>
                </c:pt>
                <c:pt idx="12">
                  <c:v>-0.4259992235025617</c:v>
                </c:pt>
                <c:pt idx="13">
                  <c:v>-1.9184953013998225</c:v>
                </c:pt>
                <c:pt idx="14">
                  <c:v>-3.1214299448873719</c:v>
                </c:pt>
                <c:pt idx="15">
                  <c:v>-4.0866593562559439</c:v>
                </c:pt>
                <c:pt idx="16">
                  <c:v>-4.8575560330846201</c:v>
                </c:pt>
                <c:pt idx="17">
                  <c:v>-5.4702603954150675</c:v>
                </c:pt>
                <c:pt idx="18">
                  <c:v>-5.9547686215358047</c:v>
                </c:pt>
                <c:pt idx="19">
                  <c:v>-6.3358752957284832</c:v>
                </c:pt>
                <c:pt idx="20">
                  <c:v>-6.6339876910456175</c:v>
                </c:pt>
                <c:pt idx="21">
                  <c:v>-6.8658268674965734</c:v>
                </c:pt>
                <c:pt idx="22">
                  <c:v>-7.0450292528550511</c:v>
                </c:pt>
                <c:pt idx="23">
                  <c:v>-7.1826609819366993</c:v>
                </c:pt>
                <c:pt idx="24">
                  <c:v>-7.2876559932100387</c:v>
                </c:pt>
                <c:pt idx="25">
                  <c:v>-7.3671877118890272</c:v>
                </c:pt>
                <c:pt idx="26">
                  <c:v>-7.4269830794025857</c:v>
                </c:pt>
                <c:pt idx="27">
                  <c:v>-7.4715867138292902</c:v>
                </c:pt>
                <c:pt idx="28">
                  <c:v>-7.504582098294196</c:v>
                </c:pt>
                <c:pt idx="29">
                  <c:v>-7.5287758884981502</c:v>
                </c:pt>
                <c:pt idx="30">
                  <c:v>-7.5463507008080155</c:v>
                </c:pt>
                <c:pt idx="31">
                  <c:v>-7.558991083263793</c:v>
                </c:pt>
                <c:pt idx="32">
                  <c:v>-7.5873455623466013</c:v>
                </c:pt>
              </c:numCache>
            </c:numRef>
          </c:yVal>
        </c:ser>
        <c:axId val="159991296"/>
        <c:axId val="159993216"/>
      </c:scatterChart>
      <c:valAx>
        <c:axId val="159991296"/>
        <c:scaling>
          <c:orientation val="minMax"/>
          <c:max val="2.5"/>
          <c:min val="-2.5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59993216"/>
        <c:crosses val="autoZero"/>
        <c:crossBetween val="midCat"/>
      </c:valAx>
      <c:valAx>
        <c:axId val="159993216"/>
        <c:scaling>
          <c:orientation val="minMax"/>
          <c:max val="2"/>
          <c:min val="-3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59991296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>
        <c:manualLayout>
          <c:layoutTarget val="inner"/>
          <c:xMode val="edge"/>
          <c:yMode val="edge"/>
          <c:x val="4.8015755785327387E-2"/>
          <c:y val="1.6959745368134705E-2"/>
          <c:w val="0.8872870507139291"/>
          <c:h val="0.94106924419020521"/>
        </c:manualLayout>
      </c:layout>
      <c:scatterChart>
        <c:scatterStyle val="lineMarker"/>
        <c:ser>
          <c:idx val="1"/>
          <c:order val="0"/>
          <c:spPr>
            <a:ln w="2540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</c:spPr>
          </c:marker>
          <c:xVal>
            <c:numRef>
              <c:f>'Do-5'!$T$3:$T$40</c:f>
              <c:numCache>
                <c:formatCode>0.00</c:formatCode>
                <c:ptCount val="38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xVal>
          <c:yVal>
            <c:numRef>
              <c:f>'Do-5'!$U$3:$U$40</c:f>
              <c:numCache>
                <c:formatCode>0.00</c:formatCode>
                <c:ptCount val="38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yVal>
        </c:ser>
        <c:axId val="160340224"/>
        <c:axId val="160346496"/>
      </c:scatterChart>
      <c:valAx>
        <c:axId val="160340224"/>
        <c:scaling>
          <c:orientation val="minMax"/>
          <c:max val="0.5"/>
          <c:min val="-0.5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0346496"/>
        <c:crosses val="autoZero"/>
        <c:crossBetween val="midCat"/>
      </c:valAx>
      <c:valAx>
        <c:axId val="160346496"/>
        <c:scaling>
          <c:orientation val="minMax"/>
          <c:max val="-1.5"/>
          <c:min val="-2.5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0340224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lineMarker"/>
        <c:ser>
          <c:idx val="1"/>
          <c:order val="0"/>
          <c:spPr>
            <a:ln w="2540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</c:spPr>
          </c:marker>
          <c:xVal>
            <c:numRef>
              <c:f>'Do-5'!$T$3:$T$40</c:f>
              <c:numCache>
                <c:formatCode>0.00</c:formatCode>
                <c:ptCount val="38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xVal>
          <c:yVal>
            <c:numRef>
              <c:f>'Do-5'!$U$3:$U$40</c:f>
              <c:numCache>
                <c:formatCode>0.00</c:formatCode>
                <c:ptCount val="38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yVal>
        </c:ser>
        <c:axId val="160352896"/>
        <c:axId val="160518912"/>
      </c:scatterChart>
      <c:valAx>
        <c:axId val="160352896"/>
        <c:scaling>
          <c:orientation val="minMax"/>
          <c:max val="2.5"/>
          <c:min val="-2.5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0518912"/>
        <c:crosses val="autoZero"/>
        <c:crossBetween val="midCat"/>
      </c:valAx>
      <c:valAx>
        <c:axId val="160518912"/>
        <c:scaling>
          <c:orientation val="minMax"/>
          <c:max val="2.5"/>
          <c:min val="-2.5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0352896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>
        <c:manualLayout>
          <c:layoutTarget val="inner"/>
          <c:xMode val="edge"/>
          <c:yMode val="edge"/>
          <c:x val="4.8015755785327387E-2"/>
          <c:y val="1.6959745368134705E-2"/>
          <c:w val="0.88728705071392888"/>
          <c:h val="0.94106924419020521"/>
        </c:manualLayout>
      </c:layout>
      <c:scatterChart>
        <c:scatterStyle val="lineMarker"/>
        <c:ser>
          <c:idx val="1"/>
          <c:order val="0"/>
          <c:spPr>
            <a:ln w="2540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</c:spPr>
          </c:marker>
          <c:xVal>
            <c:numRef>
              <c:f>'Do-9'!$T$3:$T$64</c:f>
              <c:numCache>
                <c:formatCode>0.00</c:formatCode>
                <c:ptCount val="62"/>
                <c:pt idx="0">
                  <c:v>4</c:v>
                </c:pt>
                <c:pt idx="1">
                  <c:v>2.5271728312796169</c:v>
                </c:pt>
                <c:pt idx="2">
                  <c:v>1.6256616432007251</c:v>
                </c:pt>
                <c:pt idx="3">
                  <c:v>1.0747843393684509</c:v>
                </c:pt>
                <c:pt idx="4">
                  <c:v>0.73897727637272315</c:v>
                </c:pt>
                <c:pt idx="5">
                  <c:v>0.5349209286910277</c:v>
                </c:pt>
                <c:pt idx="6">
                  <c:v>0.53449046096795616</c:v>
                </c:pt>
                <c:pt idx="7">
                  <c:v>0.39607897305019124</c:v>
                </c:pt>
                <c:pt idx="8">
                  <c:v>0.29691222328319034</c:v>
                </c:pt>
                <c:pt idx="9">
                  <c:v>0.22294432814779469</c:v>
                </c:pt>
                <c:pt idx="10">
                  <c:v>0.16699711124406169</c:v>
                </c:pt>
                <c:pt idx="11">
                  <c:v>0.12722116014010054</c:v>
                </c:pt>
                <c:pt idx="12">
                  <c:v>0.12720754865506584</c:v>
                </c:pt>
                <c:pt idx="13">
                  <c:v>0.12624114022632499</c:v>
                </c:pt>
                <c:pt idx="14">
                  <c:v>0.12505804958604641</c:v>
                </c:pt>
                <c:pt idx="15">
                  <c:v>0.12353498124636612</c:v>
                </c:pt>
                <c:pt idx="16">
                  <c:v>0.12140255379819426</c:v>
                </c:pt>
                <c:pt idx="17">
                  <c:v>0.11785697935864219</c:v>
                </c:pt>
                <c:pt idx="18">
                  <c:v>0.11782545501571567</c:v>
                </c:pt>
                <c:pt idx="19">
                  <c:v>0.11750787391301769</c:v>
                </c:pt>
                <c:pt idx="20">
                  <c:v>0.11713959719328444</c:v>
                </c:pt>
                <c:pt idx="21">
                  <c:v>0.11670539297129306</c:v>
                </c:pt>
                <c:pt idx="22">
                  <c:v>0.11618271193116175</c:v>
                </c:pt>
                <c:pt idx="23">
                  <c:v>0.11553642928556652</c:v>
                </c:pt>
                <c:pt idx="24">
                  <c:v>0.11549280985728823</c:v>
                </c:pt>
                <c:pt idx="25">
                  <c:v>0.1152214539142886</c:v>
                </c:pt>
                <c:pt idx="26">
                  <c:v>0.11490595074581554</c:v>
                </c:pt>
                <c:pt idx="27">
                  <c:v>0.11453350379416648</c:v>
                </c:pt>
                <c:pt idx="28">
                  <c:v>0.11408557893603145</c:v>
                </c:pt>
                <c:pt idx="29">
                  <c:v>0.11353416662050055</c:v>
                </c:pt>
                <c:pt idx="30">
                  <c:v>0.11345880055865872</c:v>
                </c:pt>
                <c:pt idx="31">
                  <c:v>0.11330920946342597</c:v>
                </c:pt>
                <c:pt idx="32">
                  <c:v>0.11315422803171071</c:v>
                </c:pt>
                <c:pt idx="33">
                  <c:v>0.11299352230891005</c:v>
                </c:pt>
                <c:pt idx="34">
                  <c:v>0.11282672854980719</c:v>
                </c:pt>
                <c:pt idx="35">
                  <c:v>0.11265344970643373</c:v>
                </c:pt>
                <c:pt idx="36">
                  <c:v>0.11251888453202039</c:v>
                </c:pt>
                <c:pt idx="37">
                  <c:v>0.11234336624280844</c:v>
                </c:pt>
                <c:pt idx="38">
                  <c:v>0.11216513934744875</c:v>
                </c:pt>
                <c:pt idx="39">
                  <c:v>0.11198412068094808</c:v>
                </c:pt>
                <c:pt idx="40">
                  <c:v>0.11180022321596285</c:v>
                </c:pt>
                <c:pt idx="41">
                  <c:v>0.11161335582074929</c:v>
                </c:pt>
                <c:pt idx="42">
                  <c:v>0.11134631607355977</c:v>
                </c:pt>
                <c:pt idx="43">
                  <c:v>0.11097876255667988</c:v>
                </c:pt>
                <c:pt idx="44">
                  <c:v>0.11061285778553517</c:v>
                </c:pt>
                <c:pt idx="45">
                  <c:v>0.1102486154151823</c:v>
                </c:pt>
                <c:pt idx="46">
                  <c:v>0.10988604939275286</c:v>
                </c:pt>
                <c:pt idx="47">
                  <c:v>0.10952517396762709</c:v>
                </c:pt>
                <c:pt idx="48">
                  <c:v>0.10888505094149961</c:v>
                </c:pt>
                <c:pt idx="49">
                  <c:v>0.10750289304255205</c:v>
                </c:pt>
                <c:pt idx="50">
                  <c:v>0.10626950650676219</c:v>
                </c:pt>
                <c:pt idx="51">
                  <c:v>0.10517012421041162</c:v>
                </c:pt>
                <c:pt idx="52">
                  <c:v>0.10419131875462938</c:v>
                </c:pt>
                <c:pt idx="53">
                  <c:v>0.10332089257954376</c:v>
                </c:pt>
                <c:pt idx="54">
                  <c:v>0.10254777611645707</c:v>
                </c:pt>
                <c:pt idx="55">
                  <c:v>0.10186193346279589</c:v>
                </c:pt>
                <c:pt idx="56">
                  <c:v>0.10125427509286082</c:v>
                </c:pt>
                <c:pt idx="57">
                  <c:v>0.10071657714438988</c:v>
                </c:pt>
                <c:pt idx="58">
                  <c:v>0.10024140684669841</c:v>
                </c:pt>
                <c:pt idx="59">
                  <c:v>9.9822053680711759E-2</c:v>
                </c:pt>
                <c:pt idx="60">
                  <c:v>9.9452465884611582E-2</c:v>
                </c:pt>
                <c:pt idx="61">
                  <c:v>9.7109350407127953E-2</c:v>
                </c:pt>
              </c:numCache>
            </c:numRef>
          </c:xVal>
          <c:yVal>
            <c:numRef>
              <c:f>'Do-9'!$U$3:$U$64</c:f>
              <c:numCache>
                <c:formatCode>0.00</c:formatCode>
                <c:ptCount val="62"/>
                <c:pt idx="0">
                  <c:v>2</c:v>
                </c:pt>
                <c:pt idx="1">
                  <c:v>1.698875429669259</c:v>
                </c:pt>
                <c:pt idx="2">
                  <c:v>1.4800082699225863</c:v>
                </c:pt>
                <c:pt idx="3">
                  <c:v>1.324778734688008</c:v>
                </c:pt>
                <c:pt idx="4">
                  <c:v>1.2167822984338943</c:v>
                </c:pt>
                <c:pt idx="5">
                  <c:v>1.1428398641736117</c:v>
                </c:pt>
                <c:pt idx="6">
                  <c:v>1.1426741787697181</c:v>
                </c:pt>
                <c:pt idx="7">
                  <c:v>1.071746274200734</c:v>
                </c:pt>
                <c:pt idx="8">
                  <c:v>0.98873918672609962</c:v>
                </c:pt>
                <c:pt idx="9">
                  <c:v>0.89148400833416741</c:v>
                </c:pt>
                <c:pt idx="10">
                  <c:v>0.76804824907603164</c:v>
                </c:pt>
                <c:pt idx="11">
                  <c:v>0.56729915343347437</c:v>
                </c:pt>
                <c:pt idx="12">
                  <c:v>0.56716007517016531</c:v>
                </c:pt>
                <c:pt idx="13">
                  <c:v>0.55634683762830262</c:v>
                </c:pt>
                <c:pt idx="14">
                  <c:v>0.54022063015558763</c:v>
                </c:pt>
                <c:pt idx="15">
                  <c:v>0.51365730730100168</c:v>
                </c:pt>
                <c:pt idx="16">
                  <c:v>0.46192308115429237</c:v>
                </c:pt>
                <c:pt idx="17">
                  <c:v>0.31881683251964565</c:v>
                </c:pt>
                <c:pt idx="18">
                  <c:v>0.31710907741391259</c:v>
                </c:pt>
                <c:pt idx="19">
                  <c:v>0.29900241145172363</c:v>
                </c:pt>
                <c:pt idx="20">
                  <c:v>0.27578432574873546</c:v>
                </c:pt>
                <c:pt idx="21">
                  <c:v>0.24517007886586739</c:v>
                </c:pt>
                <c:pt idx="22">
                  <c:v>0.20336715762021393</c:v>
                </c:pt>
                <c:pt idx="23">
                  <c:v>0.14364910745829182</c:v>
                </c:pt>
                <c:pt idx="24">
                  <c:v>0.13928201041866342</c:v>
                </c:pt>
                <c:pt idx="25">
                  <c:v>0.11074147759106959</c:v>
                </c:pt>
                <c:pt idx="26">
                  <c:v>7.4379895517470512E-2</c:v>
                </c:pt>
                <c:pt idx="27">
                  <c:v>2.6907851637245545E-2</c:v>
                </c:pt>
                <c:pt idx="28">
                  <c:v>-3.6954052024149336E-2</c:v>
                </c:pt>
                <c:pt idx="29">
                  <c:v>-0.12615459924204384</c:v>
                </c:pt>
                <c:pt idx="30">
                  <c:v>-0.13928194613695224</c:v>
                </c:pt>
                <c:pt idx="31">
                  <c:v>-0.16587943323806523</c:v>
                </c:pt>
                <c:pt idx="32">
                  <c:v>-0.19410410362339331</c:v>
                </c:pt>
                <c:pt idx="33">
                  <c:v>-0.22409923922025321</c:v>
                </c:pt>
                <c:pt idx="34">
                  <c:v>-0.2560247896051665</c:v>
                </c:pt>
                <c:pt idx="35">
                  <c:v>-0.29005980726422959</c:v>
                </c:pt>
                <c:pt idx="36">
                  <c:v>-0.31710877782990493</c:v>
                </c:pt>
                <c:pt idx="37">
                  <c:v>-0.35300629479679924</c:v>
                </c:pt>
                <c:pt idx="38">
                  <c:v>-0.38999770940900541</c:v>
                </c:pt>
                <c:pt idx="39">
                  <c:v>-0.42813343572499929</c:v>
                </c:pt>
                <c:pt idx="40">
                  <c:v>-0.46746702259129985</c:v>
                </c:pt>
                <c:pt idx="41">
                  <c:v>-0.50805540059469734</c:v>
                </c:pt>
                <c:pt idx="42">
                  <c:v>-0.56715993800742448</c:v>
                </c:pt>
                <c:pt idx="43">
                  <c:v>-0.64993429957517934</c:v>
                </c:pt>
                <c:pt idx="44">
                  <c:v>-0.73338995683740038</c:v>
                </c:pt>
                <c:pt idx="45">
                  <c:v>-0.81754138541907717</c:v>
                </c:pt>
                <c:pt idx="46">
                  <c:v>-0.90240356186061477</c:v>
                </c:pt>
                <c:pt idx="47">
                  <c:v>-0.98799198781990616</c:v>
                </c:pt>
                <c:pt idx="48">
                  <c:v>-1.1426741787653829</c:v>
                </c:pt>
                <c:pt idx="49">
                  <c:v>-1.4823673718944552</c:v>
                </c:pt>
                <c:pt idx="50">
                  <c:v>-1.7884975863296155</c:v>
                </c:pt>
                <c:pt idx="51">
                  <c:v>-2.0640956024766011</c:v>
                </c:pt>
                <c:pt idx="52">
                  <c:v>-2.3119447826152975</c:v>
                </c:pt>
                <c:pt idx="53">
                  <c:v>-2.5345990830615297</c:v>
                </c:pt>
                <c:pt idx="54">
                  <c:v>-2.7343999172892595</c:v>
                </c:pt>
                <c:pt idx="55">
                  <c:v>-2.913491932757001</c:v>
                </c:pt>
                <c:pt idx="56">
                  <c:v>-3.0738377613447407</c:v>
                </c:pt>
                <c:pt idx="57">
                  <c:v>-3.2172318005705947</c:v>
                </c:pt>
                <c:pt idx="58">
                  <c:v>-3.3453130801171955</c:v>
                </c:pt>
                <c:pt idx="59">
                  <c:v>-3.4595772656566464</c:v>
                </c:pt>
                <c:pt idx="60">
                  <c:v>-3.5613878495133706</c:v>
                </c:pt>
                <c:pt idx="61">
                  <c:v>-4.2551137361083438</c:v>
                </c:pt>
              </c:numCache>
            </c:numRef>
          </c:yVal>
        </c:ser>
        <c:axId val="160243072"/>
        <c:axId val="160253440"/>
      </c:scatterChart>
      <c:valAx>
        <c:axId val="160243072"/>
        <c:scaling>
          <c:orientation val="minMax"/>
          <c:max val="0.5"/>
          <c:min val="-0.5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0253440"/>
        <c:crosses val="autoZero"/>
        <c:crossBetween val="midCat"/>
      </c:valAx>
      <c:valAx>
        <c:axId val="160253440"/>
        <c:scaling>
          <c:orientation val="minMax"/>
          <c:max val="-1.5"/>
          <c:min val="-2.5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0243072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lineMarker"/>
        <c:ser>
          <c:idx val="1"/>
          <c:order val="0"/>
          <c:spPr>
            <a:ln w="2540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</c:spPr>
          </c:marker>
          <c:xVal>
            <c:numRef>
              <c:f>'Do-9'!$T$3:$T$64</c:f>
              <c:numCache>
                <c:formatCode>0.00</c:formatCode>
                <c:ptCount val="62"/>
                <c:pt idx="0">
                  <c:v>4</c:v>
                </c:pt>
                <c:pt idx="1">
                  <c:v>2.5271728312796169</c:v>
                </c:pt>
                <c:pt idx="2">
                  <c:v>1.6256616432007251</c:v>
                </c:pt>
                <c:pt idx="3">
                  <c:v>1.0747843393684509</c:v>
                </c:pt>
                <c:pt idx="4">
                  <c:v>0.73897727637272315</c:v>
                </c:pt>
                <c:pt idx="5">
                  <c:v>0.5349209286910277</c:v>
                </c:pt>
                <c:pt idx="6">
                  <c:v>0.53449046096795616</c:v>
                </c:pt>
                <c:pt idx="7">
                  <c:v>0.39607897305019124</c:v>
                </c:pt>
                <c:pt idx="8">
                  <c:v>0.29691222328319034</c:v>
                </c:pt>
                <c:pt idx="9">
                  <c:v>0.22294432814779469</c:v>
                </c:pt>
                <c:pt idx="10">
                  <c:v>0.16699711124406169</c:v>
                </c:pt>
                <c:pt idx="11">
                  <c:v>0.12722116014010054</c:v>
                </c:pt>
                <c:pt idx="12">
                  <c:v>0.12720754865506584</c:v>
                </c:pt>
                <c:pt idx="13">
                  <c:v>0.12624114022632499</c:v>
                </c:pt>
                <c:pt idx="14">
                  <c:v>0.12505804958604641</c:v>
                </c:pt>
                <c:pt idx="15">
                  <c:v>0.12353498124636612</c:v>
                </c:pt>
                <c:pt idx="16">
                  <c:v>0.12140255379819426</c:v>
                </c:pt>
                <c:pt idx="17">
                  <c:v>0.11785697935864219</c:v>
                </c:pt>
                <c:pt idx="18">
                  <c:v>0.11782545501571567</c:v>
                </c:pt>
                <c:pt idx="19">
                  <c:v>0.11750787391301769</c:v>
                </c:pt>
                <c:pt idx="20">
                  <c:v>0.11713959719328444</c:v>
                </c:pt>
                <c:pt idx="21">
                  <c:v>0.11670539297129306</c:v>
                </c:pt>
                <c:pt idx="22">
                  <c:v>0.11618271193116175</c:v>
                </c:pt>
                <c:pt idx="23">
                  <c:v>0.11553642928556652</c:v>
                </c:pt>
                <c:pt idx="24">
                  <c:v>0.11549280985728823</c:v>
                </c:pt>
                <c:pt idx="25">
                  <c:v>0.1152214539142886</c:v>
                </c:pt>
                <c:pt idx="26">
                  <c:v>0.11490595074581554</c:v>
                </c:pt>
                <c:pt idx="27">
                  <c:v>0.11453350379416648</c:v>
                </c:pt>
                <c:pt idx="28">
                  <c:v>0.11408557893603145</c:v>
                </c:pt>
                <c:pt idx="29">
                  <c:v>0.11353416662050055</c:v>
                </c:pt>
                <c:pt idx="30">
                  <c:v>0.11345880055865872</c:v>
                </c:pt>
                <c:pt idx="31">
                  <c:v>0.11330920946342597</c:v>
                </c:pt>
                <c:pt idx="32">
                  <c:v>0.11315422803171071</c:v>
                </c:pt>
                <c:pt idx="33">
                  <c:v>0.11299352230891005</c:v>
                </c:pt>
                <c:pt idx="34">
                  <c:v>0.11282672854980719</c:v>
                </c:pt>
                <c:pt idx="35">
                  <c:v>0.11265344970643373</c:v>
                </c:pt>
                <c:pt idx="36">
                  <c:v>0.11251888453202039</c:v>
                </c:pt>
                <c:pt idx="37">
                  <c:v>0.11234336624280844</c:v>
                </c:pt>
                <c:pt idx="38">
                  <c:v>0.11216513934744875</c:v>
                </c:pt>
                <c:pt idx="39">
                  <c:v>0.11198412068094808</c:v>
                </c:pt>
                <c:pt idx="40">
                  <c:v>0.11180022321596285</c:v>
                </c:pt>
                <c:pt idx="41">
                  <c:v>0.11161335582074929</c:v>
                </c:pt>
                <c:pt idx="42">
                  <c:v>0.11134631607355977</c:v>
                </c:pt>
                <c:pt idx="43">
                  <c:v>0.11097876255667988</c:v>
                </c:pt>
                <c:pt idx="44">
                  <c:v>0.11061285778553517</c:v>
                </c:pt>
                <c:pt idx="45">
                  <c:v>0.1102486154151823</c:v>
                </c:pt>
                <c:pt idx="46">
                  <c:v>0.10988604939275286</c:v>
                </c:pt>
                <c:pt idx="47">
                  <c:v>0.10952517396762709</c:v>
                </c:pt>
                <c:pt idx="48">
                  <c:v>0.10888505094149961</c:v>
                </c:pt>
                <c:pt idx="49">
                  <c:v>0.10750289304255205</c:v>
                </c:pt>
                <c:pt idx="50">
                  <c:v>0.10626950650676219</c:v>
                </c:pt>
                <c:pt idx="51">
                  <c:v>0.10517012421041162</c:v>
                </c:pt>
                <c:pt idx="52">
                  <c:v>0.10419131875462938</c:v>
                </c:pt>
                <c:pt idx="53">
                  <c:v>0.10332089257954376</c:v>
                </c:pt>
                <c:pt idx="54">
                  <c:v>0.10254777611645707</c:v>
                </c:pt>
                <c:pt idx="55">
                  <c:v>0.10186193346279589</c:v>
                </c:pt>
                <c:pt idx="56">
                  <c:v>0.10125427509286082</c:v>
                </c:pt>
                <c:pt idx="57">
                  <c:v>0.10071657714438988</c:v>
                </c:pt>
                <c:pt idx="58">
                  <c:v>0.10024140684669841</c:v>
                </c:pt>
                <c:pt idx="59">
                  <c:v>9.9822053680711759E-2</c:v>
                </c:pt>
                <c:pt idx="60">
                  <c:v>9.9452465884611582E-2</c:v>
                </c:pt>
                <c:pt idx="61">
                  <c:v>9.7109350407127953E-2</c:v>
                </c:pt>
              </c:numCache>
            </c:numRef>
          </c:xVal>
          <c:yVal>
            <c:numRef>
              <c:f>'Do-9'!$U$3:$U$64</c:f>
              <c:numCache>
                <c:formatCode>0.00</c:formatCode>
                <c:ptCount val="62"/>
                <c:pt idx="0">
                  <c:v>2</c:v>
                </c:pt>
                <c:pt idx="1">
                  <c:v>1.698875429669259</c:v>
                </c:pt>
                <c:pt idx="2">
                  <c:v>1.4800082699225863</c:v>
                </c:pt>
                <c:pt idx="3">
                  <c:v>1.324778734688008</c:v>
                </c:pt>
                <c:pt idx="4">
                  <c:v>1.2167822984338943</c:v>
                </c:pt>
                <c:pt idx="5">
                  <c:v>1.1428398641736117</c:v>
                </c:pt>
                <c:pt idx="6">
                  <c:v>1.1426741787697181</c:v>
                </c:pt>
                <c:pt idx="7">
                  <c:v>1.071746274200734</c:v>
                </c:pt>
                <c:pt idx="8">
                  <c:v>0.98873918672609962</c:v>
                </c:pt>
                <c:pt idx="9">
                  <c:v>0.89148400833416741</c:v>
                </c:pt>
                <c:pt idx="10">
                  <c:v>0.76804824907603164</c:v>
                </c:pt>
                <c:pt idx="11">
                  <c:v>0.56729915343347437</c:v>
                </c:pt>
                <c:pt idx="12">
                  <c:v>0.56716007517016531</c:v>
                </c:pt>
                <c:pt idx="13">
                  <c:v>0.55634683762830262</c:v>
                </c:pt>
                <c:pt idx="14">
                  <c:v>0.54022063015558763</c:v>
                </c:pt>
                <c:pt idx="15">
                  <c:v>0.51365730730100168</c:v>
                </c:pt>
                <c:pt idx="16">
                  <c:v>0.46192308115429237</c:v>
                </c:pt>
                <c:pt idx="17">
                  <c:v>0.31881683251964565</c:v>
                </c:pt>
                <c:pt idx="18">
                  <c:v>0.31710907741391259</c:v>
                </c:pt>
                <c:pt idx="19">
                  <c:v>0.29900241145172363</c:v>
                </c:pt>
                <c:pt idx="20">
                  <c:v>0.27578432574873546</c:v>
                </c:pt>
                <c:pt idx="21">
                  <c:v>0.24517007886586739</c:v>
                </c:pt>
                <c:pt idx="22">
                  <c:v>0.20336715762021393</c:v>
                </c:pt>
                <c:pt idx="23">
                  <c:v>0.14364910745829182</c:v>
                </c:pt>
                <c:pt idx="24">
                  <c:v>0.13928201041866342</c:v>
                </c:pt>
                <c:pt idx="25">
                  <c:v>0.11074147759106959</c:v>
                </c:pt>
                <c:pt idx="26">
                  <c:v>7.4379895517470512E-2</c:v>
                </c:pt>
                <c:pt idx="27">
                  <c:v>2.6907851637245545E-2</c:v>
                </c:pt>
                <c:pt idx="28">
                  <c:v>-3.6954052024149336E-2</c:v>
                </c:pt>
                <c:pt idx="29">
                  <c:v>-0.12615459924204384</c:v>
                </c:pt>
                <c:pt idx="30">
                  <c:v>-0.13928194613695224</c:v>
                </c:pt>
                <c:pt idx="31">
                  <c:v>-0.16587943323806523</c:v>
                </c:pt>
                <c:pt idx="32">
                  <c:v>-0.19410410362339331</c:v>
                </c:pt>
                <c:pt idx="33">
                  <c:v>-0.22409923922025321</c:v>
                </c:pt>
                <c:pt idx="34">
                  <c:v>-0.2560247896051665</c:v>
                </c:pt>
                <c:pt idx="35">
                  <c:v>-0.29005980726422959</c:v>
                </c:pt>
                <c:pt idx="36">
                  <c:v>-0.31710877782990493</c:v>
                </c:pt>
                <c:pt idx="37">
                  <c:v>-0.35300629479679924</c:v>
                </c:pt>
                <c:pt idx="38">
                  <c:v>-0.38999770940900541</c:v>
                </c:pt>
                <c:pt idx="39">
                  <c:v>-0.42813343572499929</c:v>
                </c:pt>
                <c:pt idx="40">
                  <c:v>-0.46746702259129985</c:v>
                </c:pt>
                <c:pt idx="41">
                  <c:v>-0.50805540059469734</c:v>
                </c:pt>
                <c:pt idx="42">
                  <c:v>-0.56715993800742448</c:v>
                </c:pt>
                <c:pt idx="43">
                  <c:v>-0.64993429957517934</c:v>
                </c:pt>
                <c:pt idx="44">
                  <c:v>-0.73338995683740038</c:v>
                </c:pt>
                <c:pt idx="45">
                  <c:v>-0.81754138541907717</c:v>
                </c:pt>
                <c:pt idx="46">
                  <c:v>-0.90240356186061477</c:v>
                </c:pt>
                <c:pt idx="47">
                  <c:v>-0.98799198781990616</c:v>
                </c:pt>
                <c:pt idx="48">
                  <c:v>-1.1426741787653829</c:v>
                </c:pt>
                <c:pt idx="49">
                  <c:v>-1.4823673718944552</c:v>
                </c:pt>
                <c:pt idx="50">
                  <c:v>-1.7884975863296155</c:v>
                </c:pt>
                <c:pt idx="51">
                  <c:v>-2.0640956024766011</c:v>
                </c:pt>
                <c:pt idx="52">
                  <c:v>-2.3119447826152975</c:v>
                </c:pt>
                <c:pt idx="53">
                  <c:v>-2.5345990830615297</c:v>
                </c:pt>
                <c:pt idx="54">
                  <c:v>-2.7343999172892595</c:v>
                </c:pt>
                <c:pt idx="55">
                  <c:v>-2.913491932757001</c:v>
                </c:pt>
                <c:pt idx="56">
                  <c:v>-3.0738377613447407</c:v>
                </c:pt>
                <c:pt idx="57">
                  <c:v>-3.2172318005705947</c:v>
                </c:pt>
                <c:pt idx="58">
                  <c:v>-3.3453130801171955</c:v>
                </c:pt>
                <c:pt idx="59">
                  <c:v>-3.4595772656566464</c:v>
                </c:pt>
                <c:pt idx="60">
                  <c:v>-3.5613878495133706</c:v>
                </c:pt>
                <c:pt idx="61">
                  <c:v>-4.2551137361083438</c:v>
                </c:pt>
              </c:numCache>
            </c:numRef>
          </c:yVal>
        </c:ser>
        <c:axId val="160268288"/>
        <c:axId val="160270208"/>
      </c:scatterChart>
      <c:valAx>
        <c:axId val="160268288"/>
        <c:scaling>
          <c:orientation val="minMax"/>
          <c:max val="2.5"/>
          <c:min val="-2.5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0270208"/>
        <c:crosses val="autoZero"/>
        <c:crossBetween val="midCat"/>
      </c:valAx>
      <c:valAx>
        <c:axId val="160270208"/>
        <c:scaling>
          <c:orientation val="minMax"/>
          <c:max val="2.5"/>
          <c:min val="-2.5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0268288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>
        <c:manualLayout>
          <c:layoutTarget val="inner"/>
          <c:xMode val="edge"/>
          <c:yMode val="edge"/>
          <c:x val="4.8015755785327387E-2"/>
          <c:y val="1.6959745368134705E-2"/>
          <c:w val="0.88728705071392866"/>
          <c:h val="0.94106924419020521"/>
        </c:manualLayout>
      </c:layout>
      <c:scatterChart>
        <c:scatterStyle val="lineMarker"/>
        <c:ser>
          <c:idx val="1"/>
          <c:order val="0"/>
          <c:spPr>
            <a:ln w="2540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</c:spPr>
          </c:marker>
          <c:xVal>
            <c:numRef>
              <c:f>'Do-17'!$T$3:$T$112</c:f>
              <c:numCache>
                <c:formatCode>0.00</c:formatCode>
                <c:ptCount val="110"/>
                <c:pt idx="0">
                  <c:v>4</c:v>
                </c:pt>
                <c:pt idx="1">
                  <c:v>3.2930551005024702</c:v>
                </c:pt>
                <c:pt idx="2">
                  <c:v>2.7175945333194611</c:v>
                </c:pt>
                <c:pt idx="3">
                  <c:v>2.2492549252272553</c:v>
                </c:pt>
                <c:pt idx="4">
                  <c:v>1.8681898075743164</c:v>
                </c:pt>
                <c:pt idx="5">
                  <c:v>1.5582282163853396</c:v>
                </c:pt>
                <c:pt idx="6">
                  <c:v>1.5564082710618012</c:v>
                </c:pt>
                <c:pt idx="7">
                  <c:v>1.1283961571685248</c:v>
                </c:pt>
                <c:pt idx="8">
                  <c:v>0.82475607117333682</c:v>
                </c:pt>
                <c:pt idx="9">
                  <c:v>0.60892132009620492</c:v>
                </c:pt>
                <c:pt idx="10">
                  <c:v>0.45560623594930783</c:v>
                </c:pt>
                <c:pt idx="11">
                  <c:v>0.34710406308132802</c:v>
                </c:pt>
                <c:pt idx="12">
                  <c:v>0.34699188404782344</c:v>
                </c:pt>
                <c:pt idx="13">
                  <c:v>0.29420701444789832</c:v>
                </c:pt>
                <c:pt idx="14">
                  <c:v>0.24806331417752608</c:v>
                </c:pt>
                <c:pt idx="15">
                  <c:v>0.207481010014613</c:v>
                </c:pt>
                <c:pt idx="16">
                  <c:v>0.1716650808193588</c:v>
                </c:pt>
                <c:pt idx="17">
                  <c:v>0.14006322271544297</c:v>
                </c:pt>
                <c:pt idx="18">
                  <c:v>0.14003358492961179</c:v>
                </c:pt>
                <c:pt idx="19">
                  <c:v>0.13185373146705415</c:v>
                </c:pt>
                <c:pt idx="20">
                  <c:v>0.12319818695663096</c:v>
                </c:pt>
                <c:pt idx="21">
                  <c:v>0.11392973687565293</c:v>
                </c:pt>
                <c:pt idx="22">
                  <c:v>0.10385289467073733</c:v>
                </c:pt>
                <c:pt idx="23">
                  <c:v>9.2669957340827974E-2</c:v>
                </c:pt>
                <c:pt idx="24">
                  <c:v>9.2643203545959008E-2</c:v>
                </c:pt>
                <c:pt idx="25">
                  <c:v>8.9850059583148678E-2</c:v>
                </c:pt>
                <c:pt idx="26">
                  <c:v>8.679584737198788E-2</c:v>
                </c:pt>
                <c:pt idx="27">
                  <c:v>8.3425981832102439E-2</c:v>
                </c:pt>
                <c:pt idx="28">
                  <c:v>7.9667149554644129E-2</c:v>
                </c:pt>
                <c:pt idx="29">
                  <c:v>7.5417670618788291E-2</c:v>
                </c:pt>
                <c:pt idx="30">
                  <c:v>7.5386930328783117E-2</c:v>
                </c:pt>
                <c:pt idx="31">
                  <c:v>7.3898283955263225E-2</c:v>
                </c:pt>
                <c:pt idx="32">
                  <c:v>7.2283748502738707E-2</c:v>
                </c:pt>
                <c:pt idx="33">
                  <c:v>7.0523077726312194E-2</c:v>
                </c:pt>
                <c:pt idx="34">
                  <c:v>6.8591019531614617E-2</c:v>
                </c:pt>
                <c:pt idx="35">
                  <c:v>6.6455574007535115E-2</c:v>
                </c:pt>
                <c:pt idx="36">
                  <c:v>6.6420461743740486E-2</c:v>
                </c:pt>
                <c:pt idx="37">
                  <c:v>6.5421422429914208E-2</c:v>
                </c:pt>
                <c:pt idx="38">
                  <c:v>6.434867737953695E-2</c:v>
                </c:pt>
                <c:pt idx="39">
                  <c:v>6.3192590044721858E-2</c:v>
                </c:pt>
                <c:pt idx="40">
                  <c:v>6.19416574092162E-2</c:v>
                </c:pt>
                <c:pt idx="41">
                  <c:v>6.0582016978741889E-2</c:v>
                </c:pt>
                <c:pt idx="42">
                  <c:v>6.0542118461325421E-2</c:v>
                </c:pt>
                <c:pt idx="43">
                  <c:v>5.9707583624933259E-2</c:v>
                </c:pt>
                <c:pt idx="44">
                  <c:v>5.8812967843017726E-2</c:v>
                </c:pt>
                <c:pt idx="45">
                  <c:v>5.7850866121805483E-2</c:v>
                </c:pt>
                <c:pt idx="46">
                  <c:v>5.6812544505989618E-2</c:v>
                </c:pt>
                <c:pt idx="47">
                  <c:v>5.5687618940609522E-2</c:v>
                </c:pt>
                <c:pt idx="48">
                  <c:v>5.5640603917272442E-2</c:v>
                </c:pt>
                <c:pt idx="49">
                  <c:v>5.4524437829200766E-2</c:v>
                </c:pt>
                <c:pt idx="50">
                  <c:v>5.3292577275529898E-2</c:v>
                </c:pt>
                <c:pt idx="51">
                  <c:v>5.1924454601909101E-2</c:v>
                </c:pt>
                <c:pt idx="52">
                  <c:v>5.0394104590824579E-2</c:v>
                </c:pt>
                <c:pt idx="53">
                  <c:v>4.8668220030087236E-2</c:v>
                </c:pt>
                <c:pt idx="54">
                  <c:v>4.8598359402941632E-2</c:v>
                </c:pt>
                <c:pt idx="55">
                  <c:v>4.806026138049229E-2</c:v>
                </c:pt>
                <c:pt idx="56">
                  <c:v>4.7505075279275277E-2</c:v>
                </c:pt>
                <c:pt idx="57">
                  <c:v>4.693189736910397E-2</c:v>
                </c:pt>
                <c:pt idx="58">
                  <c:v>4.6339756252621746E-2</c:v>
                </c:pt>
                <c:pt idx="59">
                  <c:v>4.572760624704416E-2</c:v>
                </c:pt>
                <c:pt idx="60">
                  <c:v>4.5631354765130777E-2</c:v>
                </c:pt>
                <c:pt idx="61">
                  <c:v>4.5168407630230806E-2</c:v>
                </c:pt>
                <c:pt idx="62">
                  <c:v>4.4696560964278834E-2</c:v>
                </c:pt>
                <c:pt idx="63">
                  <c:v>4.4215523862311354E-2</c:v>
                </c:pt>
                <c:pt idx="64">
                  <c:v>4.3724991893077922E-2</c:v>
                </c:pt>
                <c:pt idx="65">
                  <c:v>4.3224646278215047E-2</c:v>
                </c:pt>
                <c:pt idx="66">
                  <c:v>4.3092776622040987E-2</c:v>
                </c:pt>
                <c:pt idx="67">
                  <c:v>4.2606154319478166E-2</c:v>
                </c:pt>
                <c:pt idx="68">
                  <c:v>4.2113036600095993E-2</c:v>
                </c:pt>
                <c:pt idx="69">
                  <c:v>4.1613268971117855E-2</c:v>
                </c:pt>
                <c:pt idx="70">
                  <c:v>4.11066916211347E-2</c:v>
                </c:pt>
                <c:pt idx="71">
                  <c:v>4.0593139179201397E-2</c:v>
                </c:pt>
                <c:pt idx="72">
                  <c:v>4.0409252640442248E-2</c:v>
                </c:pt>
                <c:pt idx="73">
                  <c:v>3.9835967398041905E-2</c:v>
                </c:pt>
                <c:pt idx="74">
                  <c:v>3.9257581628225874E-2</c:v>
                </c:pt>
                <c:pt idx="75">
                  <c:v>3.8674005544130724E-2</c:v>
                </c:pt>
                <c:pt idx="76">
                  <c:v>3.8085146984282524E-2</c:v>
                </c:pt>
                <c:pt idx="77">
                  <c:v>3.7490911328412126E-2</c:v>
                </c:pt>
                <c:pt idx="78">
                  <c:v>3.7224710909028493E-2</c:v>
                </c:pt>
                <c:pt idx="79">
                  <c:v>3.6469747795563043E-2</c:v>
                </c:pt>
                <c:pt idx="80">
                  <c:v>3.5711476672555323E-2</c:v>
                </c:pt>
                <c:pt idx="81">
                  <c:v>3.4949857543959101E-2</c:v>
                </c:pt>
                <c:pt idx="82">
                  <c:v>3.418484961822621E-2</c:v>
                </c:pt>
                <c:pt idx="83">
                  <c:v>3.341641128617083E-2</c:v>
                </c:pt>
                <c:pt idx="84">
                  <c:v>3.3013333642520674E-2</c:v>
                </c:pt>
                <c:pt idx="85">
                  <c:v>3.1849598659959587E-2</c:v>
                </c:pt>
                <c:pt idx="86">
                  <c:v>3.0688849342890349E-2</c:v>
                </c:pt>
                <c:pt idx="87">
                  <c:v>2.9531099646710718E-2</c:v>
                </c:pt>
                <c:pt idx="88">
                  <c:v>2.8376363696221388E-2</c:v>
                </c:pt>
                <c:pt idx="89">
                  <c:v>2.722465578893556E-2</c:v>
                </c:pt>
                <c:pt idx="90">
                  <c:v>2.656815291105551E-2</c:v>
                </c:pt>
                <c:pt idx="91">
                  <c:v>2.4275132722761286E-2</c:v>
                </c:pt>
                <c:pt idx="92">
                  <c:v>2.2028698708647688E-2</c:v>
                </c:pt>
                <c:pt idx="93">
                  <c:v>1.982825373290972E-2</c:v>
                </c:pt>
                <c:pt idx="94">
                  <c:v>1.7673203771427469E-2</c:v>
                </c:pt>
                <c:pt idx="95">
                  <c:v>1.556295791941702E-2</c:v>
                </c:pt>
                <c:pt idx="96">
                  <c:v>1.4397922171547829E-2</c:v>
                </c:pt>
                <c:pt idx="97">
                  <c:v>7.3251969411100501E-3</c:v>
                </c:pt>
                <c:pt idx="98">
                  <c:v>1.0287054056920767E-3</c:v>
                </c:pt>
                <c:pt idx="99">
                  <c:v>-4.5701317309539361E-3</c:v>
                </c:pt>
                <c:pt idx="100">
                  <c:v>-9.5426215082695543E-3</c:v>
                </c:pt>
                <c:pt idx="101">
                  <c:v>-1.3953407333630296E-2</c:v>
                </c:pt>
                <c:pt idx="102">
                  <c:v>-1.7861032166836814E-2</c:v>
                </c:pt>
                <c:pt idx="103">
                  <c:v>-2.131845923841566E-2</c:v>
                </c:pt>
                <c:pt idx="104">
                  <c:v>-2.4373553109066311E-2</c:v>
                </c:pt>
                <c:pt idx="105">
                  <c:v>-2.7069523718640437E-2</c:v>
                </c:pt>
                <c:pt idx="106">
                  <c:v>-2.9445335921527926E-2</c:v>
                </c:pt>
                <c:pt idx="107">
                  <c:v>-3.15360868610257E-2</c:v>
                </c:pt>
                <c:pt idx="108">
                  <c:v>-3.3373353397855299E-2</c:v>
                </c:pt>
                <c:pt idx="109">
                  <c:v>-4.548575471868848E-2</c:v>
                </c:pt>
              </c:numCache>
            </c:numRef>
          </c:xVal>
          <c:yVal>
            <c:numRef>
              <c:f>'Do-17'!$U$3:$U$112</c:f>
              <c:numCache>
                <c:formatCode>0.00</c:formatCode>
                <c:ptCount val="110"/>
                <c:pt idx="0">
                  <c:v>2</c:v>
                </c:pt>
                <c:pt idx="1">
                  <c:v>1.8623605576124316</c:v>
                </c:pt>
                <c:pt idx="2">
                  <c:v>1.7411416008338432</c:v>
                </c:pt>
                <c:pt idx="3">
                  <c:v>1.6349686386357574</c:v>
                </c:pt>
                <c:pt idx="4">
                  <c:v>1.5424206523916202</c:v>
                </c:pt>
                <c:pt idx="5">
                  <c:v>1.4620931510961137</c:v>
                </c:pt>
                <c:pt idx="6">
                  <c:v>1.4616059968409481</c:v>
                </c:pt>
                <c:pt idx="7">
                  <c:v>1.3292885714977807</c:v>
                </c:pt>
                <c:pt idx="8">
                  <c:v>1.2077797302286495</c:v>
                </c:pt>
                <c:pt idx="9">
                  <c:v>1.1004480699241646</c:v>
                </c:pt>
                <c:pt idx="10">
                  <c:v>1.0080711191014355</c:v>
                </c:pt>
                <c:pt idx="11">
                  <c:v>0.93010723309304444</c:v>
                </c:pt>
                <c:pt idx="12">
                  <c:v>0.93001918678854079</c:v>
                </c:pt>
                <c:pt idx="13">
                  <c:v>0.88418433822909559</c:v>
                </c:pt>
                <c:pt idx="14">
                  <c:v>0.83520508114734771</c:v>
                </c:pt>
                <c:pt idx="15">
                  <c:v>0.78241798923557515</c:v>
                </c:pt>
                <c:pt idx="16">
                  <c:v>0.72467764104559884</c:v>
                </c:pt>
                <c:pt idx="17">
                  <c:v>0.66007237131873908</c:v>
                </c:pt>
                <c:pt idx="18">
                  <c:v>0.66000334397619942</c:v>
                </c:pt>
                <c:pt idx="19">
                  <c:v>0.6396838298476043</c:v>
                </c:pt>
                <c:pt idx="20">
                  <c:v>0.61507528582162674</c:v>
                </c:pt>
                <c:pt idx="21">
                  <c:v>0.58442923933588498</c:v>
                </c:pt>
                <c:pt idx="22">
                  <c:v>0.54482033422274301</c:v>
                </c:pt>
                <c:pt idx="23">
                  <c:v>0.49089755391476753</c:v>
                </c:pt>
                <c:pt idx="24">
                  <c:v>0.49075336506203115</c:v>
                </c:pt>
                <c:pt idx="25">
                  <c:v>0.4750307746458895</c:v>
                </c:pt>
                <c:pt idx="26">
                  <c:v>0.45622777941411935</c:v>
                </c:pt>
                <c:pt idx="27">
                  <c:v>0.43334738086688895</c:v>
                </c:pt>
                <c:pt idx="28">
                  <c:v>0.40491271513804772</c:v>
                </c:pt>
                <c:pt idx="29">
                  <c:v>0.36864001638919297</c:v>
                </c:pt>
                <c:pt idx="30">
                  <c:v>0.36836040959449901</c:v>
                </c:pt>
                <c:pt idx="31">
                  <c:v>0.35439185907597842</c:v>
                </c:pt>
                <c:pt idx="32">
                  <c:v>0.33826014956179989</c:v>
                </c:pt>
                <c:pt idx="33">
                  <c:v>0.31945067958374895</c:v>
                </c:pt>
                <c:pt idx="34">
                  <c:v>0.2972771353170463</c:v>
                </c:pt>
                <c:pt idx="35">
                  <c:v>0.27080499448103035</c:v>
                </c:pt>
                <c:pt idx="36">
                  <c:v>0.27035186996590782</c:v>
                </c:pt>
                <c:pt idx="37">
                  <c:v>0.25713930775141591</c:v>
                </c:pt>
                <c:pt idx="38">
                  <c:v>0.2422462614867264</c:v>
                </c:pt>
                <c:pt idx="39">
                  <c:v>0.22535641981875337</c:v>
                </c:pt>
                <c:pt idx="40">
                  <c:v>0.20607242745924367</c:v>
                </c:pt>
                <c:pt idx="41">
                  <c:v>0.18388894330313826</c:v>
                </c:pt>
                <c:pt idx="42">
                  <c:v>0.18321833372345625</c:v>
                </c:pt>
                <c:pt idx="43">
                  <c:v>0.16887174412397654</c:v>
                </c:pt>
                <c:pt idx="44">
                  <c:v>0.15279974479740932</c:v>
                </c:pt>
                <c:pt idx="45">
                  <c:v>0.13470051302386943</c:v>
                </c:pt>
                <c:pt idx="46">
                  <c:v>0.11420124475105949</c:v>
                </c:pt>
                <c:pt idx="47">
                  <c:v>9.0836724076960987E-2</c:v>
                </c:pt>
                <c:pt idx="48">
                  <c:v>8.9833694127448543E-2</c:v>
                </c:pt>
                <c:pt idx="49">
                  <c:v>6.5285430371854275E-2</c:v>
                </c:pt>
                <c:pt idx="50">
                  <c:v>3.6520333849046016E-2</c:v>
                </c:pt>
                <c:pt idx="51">
                  <c:v>2.4719891190825433E-3</c:v>
                </c:pt>
                <c:pt idx="52">
                  <c:v>-3.8295024613173217E-2</c:v>
                </c:pt>
                <c:pt idx="53">
                  <c:v>-8.7752678842664245E-2</c:v>
                </c:pt>
                <c:pt idx="54">
                  <c:v>-8.9833694127151087E-2</c:v>
                </c:pt>
                <c:pt idx="55">
                  <c:v>-0.10604481610952178</c:v>
                </c:pt>
                <c:pt idx="56">
                  <c:v>-0.12310441177106128</c:v>
                </c:pt>
                <c:pt idx="57">
                  <c:v>-0.14107534325655305</c:v>
                </c:pt>
                <c:pt idx="58">
                  <c:v>-0.1600265548742987</c:v>
                </c:pt>
                <c:pt idx="59">
                  <c:v>-0.18003380536136199</c:v>
                </c:pt>
                <c:pt idx="60">
                  <c:v>-0.18321833372345325</c:v>
                </c:pt>
                <c:pt idx="61">
                  <c:v>-0.19865945798041421</c:v>
                </c:pt>
                <c:pt idx="62">
                  <c:v>-0.21460191894960789</c:v>
                </c:pt>
                <c:pt idx="63">
                  <c:v>-0.23106887067037729</c:v>
                </c:pt>
                <c:pt idx="64">
                  <c:v>-0.24808486267640639</c:v>
                </c:pt>
                <c:pt idx="65">
                  <c:v>-0.26567594429440033</c:v>
                </c:pt>
                <c:pt idx="66">
                  <c:v>-0.27035186996590138</c:v>
                </c:pt>
                <c:pt idx="67">
                  <c:v>-0.28772487385108669</c:v>
                </c:pt>
                <c:pt idx="68">
                  <c:v>-0.30550889297573042</c:v>
                </c:pt>
                <c:pt idx="69">
                  <c:v>-0.32371800317823368</c:v>
                </c:pt>
                <c:pt idx="70">
                  <c:v>-0.34236691448768364</c:v>
                </c:pt>
                <c:pt idx="71">
                  <c:v>-0.36147100669702348</c:v>
                </c:pt>
                <c:pt idx="72">
                  <c:v>-0.36836040959449434</c:v>
                </c:pt>
                <c:pt idx="73">
                  <c:v>-0.38997057859341527</c:v>
                </c:pt>
                <c:pt idx="74">
                  <c:v>-0.41195940210728932</c:v>
                </c:pt>
                <c:pt idx="75">
                  <c:v>-0.43433685085083756</c:v>
                </c:pt>
                <c:pt idx="76">
                  <c:v>-0.45711324745300796</c:v>
                </c:pt>
                <c:pt idx="77">
                  <c:v>-0.48029928208743156</c:v>
                </c:pt>
                <c:pt idx="78">
                  <c:v>-0.49075210650337087</c:v>
                </c:pt>
                <c:pt idx="79">
                  <c:v>-0.52056782654868639</c:v>
                </c:pt>
                <c:pt idx="80">
                  <c:v>-0.55074230159125015</c:v>
                </c:pt>
                <c:pt idx="81">
                  <c:v>-0.58128264069261748</c:v>
                </c:pt>
                <c:pt idx="82">
                  <c:v>-0.61219614996592053</c:v>
                </c:pt>
                <c:pt idx="83">
                  <c:v>-0.64349033961939872</c:v>
                </c:pt>
                <c:pt idx="84">
                  <c:v>-0.66000334397619964</c:v>
                </c:pt>
                <c:pt idx="85">
                  <c:v>-0.70794875889665021</c:v>
                </c:pt>
                <c:pt idx="86">
                  <c:v>-0.75611880524229069</c:v>
                </c:pt>
                <c:pt idx="87">
                  <c:v>-0.80451618644133804</c:v>
                </c:pt>
                <c:pt idx="88">
                  <c:v>-0.85314365859444252</c:v>
                </c:pt>
                <c:pt idx="89">
                  <c:v>-0.9020040318993896</c:v>
                </c:pt>
                <c:pt idx="90">
                  <c:v>-0.93001918678854201</c:v>
                </c:pt>
                <c:pt idx="91">
                  <c:v>-1.0284536010495808</c:v>
                </c:pt>
                <c:pt idx="92">
                  <c:v>-1.1256317988982827</c:v>
                </c:pt>
                <c:pt idx="93">
                  <c:v>-1.2215602817938127</c:v>
                </c:pt>
                <c:pt idx="94">
                  <c:v>-1.3162455675265385</c:v>
                </c:pt>
                <c:pt idx="95">
                  <c:v>-1.4096941903896929</c:v>
                </c:pt>
                <c:pt idx="96">
                  <c:v>-1.4616059968409465</c:v>
                </c:pt>
                <c:pt idx="97">
                  <c:v>-1.7790109069630018</c:v>
                </c:pt>
                <c:pt idx="98">
                  <c:v>-2.0644366833764103</c:v>
                </c:pt>
                <c:pt idx="99">
                  <c:v>-2.3208286631558352</c:v>
                </c:pt>
                <c:pt idx="100">
                  <c:v>-2.5508868882765245</c:v>
                </c:pt>
                <c:pt idx="101">
                  <c:v>-2.7570843283683919</c:v>
                </c:pt>
                <c:pt idx="102">
                  <c:v>-2.9416839168627709</c:v>
                </c:pt>
                <c:pt idx="103">
                  <c:v>-3.1067544666982023</c:v>
                </c:pt>
                <c:pt idx="104">
                  <c:v>-3.2541855286934132</c:v>
                </c:pt>
                <c:pt idx="105">
                  <c:v>-3.3857012527496138</c:v>
                </c:pt>
                <c:pt idx="106">
                  <c:v>-3.502873309205635</c:v>
                </c:pt>
                <c:pt idx="107">
                  <c:v>-3.6071329249381394</c:v>
                </c:pt>
                <c:pt idx="108">
                  <c:v>-3.6997820861690234</c:v>
                </c:pt>
                <c:pt idx="109">
                  <c:v>-4.3672526364269046</c:v>
                </c:pt>
              </c:numCache>
            </c:numRef>
          </c:yVal>
        </c:ser>
        <c:axId val="160977664"/>
        <c:axId val="160979584"/>
      </c:scatterChart>
      <c:valAx>
        <c:axId val="160977664"/>
        <c:scaling>
          <c:orientation val="minMax"/>
          <c:max val="0.5"/>
          <c:min val="-0.5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0979584"/>
        <c:crosses val="autoZero"/>
        <c:crossBetween val="midCat"/>
      </c:valAx>
      <c:valAx>
        <c:axId val="160979584"/>
        <c:scaling>
          <c:orientation val="minMax"/>
          <c:max val="-1.5"/>
          <c:min val="-2.5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0977664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lineMarker"/>
        <c:ser>
          <c:idx val="1"/>
          <c:order val="0"/>
          <c:spPr>
            <a:ln w="2540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</c:spPr>
          </c:marker>
          <c:xVal>
            <c:numRef>
              <c:f>'Do-17'!$T$3:$T$112</c:f>
              <c:numCache>
                <c:formatCode>0.00</c:formatCode>
                <c:ptCount val="110"/>
                <c:pt idx="0">
                  <c:v>4</c:v>
                </c:pt>
                <c:pt idx="1">
                  <c:v>3.2930551005024702</c:v>
                </c:pt>
                <c:pt idx="2">
                  <c:v>2.7175945333194611</c:v>
                </c:pt>
                <c:pt idx="3">
                  <c:v>2.2492549252272553</c:v>
                </c:pt>
                <c:pt idx="4">
                  <c:v>1.8681898075743164</c:v>
                </c:pt>
                <c:pt idx="5">
                  <c:v>1.5582282163853396</c:v>
                </c:pt>
                <c:pt idx="6">
                  <c:v>1.5564082710618012</c:v>
                </c:pt>
                <c:pt idx="7">
                  <c:v>1.1283961571685248</c:v>
                </c:pt>
                <c:pt idx="8">
                  <c:v>0.82475607117333682</c:v>
                </c:pt>
                <c:pt idx="9">
                  <c:v>0.60892132009620492</c:v>
                </c:pt>
                <c:pt idx="10">
                  <c:v>0.45560623594930783</c:v>
                </c:pt>
                <c:pt idx="11">
                  <c:v>0.34710406308132802</c:v>
                </c:pt>
                <c:pt idx="12">
                  <c:v>0.34699188404782344</c:v>
                </c:pt>
                <c:pt idx="13">
                  <c:v>0.29420701444789832</c:v>
                </c:pt>
                <c:pt idx="14">
                  <c:v>0.24806331417752608</c:v>
                </c:pt>
                <c:pt idx="15">
                  <c:v>0.207481010014613</c:v>
                </c:pt>
                <c:pt idx="16">
                  <c:v>0.1716650808193588</c:v>
                </c:pt>
                <c:pt idx="17">
                  <c:v>0.14006322271544297</c:v>
                </c:pt>
                <c:pt idx="18">
                  <c:v>0.14003358492961179</c:v>
                </c:pt>
                <c:pt idx="19">
                  <c:v>0.13185373146705415</c:v>
                </c:pt>
                <c:pt idx="20">
                  <c:v>0.12319818695663096</c:v>
                </c:pt>
                <c:pt idx="21">
                  <c:v>0.11392973687565293</c:v>
                </c:pt>
                <c:pt idx="22">
                  <c:v>0.10385289467073733</c:v>
                </c:pt>
                <c:pt idx="23">
                  <c:v>9.2669957340827974E-2</c:v>
                </c:pt>
                <c:pt idx="24">
                  <c:v>9.2643203545959008E-2</c:v>
                </c:pt>
                <c:pt idx="25">
                  <c:v>8.9850059583148678E-2</c:v>
                </c:pt>
                <c:pt idx="26">
                  <c:v>8.679584737198788E-2</c:v>
                </c:pt>
                <c:pt idx="27">
                  <c:v>8.3425981832102439E-2</c:v>
                </c:pt>
                <c:pt idx="28">
                  <c:v>7.9667149554644129E-2</c:v>
                </c:pt>
                <c:pt idx="29">
                  <c:v>7.5417670618788291E-2</c:v>
                </c:pt>
                <c:pt idx="30">
                  <c:v>7.5386930328783117E-2</c:v>
                </c:pt>
                <c:pt idx="31">
                  <c:v>7.3898283955263225E-2</c:v>
                </c:pt>
                <c:pt idx="32">
                  <c:v>7.2283748502738707E-2</c:v>
                </c:pt>
                <c:pt idx="33">
                  <c:v>7.0523077726312194E-2</c:v>
                </c:pt>
                <c:pt idx="34">
                  <c:v>6.8591019531614617E-2</c:v>
                </c:pt>
                <c:pt idx="35">
                  <c:v>6.6455574007535115E-2</c:v>
                </c:pt>
                <c:pt idx="36">
                  <c:v>6.6420461743740486E-2</c:v>
                </c:pt>
                <c:pt idx="37">
                  <c:v>6.5421422429914208E-2</c:v>
                </c:pt>
                <c:pt idx="38">
                  <c:v>6.434867737953695E-2</c:v>
                </c:pt>
                <c:pt idx="39">
                  <c:v>6.3192590044721858E-2</c:v>
                </c:pt>
                <c:pt idx="40">
                  <c:v>6.19416574092162E-2</c:v>
                </c:pt>
                <c:pt idx="41">
                  <c:v>6.0582016978741889E-2</c:v>
                </c:pt>
                <c:pt idx="42">
                  <c:v>6.0542118461325421E-2</c:v>
                </c:pt>
                <c:pt idx="43">
                  <c:v>5.9707583624933259E-2</c:v>
                </c:pt>
                <c:pt idx="44">
                  <c:v>5.8812967843017726E-2</c:v>
                </c:pt>
                <c:pt idx="45">
                  <c:v>5.7850866121805483E-2</c:v>
                </c:pt>
                <c:pt idx="46">
                  <c:v>5.6812544505989618E-2</c:v>
                </c:pt>
                <c:pt idx="47">
                  <c:v>5.5687618940609522E-2</c:v>
                </c:pt>
                <c:pt idx="48">
                  <c:v>5.5640603917272442E-2</c:v>
                </c:pt>
                <c:pt idx="49">
                  <c:v>5.4524437829200766E-2</c:v>
                </c:pt>
                <c:pt idx="50">
                  <c:v>5.3292577275529898E-2</c:v>
                </c:pt>
                <c:pt idx="51">
                  <c:v>5.1924454601909101E-2</c:v>
                </c:pt>
                <c:pt idx="52">
                  <c:v>5.0394104590824579E-2</c:v>
                </c:pt>
                <c:pt idx="53">
                  <c:v>4.8668220030087236E-2</c:v>
                </c:pt>
                <c:pt idx="54">
                  <c:v>4.8598359402941632E-2</c:v>
                </c:pt>
                <c:pt idx="55">
                  <c:v>4.806026138049229E-2</c:v>
                </c:pt>
                <c:pt idx="56">
                  <c:v>4.7505075279275277E-2</c:v>
                </c:pt>
                <c:pt idx="57">
                  <c:v>4.693189736910397E-2</c:v>
                </c:pt>
                <c:pt idx="58">
                  <c:v>4.6339756252621746E-2</c:v>
                </c:pt>
                <c:pt idx="59">
                  <c:v>4.572760624704416E-2</c:v>
                </c:pt>
                <c:pt idx="60">
                  <c:v>4.5631354765130777E-2</c:v>
                </c:pt>
                <c:pt idx="61">
                  <c:v>4.5168407630230806E-2</c:v>
                </c:pt>
                <c:pt idx="62">
                  <c:v>4.4696560964278834E-2</c:v>
                </c:pt>
                <c:pt idx="63">
                  <c:v>4.4215523862311354E-2</c:v>
                </c:pt>
                <c:pt idx="64">
                  <c:v>4.3724991893077922E-2</c:v>
                </c:pt>
                <c:pt idx="65">
                  <c:v>4.3224646278215047E-2</c:v>
                </c:pt>
                <c:pt idx="66">
                  <c:v>4.3092776622040987E-2</c:v>
                </c:pt>
                <c:pt idx="67">
                  <c:v>4.2606154319478166E-2</c:v>
                </c:pt>
                <c:pt idx="68">
                  <c:v>4.2113036600095993E-2</c:v>
                </c:pt>
                <c:pt idx="69">
                  <c:v>4.1613268971117855E-2</c:v>
                </c:pt>
                <c:pt idx="70">
                  <c:v>4.11066916211347E-2</c:v>
                </c:pt>
                <c:pt idx="71">
                  <c:v>4.0593139179201397E-2</c:v>
                </c:pt>
                <c:pt idx="72">
                  <c:v>4.0409252640442248E-2</c:v>
                </c:pt>
                <c:pt idx="73">
                  <c:v>3.9835967398041905E-2</c:v>
                </c:pt>
                <c:pt idx="74">
                  <c:v>3.9257581628225874E-2</c:v>
                </c:pt>
                <c:pt idx="75">
                  <c:v>3.8674005544130724E-2</c:v>
                </c:pt>
                <c:pt idx="76">
                  <c:v>3.8085146984282524E-2</c:v>
                </c:pt>
                <c:pt idx="77">
                  <c:v>3.7490911328412126E-2</c:v>
                </c:pt>
                <c:pt idx="78">
                  <c:v>3.7224710909028493E-2</c:v>
                </c:pt>
                <c:pt idx="79">
                  <c:v>3.6469747795563043E-2</c:v>
                </c:pt>
                <c:pt idx="80">
                  <c:v>3.5711476672555323E-2</c:v>
                </c:pt>
                <c:pt idx="81">
                  <c:v>3.4949857543959101E-2</c:v>
                </c:pt>
                <c:pt idx="82">
                  <c:v>3.418484961822621E-2</c:v>
                </c:pt>
                <c:pt idx="83">
                  <c:v>3.341641128617083E-2</c:v>
                </c:pt>
                <c:pt idx="84">
                  <c:v>3.3013333642520674E-2</c:v>
                </c:pt>
                <c:pt idx="85">
                  <c:v>3.1849598659959587E-2</c:v>
                </c:pt>
                <c:pt idx="86">
                  <c:v>3.0688849342890349E-2</c:v>
                </c:pt>
                <c:pt idx="87">
                  <c:v>2.9531099646710718E-2</c:v>
                </c:pt>
                <c:pt idx="88">
                  <c:v>2.8376363696221388E-2</c:v>
                </c:pt>
                <c:pt idx="89">
                  <c:v>2.722465578893556E-2</c:v>
                </c:pt>
                <c:pt idx="90">
                  <c:v>2.656815291105551E-2</c:v>
                </c:pt>
                <c:pt idx="91">
                  <c:v>2.4275132722761286E-2</c:v>
                </c:pt>
                <c:pt idx="92">
                  <c:v>2.2028698708647688E-2</c:v>
                </c:pt>
                <c:pt idx="93">
                  <c:v>1.982825373290972E-2</c:v>
                </c:pt>
                <c:pt idx="94">
                  <c:v>1.7673203771427469E-2</c:v>
                </c:pt>
                <c:pt idx="95">
                  <c:v>1.556295791941702E-2</c:v>
                </c:pt>
                <c:pt idx="96">
                  <c:v>1.4397922171547829E-2</c:v>
                </c:pt>
                <c:pt idx="97">
                  <c:v>7.3251969411100501E-3</c:v>
                </c:pt>
                <c:pt idx="98">
                  <c:v>1.0287054056920767E-3</c:v>
                </c:pt>
                <c:pt idx="99">
                  <c:v>-4.5701317309539361E-3</c:v>
                </c:pt>
                <c:pt idx="100">
                  <c:v>-9.5426215082695543E-3</c:v>
                </c:pt>
                <c:pt idx="101">
                  <c:v>-1.3953407333630296E-2</c:v>
                </c:pt>
                <c:pt idx="102">
                  <c:v>-1.7861032166836814E-2</c:v>
                </c:pt>
                <c:pt idx="103">
                  <c:v>-2.131845923841566E-2</c:v>
                </c:pt>
                <c:pt idx="104">
                  <c:v>-2.4373553109066311E-2</c:v>
                </c:pt>
                <c:pt idx="105">
                  <c:v>-2.7069523718640437E-2</c:v>
                </c:pt>
                <c:pt idx="106">
                  <c:v>-2.9445335921527926E-2</c:v>
                </c:pt>
                <c:pt idx="107">
                  <c:v>-3.15360868610257E-2</c:v>
                </c:pt>
                <c:pt idx="108">
                  <c:v>-3.3373353397855299E-2</c:v>
                </c:pt>
                <c:pt idx="109">
                  <c:v>-4.548575471868848E-2</c:v>
                </c:pt>
              </c:numCache>
            </c:numRef>
          </c:xVal>
          <c:yVal>
            <c:numRef>
              <c:f>'Do-17'!$U$3:$U$112</c:f>
              <c:numCache>
                <c:formatCode>0.00</c:formatCode>
                <c:ptCount val="110"/>
                <c:pt idx="0">
                  <c:v>2</c:v>
                </c:pt>
                <c:pt idx="1">
                  <c:v>1.8623605576124316</c:v>
                </c:pt>
                <c:pt idx="2">
                  <c:v>1.7411416008338432</c:v>
                </c:pt>
                <c:pt idx="3">
                  <c:v>1.6349686386357574</c:v>
                </c:pt>
                <c:pt idx="4">
                  <c:v>1.5424206523916202</c:v>
                </c:pt>
                <c:pt idx="5">
                  <c:v>1.4620931510961137</c:v>
                </c:pt>
                <c:pt idx="6">
                  <c:v>1.4616059968409481</c:v>
                </c:pt>
                <c:pt idx="7">
                  <c:v>1.3292885714977807</c:v>
                </c:pt>
                <c:pt idx="8">
                  <c:v>1.2077797302286495</c:v>
                </c:pt>
                <c:pt idx="9">
                  <c:v>1.1004480699241646</c:v>
                </c:pt>
                <c:pt idx="10">
                  <c:v>1.0080711191014355</c:v>
                </c:pt>
                <c:pt idx="11">
                  <c:v>0.93010723309304444</c:v>
                </c:pt>
                <c:pt idx="12">
                  <c:v>0.93001918678854079</c:v>
                </c:pt>
                <c:pt idx="13">
                  <c:v>0.88418433822909559</c:v>
                </c:pt>
                <c:pt idx="14">
                  <c:v>0.83520508114734771</c:v>
                </c:pt>
                <c:pt idx="15">
                  <c:v>0.78241798923557515</c:v>
                </c:pt>
                <c:pt idx="16">
                  <c:v>0.72467764104559884</c:v>
                </c:pt>
                <c:pt idx="17">
                  <c:v>0.66007237131873908</c:v>
                </c:pt>
                <c:pt idx="18">
                  <c:v>0.66000334397619942</c:v>
                </c:pt>
                <c:pt idx="19">
                  <c:v>0.6396838298476043</c:v>
                </c:pt>
                <c:pt idx="20">
                  <c:v>0.61507528582162674</c:v>
                </c:pt>
                <c:pt idx="21">
                  <c:v>0.58442923933588498</c:v>
                </c:pt>
                <c:pt idx="22">
                  <c:v>0.54482033422274301</c:v>
                </c:pt>
                <c:pt idx="23">
                  <c:v>0.49089755391476753</c:v>
                </c:pt>
                <c:pt idx="24">
                  <c:v>0.49075336506203115</c:v>
                </c:pt>
                <c:pt idx="25">
                  <c:v>0.4750307746458895</c:v>
                </c:pt>
                <c:pt idx="26">
                  <c:v>0.45622777941411935</c:v>
                </c:pt>
                <c:pt idx="27">
                  <c:v>0.43334738086688895</c:v>
                </c:pt>
                <c:pt idx="28">
                  <c:v>0.40491271513804772</c:v>
                </c:pt>
                <c:pt idx="29">
                  <c:v>0.36864001638919297</c:v>
                </c:pt>
                <c:pt idx="30">
                  <c:v>0.36836040959449901</c:v>
                </c:pt>
                <c:pt idx="31">
                  <c:v>0.35439185907597842</c:v>
                </c:pt>
                <c:pt idx="32">
                  <c:v>0.33826014956179989</c:v>
                </c:pt>
                <c:pt idx="33">
                  <c:v>0.31945067958374895</c:v>
                </c:pt>
                <c:pt idx="34">
                  <c:v>0.2972771353170463</c:v>
                </c:pt>
                <c:pt idx="35">
                  <c:v>0.27080499448103035</c:v>
                </c:pt>
                <c:pt idx="36">
                  <c:v>0.27035186996590782</c:v>
                </c:pt>
                <c:pt idx="37">
                  <c:v>0.25713930775141591</c:v>
                </c:pt>
                <c:pt idx="38">
                  <c:v>0.2422462614867264</c:v>
                </c:pt>
                <c:pt idx="39">
                  <c:v>0.22535641981875337</c:v>
                </c:pt>
                <c:pt idx="40">
                  <c:v>0.20607242745924367</c:v>
                </c:pt>
                <c:pt idx="41">
                  <c:v>0.18388894330313826</c:v>
                </c:pt>
                <c:pt idx="42">
                  <c:v>0.18321833372345625</c:v>
                </c:pt>
                <c:pt idx="43">
                  <c:v>0.16887174412397654</c:v>
                </c:pt>
                <c:pt idx="44">
                  <c:v>0.15279974479740932</c:v>
                </c:pt>
                <c:pt idx="45">
                  <c:v>0.13470051302386943</c:v>
                </c:pt>
                <c:pt idx="46">
                  <c:v>0.11420124475105949</c:v>
                </c:pt>
                <c:pt idx="47">
                  <c:v>9.0836724076960987E-2</c:v>
                </c:pt>
                <c:pt idx="48">
                  <c:v>8.9833694127448543E-2</c:v>
                </c:pt>
                <c:pt idx="49">
                  <c:v>6.5285430371854275E-2</c:v>
                </c:pt>
                <c:pt idx="50">
                  <c:v>3.6520333849046016E-2</c:v>
                </c:pt>
                <c:pt idx="51">
                  <c:v>2.4719891190825433E-3</c:v>
                </c:pt>
                <c:pt idx="52">
                  <c:v>-3.8295024613173217E-2</c:v>
                </c:pt>
                <c:pt idx="53">
                  <c:v>-8.7752678842664245E-2</c:v>
                </c:pt>
                <c:pt idx="54">
                  <c:v>-8.9833694127151087E-2</c:v>
                </c:pt>
                <c:pt idx="55">
                  <c:v>-0.10604481610952178</c:v>
                </c:pt>
                <c:pt idx="56">
                  <c:v>-0.12310441177106128</c:v>
                </c:pt>
                <c:pt idx="57">
                  <c:v>-0.14107534325655305</c:v>
                </c:pt>
                <c:pt idx="58">
                  <c:v>-0.1600265548742987</c:v>
                </c:pt>
                <c:pt idx="59">
                  <c:v>-0.18003380536136199</c:v>
                </c:pt>
                <c:pt idx="60">
                  <c:v>-0.18321833372345325</c:v>
                </c:pt>
                <c:pt idx="61">
                  <c:v>-0.19865945798041421</c:v>
                </c:pt>
                <c:pt idx="62">
                  <c:v>-0.21460191894960789</c:v>
                </c:pt>
                <c:pt idx="63">
                  <c:v>-0.23106887067037729</c:v>
                </c:pt>
                <c:pt idx="64">
                  <c:v>-0.24808486267640639</c:v>
                </c:pt>
                <c:pt idx="65">
                  <c:v>-0.26567594429440033</c:v>
                </c:pt>
                <c:pt idx="66">
                  <c:v>-0.27035186996590138</c:v>
                </c:pt>
                <c:pt idx="67">
                  <c:v>-0.28772487385108669</c:v>
                </c:pt>
                <c:pt idx="68">
                  <c:v>-0.30550889297573042</c:v>
                </c:pt>
                <c:pt idx="69">
                  <c:v>-0.32371800317823368</c:v>
                </c:pt>
                <c:pt idx="70">
                  <c:v>-0.34236691448768364</c:v>
                </c:pt>
                <c:pt idx="71">
                  <c:v>-0.36147100669702348</c:v>
                </c:pt>
                <c:pt idx="72">
                  <c:v>-0.36836040959449434</c:v>
                </c:pt>
                <c:pt idx="73">
                  <c:v>-0.38997057859341527</c:v>
                </c:pt>
                <c:pt idx="74">
                  <c:v>-0.41195940210728932</c:v>
                </c:pt>
                <c:pt idx="75">
                  <c:v>-0.43433685085083756</c:v>
                </c:pt>
                <c:pt idx="76">
                  <c:v>-0.45711324745300796</c:v>
                </c:pt>
                <c:pt idx="77">
                  <c:v>-0.48029928208743156</c:v>
                </c:pt>
                <c:pt idx="78">
                  <c:v>-0.49075210650337087</c:v>
                </c:pt>
                <c:pt idx="79">
                  <c:v>-0.52056782654868639</c:v>
                </c:pt>
                <c:pt idx="80">
                  <c:v>-0.55074230159125015</c:v>
                </c:pt>
                <c:pt idx="81">
                  <c:v>-0.58128264069261748</c:v>
                </c:pt>
                <c:pt idx="82">
                  <c:v>-0.61219614996592053</c:v>
                </c:pt>
                <c:pt idx="83">
                  <c:v>-0.64349033961939872</c:v>
                </c:pt>
                <c:pt idx="84">
                  <c:v>-0.66000334397619964</c:v>
                </c:pt>
                <c:pt idx="85">
                  <c:v>-0.70794875889665021</c:v>
                </c:pt>
                <c:pt idx="86">
                  <c:v>-0.75611880524229069</c:v>
                </c:pt>
                <c:pt idx="87">
                  <c:v>-0.80451618644133804</c:v>
                </c:pt>
                <c:pt idx="88">
                  <c:v>-0.85314365859444252</c:v>
                </c:pt>
                <c:pt idx="89">
                  <c:v>-0.9020040318993896</c:v>
                </c:pt>
                <c:pt idx="90">
                  <c:v>-0.93001918678854201</c:v>
                </c:pt>
                <c:pt idx="91">
                  <c:v>-1.0284536010495808</c:v>
                </c:pt>
                <c:pt idx="92">
                  <c:v>-1.1256317988982827</c:v>
                </c:pt>
                <c:pt idx="93">
                  <c:v>-1.2215602817938127</c:v>
                </c:pt>
                <c:pt idx="94">
                  <c:v>-1.3162455675265385</c:v>
                </c:pt>
                <c:pt idx="95">
                  <c:v>-1.4096941903896929</c:v>
                </c:pt>
                <c:pt idx="96">
                  <c:v>-1.4616059968409465</c:v>
                </c:pt>
                <c:pt idx="97">
                  <c:v>-1.7790109069630018</c:v>
                </c:pt>
                <c:pt idx="98">
                  <c:v>-2.0644366833764103</c:v>
                </c:pt>
                <c:pt idx="99">
                  <c:v>-2.3208286631558352</c:v>
                </c:pt>
                <c:pt idx="100">
                  <c:v>-2.5508868882765245</c:v>
                </c:pt>
                <c:pt idx="101">
                  <c:v>-2.7570843283683919</c:v>
                </c:pt>
                <c:pt idx="102">
                  <c:v>-2.9416839168627709</c:v>
                </c:pt>
                <c:pt idx="103">
                  <c:v>-3.1067544666982023</c:v>
                </c:pt>
                <c:pt idx="104">
                  <c:v>-3.2541855286934132</c:v>
                </c:pt>
                <c:pt idx="105">
                  <c:v>-3.3857012527496138</c:v>
                </c:pt>
                <c:pt idx="106">
                  <c:v>-3.502873309205635</c:v>
                </c:pt>
                <c:pt idx="107">
                  <c:v>-3.6071329249381394</c:v>
                </c:pt>
                <c:pt idx="108">
                  <c:v>-3.6997820861690234</c:v>
                </c:pt>
                <c:pt idx="109">
                  <c:v>-4.3672526364269046</c:v>
                </c:pt>
              </c:numCache>
            </c:numRef>
          </c:yVal>
        </c:ser>
        <c:axId val="159720576"/>
        <c:axId val="159722496"/>
      </c:scatterChart>
      <c:valAx>
        <c:axId val="159720576"/>
        <c:scaling>
          <c:orientation val="minMax"/>
          <c:max val="2.5"/>
          <c:min val="-2.5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59722496"/>
        <c:crosses val="autoZero"/>
        <c:crossBetween val="midCat"/>
      </c:valAx>
      <c:valAx>
        <c:axId val="159722496"/>
        <c:scaling>
          <c:orientation val="minMax"/>
          <c:max val="2.5"/>
          <c:min val="-2.5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59720576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>
        <c:manualLayout>
          <c:layoutTarget val="inner"/>
          <c:xMode val="edge"/>
          <c:yMode val="edge"/>
          <c:x val="4.8015755785327387E-2"/>
          <c:y val="1.6959745368134705E-2"/>
          <c:w val="0.88728705071392933"/>
          <c:h val="0.94106924419020521"/>
        </c:manualLayout>
      </c:layout>
      <c:scatterChart>
        <c:scatterStyle val="lineMarker"/>
        <c:ser>
          <c:idx val="1"/>
          <c:order val="0"/>
          <c:spPr>
            <a:ln w="2540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</c:spPr>
          </c:marker>
          <c:dPt>
            <c:idx val="10"/>
            <c:marker>
              <c:spPr>
                <a:solidFill>
                  <a:srgbClr val="FF0000"/>
                </a:solidFill>
                <a:ln>
                  <a:solidFill>
                    <a:schemeClr val="accent1"/>
                  </a:solidFill>
                </a:ln>
              </c:spPr>
            </c:marker>
          </c:dPt>
          <c:xVal>
            <c:numRef>
              <c:f>'Up-1'!$T$3:$T$23</c:f>
              <c:numCache>
                <c:formatCode>0.00</c:formatCode>
                <c:ptCount val="21"/>
                <c:pt idx="0">
                  <c:v>1.9999999999999998</c:v>
                </c:pt>
                <c:pt idx="1">
                  <c:v>0.93390225183595366</c:v>
                </c:pt>
                <c:pt idx="2">
                  <c:v>0.55668444848760767</c:v>
                </c:pt>
                <c:pt idx="3">
                  <c:v>0.38424937869091913</c:v>
                </c:pt>
                <c:pt idx="4">
                  <c:v>0.29176030585199109</c:v>
                </c:pt>
                <c:pt idx="5">
                  <c:v>0.23633491465295076</c:v>
                </c:pt>
                <c:pt idx="6">
                  <c:v>0.20026624479726229</c:v>
                </c:pt>
                <c:pt idx="7">
                  <c:v>0.17523103863995937</c:v>
                </c:pt>
                <c:pt idx="8">
                  <c:v>0.15691865725334253</c:v>
                </c:pt>
                <c:pt idx="9">
                  <c:v>0.14292074675441846</c:v>
                </c:pt>
                <c:pt idx="10">
                  <c:v>0.13180625200625995</c:v>
                </c:pt>
                <c:pt idx="11">
                  <c:v>0.12064384049187304</c:v>
                </c:pt>
                <c:pt idx="12">
                  <c:v>0.11149986024782188</c:v>
                </c:pt>
                <c:pt idx="13">
                  <c:v>0.10367935754613344</c:v>
                </c:pt>
                <c:pt idx="14">
                  <c:v>9.6711332910320413E-2</c:v>
                </c:pt>
                <c:pt idx="15">
                  <c:v>9.0245489641216148E-2</c:v>
                </c:pt>
                <c:pt idx="16">
                  <c:v>8.3984004282430247E-2</c:v>
                </c:pt>
                <c:pt idx="17">
                  <c:v>7.7617864461175357E-2</c:v>
                </c:pt>
                <c:pt idx="18">
                  <c:v>7.0721527099487203E-2</c:v>
                </c:pt>
                <c:pt idx="19">
                  <c:v>6.2413423381173061E-2</c:v>
                </c:pt>
                <c:pt idx="20">
                  <c:v>4.560215965492409E-2</c:v>
                </c:pt>
              </c:numCache>
            </c:numRef>
          </c:xVal>
          <c:yVal>
            <c:numRef>
              <c:f>'Up-1'!$U$3:$U$23</c:f>
              <c:numCache>
                <c:formatCode>0.00</c:formatCode>
                <c:ptCount val="21"/>
                <c:pt idx="0">
                  <c:v>-2</c:v>
                </c:pt>
                <c:pt idx="1">
                  <c:v>0.82810689668325166</c:v>
                </c:pt>
                <c:pt idx="2">
                  <c:v>1.5348568191179806</c:v>
                </c:pt>
                <c:pt idx="3">
                  <c:v>1.7771436586918643</c:v>
                </c:pt>
                <c:pt idx="4">
                  <c:v>1.8772184429219503</c:v>
                </c:pt>
                <c:pt idx="5">
                  <c:v>1.9236873050025909</c:v>
                </c:pt>
                <c:pt idx="6">
                  <c:v>1.9468546592973803</c:v>
                </c:pt>
                <c:pt idx="7">
                  <c:v>1.9587744517562782</c:v>
                </c:pt>
                <c:pt idx="8">
                  <c:v>1.9648002911827596</c:v>
                </c:pt>
                <c:pt idx="9">
                  <c:v>1.9675144386094181</c:v>
                </c:pt>
                <c:pt idx="10">
                  <c:v>1.9682401618762233</c:v>
                </c:pt>
                <c:pt idx="11">
                  <c:v>1.9673924262684297</c:v>
                </c:pt>
                <c:pt idx="12">
                  <c:v>1.965214775024247</c:v>
                </c:pt>
                <c:pt idx="13">
                  <c:v>1.9619838347855727</c:v>
                </c:pt>
                <c:pt idx="14">
                  <c:v>1.9577136344613328</c:v>
                </c:pt>
                <c:pt idx="15">
                  <c:v>1.9521794471646721</c:v>
                </c:pt>
                <c:pt idx="16">
                  <c:v>1.9448139513794853</c:v>
                </c:pt>
                <c:pt idx="17">
                  <c:v>1.9343323345342118</c:v>
                </c:pt>
                <c:pt idx="18">
                  <c:v>1.9173671092138362</c:v>
                </c:pt>
                <c:pt idx="19">
                  <c:v>1.8807761191464496</c:v>
                </c:pt>
                <c:pt idx="20">
                  <c:v>-1.3555768054320982</c:v>
                </c:pt>
              </c:numCache>
            </c:numRef>
          </c:yVal>
        </c:ser>
        <c:axId val="161533312"/>
        <c:axId val="161539200"/>
      </c:scatterChart>
      <c:valAx>
        <c:axId val="161533312"/>
        <c:scaling>
          <c:orientation val="minMax"/>
          <c:max val="0.5"/>
          <c:min val="-0.5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1539200"/>
        <c:crosses val="autoZero"/>
        <c:crossBetween val="midCat"/>
      </c:valAx>
      <c:valAx>
        <c:axId val="161539200"/>
        <c:scaling>
          <c:orientation val="minMax"/>
          <c:max val="2.5"/>
          <c:min val="1.5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1533312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lineMarker"/>
        <c:ser>
          <c:idx val="1"/>
          <c:order val="0"/>
          <c:spPr>
            <a:ln w="2540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</c:spPr>
          </c:marker>
          <c:xVal>
            <c:numRef>
              <c:f>'Up-1'!$T$3:$T$23</c:f>
              <c:numCache>
                <c:formatCode>0.00</c:formatCode>
                <c:ptCount val="21"/>
                <c:pt idx="0">
                  <c:v>1.9999999999999998</c:v>
                </c:pt>
                <c:pt idx="1">
                  <c:v>0.93390225183595366</c:v>
                </c:pt>
                <c:pt idx="2">
                  <c:v>0.55668444848760767</c:v>
                </c:pt>
                <c:pt idx="3">
                  <c:v>0.38424937869091913</c:v>
                </c:pt>
                <c:pt idx="4">
                  <c:v>0.29176030585199109</c:v>
                </c:pt>
                <c:pt idx="5">
                  <c:v>0.23633491465295076</c:v>
                </c:pt>
                <c:pt idx="6">
                  <c:v>0.20026624479726229</c:v>
                </c:pt>
                <c:pt idx="7">
                  <c:v>0.17523103863995937</c:v>
                </c:pt>
                <c:pt idx="8">
                  <c:v>0.15691865725334253</c:v>
                </c:pt>
                <c:pt idx="9">
                  <c:v>0.14292074675441846</c:v>
                </c:pt>
                <c:pt idx="10">
                  <c:v>0.13180625200625995</c:v>
                </c:pt>
                <c:pt idx="11">
                  <c:v>0.12064384049187304</c:v>
                </c:pt>
                <c:pt idx="12">
                  <c:v>0.11149986024782188</c:v>
                </c:pt>
                <c:pt idx="13">
                  <c:v>0.10367935754613344</c:v>
                </c:pt>
                <c:pt idx="14">
                  <c:v>9.6711332910320413E-2</c:v>
                </c:pt>
                <c:pt idx="15">
                  <c:v>9.0245489641216148E-2</c:v>
                </c:pt>
                <c:pt idx="16">
                  <c:v>8.3984004282430247E-2</c:v>
                </c:pt>
                <c:pt idx="17">
                  <c:v>7.7617864461175357E-2</c:v>
                </c:pt>
                <c:pt idx="18">
                  <c:v>7.0721527099487203E-2</c:v>
                </c:pt>
                <c:pt idx="19">
                  <c:v>6.2413423381173061E-2</c:v>
                </c:pt>
                <c:pt idx="20">
                  <c:v>4.560215965492409E-2</c:v>
                </c:pt>
              </c:numCache>
            </c:numRef>
          </c:xVal>
          <c:yVal>
            <c:numRef>
              <c:f>'Up-1'!$U$3:$U$23</c:f>
              <c:numCache>
                <c:formatCode>0.00</c:formatCode>
                <c:ptCount val="21"/>
                <c:pt idx="0">
                  <c:v>-2</c:v>
                </c:pt>
                <c:pt idx="1">
                  <c:v>0.82810689668325166</c:v>
                </c:pt>
                <c:pt idx="2">
                  <c:v>1.5348568191179806</c:v>
                </c:pt>
                <c:pt idx="3">
                  <c:v>1.7771436586918643</c:v>
                </c:pt>
                <c:pt idx="4">
                  <c:v>1.8772184429219503</c:v>
                </c:pt>
                <c:pt idx="5">
                  <c:v>1.9236873050025909</c:v>
                </c:pt>
                <c:pt idx="6">
                  <c:v>1.9468546592973803</c:v>
                </c:pt>
                <c:pt idx="7">
                  <c:v>1.9587744517562782</c:v>
                </c:pt>
                <c:pt idx="8">
                  <c:v>1.9648002911827596</c:v>
                </c:pt>
                <c:pt idx="9">
                  <c:v>1.9675144386094181</c:v>
                </c:pt>
                <c:pt idx="10">
                  <c:v>1.9682401618762233</c:v>
                </c:pt>
                <c:pt idx="11">
                  <c:v>1.9673924262684297</c:v>
                </c:pt>
                <c:pt idx="12">
                  <c:v>1.965214775024247</c:v>
                </c:pt>
                <c:pt idx="13">
                  <c:v>1.9619838347855727</c:v>
                </c:pt>
                <c:pt idx="14">
                  <c:v>1.9577136344613328</c:v>
                </c:pt>
                <c:pt idx="15">
                  <c:v>1.9521794471646721</c:v>
                </c:pt>
                <c:pt idx="16">
                  <c:v>1.9448139513794853</c:v>
                </c:pt>
                <c:pt idx="17">
                  <c:v>1.9343323345342118</c:v>
                </c:pt>
                <c:pt idx="18">
                  <c:v>1.9173671092138362</c:v>
                </c:pt>
                <c:pt idx="19">
                  <c:v>1.8807761191464496</c:v>
                </c:pt>
                <c:pt idx="20">
                  <c:v>-1.3555768054320982</c:v>
                </c:pt>
              </c:numCache>
            </c:numRef>
          </c:yVal>
        </c:ser>
        <c:axId val="160902528"/>
        <c:axId val="160904704"/>
      </c:scatterChart>
      <c:valAx>
        <c:axId val="160902528"/>
        <c:scaling>
          <c:orientation val="minMax"/>
          <c:max val="2.5"/>
          <c:min val="-2.5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0904704"/>
        <c:crosses val="autoZero"/>
        <c:crossBetween val="midCat"/>
      </c:valAx>
      <c:valAx>
        <c:axId val="160904704"/>
        <c:scaling>
          <c:orientation val="minMax"/>
          <c:max val="2.5"/>
          <c:min val="-2.5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0902528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>
        <c:manualLayout>
          <c:layoutTarget val="inner"/>
          <c:xMode val="edge"/>
          <c:yMode val="edge"/>
          <c:x val="4.8015755785327387E-2"/>
          <c:y val="1.6959745368134705E-2"/>
          <c:w val="0.88728705071392955"/>
          <c:h val="0.94106924419020521"/>
        </c:manualLayout>
      </c:layout>
      <c:scatterChart>
        <c:scatterStyle val="lineMarker"/>
        <c:ser>
          <c:idx val="1"/>
          <c:order val="0"/>
          <c:spPr>
            <a:ln w="2540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</c:spPr>
          </c:marker>
          <c:xVal>
            <c:numRef>
              <c:f>'Up-3'!$T$3:$T$35</c:f>
              <c:numCache>
                <c:formatCode>0.00</c:formatCode>
                <c:ptCount val="33"/>
                <c:pt idx="0">
                  <c:v>2</c:v>
                </c:pt>
                <c:pt idx="1">
                  <c:v>1.8906028283817609</c:v>
                </c:pt>
                <c:pt idx="2">
                  <c:v>1.7858354851529761</c:v>
                </c:pt>
                <c:pt idx="3">
                  <c:v>1.6854903714833163</c:v>
                </c:pt>
                <c:pt idx="4">
                  <c:v>1.5893697190967866</c:v>
                </c:pt>
                <c:pt idx="5">
                  <c:v>1.4972851001031284</c:v>
                </c:pt>
                <c:pt idx="6">
                  <c:v>1.4868726131993859</c:v>
                </c:pt>
                <c:pt idx="7">
                  <c:v>1.3733410197008877</c:v>
                </c:pt>
                <c:pt idx="8">
                  <c:v>1.2882988396210591</c:v>
                </c:pt>
                <c:pt idx="9">
                  <c:v>1.2223085500368651</c:v>
                </c:pt>
                <c:pt idx="10">
                  <c:v>1.1696294079601728</c:v>
                </c:pt>
                <c:pt idx="11">
                  <c:v>1.1265827691047376</c:v>
                </c:pt>
                <c:pt idx="12">
                  <c:v>1.1264977994691221</c:v>
                </c:pt>
                <c:pt idx="13">
                  <c:v>0.56682802866357263</c:v>
                </c:pt>
                <c:pt idx="14">
                  <c:v>0.29725058999110698</c:v>
                </c:pt>
                <c:pt idx="15" formatCode="0.000">
                  <c:v>0.1635200656604161</c:v>
                </c:pt>
                <c:pt idx="16" formatCode="0.000">
                  <c:v>9.537224713169401E-2</c:v>
                </c:pt>
                <c:pt idx="17">
                  <c:v>5.9779555258425487E-2</c:v>
                </c:pt>
                <c:pt idx="18">
                  <c:v>4.07651219490337E-2</c:v>
                </c:pt>
                <c:pt idx="19">
                  <c:v>3.0393610805445004E-2</c:v>
                </c:pt>
                <c:pt idx="20">
                  <c:v>2.462672249661968E-2</c:v>
                </c:pt>
                <c:pt idx="21">
                  <c:v>2.1362667373308941E-2</c:v>
                </c:pt>
                <c:pt idx="22">
                  <c:v>1.9484532639240104E-2</c:v>
                </c:pt>
                <c:pt idx="23">
                  <c:v>1.8387197057951221E-2</c:v>
                </c:pt>
                <c:pt idx="24">
                  <c:v>1.7736869308924597E-2</c:v>
                </c:pt>
                <c:pt idx="25">
                  <c:v>1.7346313913266354E-2</c:v>
                </c:pt>
                <c:pt idx="26">
                  <c:v>1.710884659803602E-2</c:v>
                </c:pt>
                <c:pt idx="27">
                  <c:v>1.6962783372105772E-2</c:v>
                </c:pt>
                <c:pt idx="28">
                  <c:v>1.6871966432813412E-2</c:v>
                </c:pt>
                <c:pt idx="29">
                  <c:v>1.6814926396431895E-2</c:v>
                </c:pt>
                <c:pt idx="30">
                  <c:v>1.6778760440384177E-2</c:v>
                </c:pt>
                <c:pt idx="31">
                  <c:v>1.6755625549719211E-2</c:v>
                </c:pt>
                <c:pt idx="32">
                  <c:v>1.671251976130228E-2</c:v>
                </c:pt>
              </c:numCache>
            </c:numRef>
          </c:xVal>
          <c:yVal>
            <c:numRef>
              <c:f>'Up-3'!$U$3:$U$35</c:f>
              <c:numCache>
                <c:formatCode>0.00</c:formatCode>
                <c:ptCount val="33"/>
                <c:pt idx="0">
                  <c:v>-2</c:v>
                </c:pt>
                <c:pt idx="1">
                  <c:v>-1.6624906876015897</c:v>
                </c:pt>
                <c:pt idx="2">
                  <c:v>-1.340214158580405</c:v>
                </c:pt>
                <c:pt idx="3">
                  <c:v>-1.0324450080554795</c:v>
                </c:pt>
                <c:pt idx="4">
                  <c:v>-0.73849418014500645</c:v>
                </c:pt>
                <c:pt idx="5">
                  <c:v>-0.45770705629445185</c:v>
                </c:pt>
                <c:pt idx="6">
                  <c:v>-0.4260089169496617</c:v>
                </c:pt>
                <c:pt idx="7">
                  <c:v>-0.10380220369942855</c:v>
                </c:pt>
                <c:pt idx="8">
                  <c:v>0.10604948689384741</c:v>
                </c:pt>
                <c:pt idx="9">
                  <c:v>0.24947221398858432</c:v>
                </c:pt>
                <c:pt idx="10">
                  <c:v>0.35130358808768891</c:v>
                </c:pt>
                <c:pt idx="11">
                  <c:v>0.42586959877572017</c:v>
                </c:pt>
                <c:pt idx="12">
                  <c:v>0.42600891691731457</c:v>
                </c:pt>
                <c:pt idx="13">
                  <c:v>1.3206808305519333</c:v>
                </c:pt>
                <c:pt idx="14">
                  <c:v>1.7276824630896499</c:v>
                </c:pt>
                <c:pt idx="15" formatCode="0.000">
                  <c:v>1.9186109561090325</c:v>
                </c:pt>
                <c:pt idx="16" formatCode="0.000">
                  <c:v>2.0107151785389119</c:v>
                </c:pt>
                <c:pt idx="17">
                  <c:v>2.0562932421476616</c:v>
                </c:pt>
                <c:pt idx="18">
                  <c:v>2.0793794226190219</c:v>
                </c:pt>
                <c:pt idx="19">
                  <c:v>2.0913253900406001</c:v>
                </c:pt>
                <c:pt idx="20">
                  <c:v>2.0976291909957601</c:v>
                </c:pt>
                <c:pt idx="21">
                  <c:v>2.1010161330459587</c:v>
                </c:pt>
                <c:pt idx="22">
                  <c:v>2.1028663051806369</c:v>
                </c:pt>
                <c:pt idx="23">
                  <c:v>2.1038925347312722</c:v>
                </c:pt>
                <c:pt idx="24">
                  <c:v>2.1044698062801337</c:v>
                </c:pt>
                <c:pt idx="25">
                  <c:v>2.1047987594296043</c:v>
                </c:pt>
                <c:pt idx="26">
                  <c:v>2.1049884541261434</c:v>
                </c:pt>
                <c:pt idx="27">
                  <c:v>2.1050990455409608</c:v>
                </c:pt>
                <c:pt idx="28">
                  <c:v>2.1051641685954672</c:v>
                </c:pt>
                <c:pt idx="29">
                  <c:v>2.1052028691477851</c:v>
                </c:pt>
                <c:pt idx="30">
                  <c:v>2.1052260594466135</c:v>
                </c:pt>
                <c:pt idx="31">
                  <c:v>2.1052400602137267</c:v>
                </c:pt>
                <c:pt idx="32">
                  <c:v>2.105262058779938</c:v>
                </c:pt>
              </c:numCache>
            </c:numRef>
          </c:yVal>
        </c:ser>
        <c:axId val="160918912"/>
        <c:axId val="161441280"/>
      </c:scatterChart>
      <c:valAx>
        <c:axId val="160918912"/>
        <c:scaling>
          <c:orientation val="minMax"/>
          <c:max val="0.5"/>
          <c:min val="-0.5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1441280"/>
        <c:crosses val="autoZero"/>
        <c:crossBetween val="midCat"/>
      </c:valAx>
      <c:valAx>
        <c:axId val="161441280"/>
        <c:scaling>
          <c:orientation val="minMax"/>
          <c:max val="2.5"/>
          <c:min val="1.5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0918912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Stufengrün!$C$83</c:f>
              <c:strCache>
                <c:ptCount val="1"/>
                <c:pt idx="0">
                  <c:v>Zref</c:v>
                </c:pt>
              </c:strCache>
            </c:strRef>
          </c:tx>
          <c:marker>
            <c:symbol val="none"/>
          </c:marker>
          <c:xVal>
            <c:numRef>
              <c:f>Stufengrün!$B$84:$B$114</c:f>
              <c:numCache>
                <c:formatCode>General</c:formatCode>
                <c:ptCount val="31"/>
                <c:pt idx="0">
                  <c:v>-3</c:v>
                </c:pt>
                <c:pt idx="1">
                  <c:v>-2.8</c:v>
                </c:pt>
                <c:pt idx="2">
                  <c:v>-2.5999999999999996</c:v>
                </c:pt>
                <c:pt idx="3">
                  <c:v>-2.3999999999999995</c:v>
                </c:pt>
                <c:pt idx="4">
                  <c:v>-2.1999999999999993</c:v>
                </c:pt>
                <c:pt idx="5">
                  <c:v>-1.9999999999999993</c:v>
                </c:pt>
                <c:pt idx="6">
                  <c:v>-1.7999999999999994</c:v>
                </c:pt>
                <c:pt idx="7">
                  <c:v>-1.5999999999999994</c:v>
                </c:pt>
                <c:pt idx="8">
                  <c:v>-1.3999999999999995</c:v>
                </c:pt>
                <c:pt idx="9">
                  <c:v>-1.1999999999999995</c:v>
                </c:pt>
                <c:pt idx="10">
                  <c:v>-0.99999999999999956</c:v>
                </c:pt>
                <c:pt idx="11">
                  <c:v>-0.7999999999999996</c:v>
                </c:pt>
                <c:pt idx="12">
                  <c:v>-0.59999999999999964</c:v>
                </c:pt>
                <c:pt idx="13">
                  <c:v>-0.39999999999999963</c:v>
                </c:pt>
                <c:pt idx="14">
                  <c:v>-0.19999999999999962</c:v>
                </c:pt>
                <c:pt idx="15">
                  <c:v>3.8857805861880479E-16</c:v>
                </c:pt>
                <c:pt idx="16">
                  <c:v>0.19999999999999962</c:v>
                </c:pt>
                <c:pt idx="17">
                  <c:v>0.39999999999999963</c:v>
                </c:pt>
                <c:pt idx="18">
                  <c:v>0.59999999999999964</c:v>
                </c:pt>
                <c:pt idx="19">
                  <c:v>0.7999999999999996</c:v>
                </c:pt>
                <c:pt idx="20">
                  <c:v>0.99999999999999956</c:v>
                </c:pt>
                <c:pt idx="21">
                  <c:v>1.1999999999999995</c:v>
                </c:pt>
                <c:pt idx="22">
                  <c:v>1.3999999999999995</c:v>
                </c:pt>
                <c:pt idx="23">
                  <c:v>1.5999999999999994</c:v>
                </c:pt>
                <c:pt idx="24">
                  <c:v>1.7999999999999994</c:v>
                </c:pt>
                <c:pt idx="25">
                  <c:v>1.9999999999999993</c:v>
                </c:pt>
                <c:pt idx="26">
                  <c:v>2.1999999999999993</c:v>
                </c:pt>
                <c:pt idx="27">
                  <c:v>2.3999999999999995</c:v>
                </c:pt>
                <c:pt idx="28">
                  <c:v>2.5999999999999996</c:v>
                </c:pt>
                <c:pt idx="29">
                  <c:v>2.8</c:v>
                </c:pt>
                <c:pt idx="30">
                  <c:v>3</c:v>
                </c:pt>
              </c:numCache>
            </c:numRef>
          </c:xVal>
          <c:yVal>
            <c:numRef>
              <c:f>Stufengrün!$C$84:$C$114</c:f>
              <c:numCache>
                <c:formatCode>General</c:formatCode>
                <c:ptCount val="31"/>
                <c:pt idx="0">
                  <c:v>-0.18591068500908908</c:v>
                </c:pt>
                <c:pt idx="1">
                  <c:v>-0.18491338983458047</c:v>
                </c:pt>
                <c:pt idx="2">
                  <c:v>-0.18376497881486484</c:v>
                </c:pt>
                <c:pt idx="3">
                  <c:v>-0.18242852732675899</c:v>
                </c:pt>
                <c:pt idx="4">
                  <c:v>-0.18085411514630198</c:v>
                </c:pt>
                <c:pt idx="5">
                  <c:v>-0.17897261731549863</c:v>
                </c:pt>
                <c:pt idx="6">
                  <c:v>-0.17668560663926314</c:v>
                </c:pt>
                <c:pt idx="7">
                  <c:v>-0.17384824681773189</c:v>
                </c:pt>
                <c:pt idx="8">
                  <c:v>-0.1702388938805531</c:v>
                </c:pt>
                <c:pt idx="9">
                  <c:v>-0.16550197556276833</c:v>
                </c:pt>
                <c:pt idx="10">
                  <c:v>-0.15903344706017328</c:v>
                </c:pt>
                <c:pt idx="11">
                  <c:v>-0.149733633448799</c:v>
                </c:pt>
                <c:pt idx="12">
                  <c:v>-0.13543421311316189</c:v>
                </c:pt>
                <c:pt idx="13">
                  <c:v>-0.11154317535052173</c:v>
                </c:pt>
                <c:pt idx="14">
                  <c:v>-6.8808347849052154E-2</c:v>
                </c:pt>
                <c:pt idx="15">
                  <c:v>1.4842588513496412E-16</c:v>
                </c:pt>
                <c:pt idx="16">
                  <c:v>6.8808347849052154E-2</c:v>
                </c:pt>
                <c:pt idx="17">
                  <c:v>0.11154317535052173</c:v>
                </c:pt>
                <c:pt idx="18">
                  <c:v>0.13543421311316189</c:v>
                </c:pt>
                <c:pt idx="19">
                  <c:v>0.149733633448799</c:v>
                </c:pt>
                <c:pt idx="20">
                  <c:v>0.15903344706017328</c:v>
                </c:pt>
                <c:pt idx="21">
                  <c:v>0.16550197556276833</c:v>
                </c:pt>
                <c:pt idx="22">
                  <c:v>0.1702388938805531</c:v>
                </c:pt>
                <c:pt idx="23">
                  <c:v>0.17384824681773189</c:v>
                </c:pt>
                <c:pt idx="24">
                  <c:v>0.17668560663926314</c:v>
                </c:pt>
                <c:pt idx="25">
                  <c:v>0.17897261731549863</c:v>
                </c:pt>
                <c:pt idx="26">
                  <c:v>0.18085411514630198</c:v>
                </c:pt>
                <c:pt idx="27">
                  <c:v>0.18242852732675899</c:v>
                </c:pt>
                <c:pt idx="28">
                  <c:v>0.18376497881486484</c:v>
                </c:pt>
                <c:pt idx="29">
                  <c:v>0.18491338983458047</c:v>
                </c:pt>
                <c:pt idx="30">
                  <c:v>0.18591068500908908</c:v>
                </c:pt>
              </c:numCache>
            </c:numRef>
          </c:yVal>
          <c:smooth val="1"/>
        </c:ser>
        <c:ser>
          <c:idx val="1"/>
          <c:order val="1"/>
          <c:tx>
            <c:v>#3 G-1</c:v>
          </c:tx>
          <c:marker>
            <c:symbol val="none"/>
          </c:marker>
          <c:xVal>
            <c:numRef>
              <c:f>Stufengrün!$H$84:$H$85</c:f>
              <c:numCache>
                <c:formatCode>0.000</c:formatCode>
                <c:ptCount val="2"/>
                <c:pt idx="0" formatCode="General">
                  <c:v>-2</c:v>
                </c:pt>
                <c:pt idx="1">
                  <c:v>-0.42600891691731474</c:v>
                </c:pt>
              </c:numCache>
            </c:numRef>
          </c:xVal>
          <c:yVal>
            <c:numRef>
              <c:f>Stufengrün!$I$84:$I$85</c:f>
              <c:numCache>
                <c:formatCode>General</c:formatCode>
                <c:ptCount val="2"/>
                <c:pt idx="0">
                  <c:v>-0.17897261731549866</c:v>
                </c:pt>
                <c:pt idx="1">
                  <c:v>-0.16272341982867644</c:v>
                </c:pt>
              </c:numCache>
            </c:numRef>
          </c:yVal>
          <c:smooth val="1"/>
        </c:ser>
        <c:ser>
          <c:idx val="2"/>
          <c:order val="2"/>
          <c:tx>
            <c:v>#3 G0</c:v>
          </c:tx>
          <c:marker>
            <c:symbol val="none"/>
          </c:marker>
          <c:xVal>
            <c:numRef>
              <c:f>Stufengrün!$H$85:$H$86</c:f>
              <c:numCache>
                <c:formatCode>0.000</c:formatCode>
                <c:ptCount val="2"/>
                <c:pt idx="0">
                  <c:v>-0.42600891691731474</c:v>
                </c:pt>
                <c:pt idx="1">
                  <c:v>0.42600891691731474</c:v>
                </c:pt>
              </c:numCache>
            </c:numRef>
          </c:xVal>
          <c:yVal>
            <c:numRef>
              <c:f>Stufengrün!$J$85:$J$86</c:f>
              <c:numCache>
                <c:formatCode>General</c:formatCode>
                <c:ptCount val="2"/>
                <c:pt idx="0">
                  <c:v>-0.16272341982867647</c:v>
                </c:pt>
                <c:pt idx="1">
                  <c:v>0.16272341982867647</c:v>
                </c:pt>
              </c:numCache>
            </c:numRef>
          </c:yVal>
          <c:smooth val="1"/>
        </c:ser>
        <c:ser>
          <c:idx val="3"/>
          <c:order val="3"/>
          <c:tx>
            <c:v>#3 G+1</c:v>
          </c:tx>
          <c:marker>
            <c:symbol val="none"/>
          </c:marker>
          <c:xVal>
            <c:numRef>
              <c:f>Stufengrün!$H$86:$H$87</c:f>
              <c:numCache>
                <c:formatCode>General</c:formatCode>
                <c:ptCount val="2"/>
                <c:pt idx="0" formatCode="0.000">
                  <c:v>0.42600891691731474</c:v>
                </c:pt>
                <c:pt idx="1">
                  <c:v>2</c:v>
                </c:pt>
              </c:numCache>
            </c:numRef>
          </c:xVal>
          <c:yVal>
            <c:numRef>
              <c:f>Stufengrün!$K$86:$K$87</c:f>
              <c:numCache>
                <c:formatCode>General</c:formatCode>
                <c:ptCount val="2"/>
                <c:pt idx="0">
                  <c:v>0.16272341982867644</c:v>
                </c:pt>
                <c:pt idx="1">
                  <c:v>0.17897261731549866</c:v>
                </c:pt>
              </c:numCache>
            </c:numRef>
          </c:yVal>
          <c:smooth val="1"/>
        </c:ser>
        <c:axId val="158737536"/>
        <c:axId val="158739072"/>
      </c:scatterChart>
      <c:valAx>
        <c:axId val="158737536"/>
        <c:scaling>
          <c:orientation val="minMax"/>
        </c:scaling>
        <c:axPos val="b"/>
        <c:minorGridlines/>
        <c:numFmt formatCode="General" sourceLinked="1"/>
        <c:tickLblPos val="nextTo"/>
        <c:crossAx val="158739072"/>
        <c:crosses val="autoZero"/>
        <c:crossBetween val="midCat"/>
      </c:valAx>
      <c:valAx>
        <c:axId val="158739072"/>
        <c:scaling>
          <c:orientation val="minMax"/>
        </c:scaling>
        <c:axPos val="l"/>
        <c:majorGridlines/>
        <c:numFmt formatCode="General" sourceLinked="1"/>
        <c:tickLblPos val="nextTo"/>
        <c:crossAx val="15873753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lineMarker"/>
        <c:ser>
          <c:idx val="1"/>
          <c:order val="0"/>
          <c:spPr>
            <a:ln w="2540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</c:spPr>
          </c:marker>
          <c:xVal>
            <c:numRef>
              <c:f>'Up-3'!$T$3:$T$35</c:f>
              <c:numCache>
                <c:formatCode>0.00</c:formatCode>
                <c:ptCount val="33"/>
                <c:pt idx="0">
                  <c:v>2</c:v>
                </c:pt>
                <c:pt idx="1">
                  <c:v>1.8906028283817609</c:v>
                </c:pt>
                <c:pt idx="2">
                  <c:v>1.7858354851529761</c:v>
                </c:pt>
                <c:pt idx="3">
                  <c:v>1.6854903714833163</c:v>
                </c:pt>
                <c:pt idx="4">
                  <c:v>1.5893697190967866</c:v>
                </c:pt>
                <c:pt idx="5">
                  <c:v>1.4972851001031284</c:v>
                </c:pt>
                <c:pt idx="6">
                  <c:v>1.4868726131993859</c:v>
                </c:pt>
                <c:pt idx="7">
                  <c:v>1.3733410197008877</c:v>
                </c:pt>
                <c:pt idx="8">
                  <c:v>1.2882988396210591</c:v>
                </c:pt>
                <c:pt idx="9">
                  <c:v>1.2223085500368651</c:v>
                </c:pt>
                <c:pt idx="10">
                  <c:v>1.1696294079601728</c:v>
                </c:pt>
                <c:pt idx="11">
                  <c:v>1.1265827691047376</c:v>
                </c:pt>
                <c:pt idx="12">
                  <c:v>1.1264977994691221</c:v>
                </c:pt>
                <c:pt idx="13">
                  <c:v>0.56682802866357263</c:v>
                </c:pt>
                <c:pt idx="14">
                  <c:v>0.29725058999110698</c:v>
                </c:pt>
                <c:pt idx="15" formatCode="0.000">
                  <c:v>0.1635200656604161</c:v>
                </c:pt>
                <c:pt idx="16" formatCode="0.000">
                  <c:v>9.537224713169401E-2</c:v>
                </c:pt>
                <c:pt idx="17">
                  <c:v>5.9779555258425487E-2</c:v>
                </c:pt>
                <c:pt idx="18">
                  <c:v>4.07651219490337E-2</c:v>
                </c:pt>
                <c:pt idx="19">
                  <c:v>3.0393610805445004E-2</c:v>
                </c:pt>
                <c:pt idx="20">
                  <c:v>2.462672249661968E-2</c:v>
                </c:pt>
                <c:pt idx="21">
                  <c:v>2.1362667373308941E-2</c:v>
                </c:pt>
                <c:pt idx="22">
                  <c:v>1.9484532639240104E-2</c:v>
                </c:pt>
                <c:pt idx="23">
                  <c:v>1.8387197057951221E-2</c:v>
                </c:pt>
                <c:pt idx="24">
                  <c:v>1.7736869308924597E-2</c:v>
                </c:pt>
                <c:pt idx="25">
                  <c:v>1.7346313913266354E-2</c:v>
                </c:pt>
                <c:pt idx="26">
                  <c:v>1.710884659803602E-2</c:v>
                </c:pt>
                <c:pt idx="27">
                  <c:v>1.6962783372105772E-2</c:v>
                </c:pt>
                <c:pt idx="28">
                  <c:v>1.6871966432813412E-2</c:v>
                </c:pt>
                <c:pt idx="29">
                  <c:v>1.6814926396431895E-2</c:v>
                </c:pt>
                <c:pt idx="30">
                  <c:v>1.6778760440384177E-2</c:v>
                </c:pt>
                <c:pt idx="31">
                  <c:v>1.6755625549719211E-2</c:v>
                </c:pt>
                <c:pt idx="32">
                  <c:v>1.671251976130228E-2</c:v>
                </c:pt>
              </c:numCache>
            </c:numRef>
          </c:xVal>
          <c:yVal>
            <c:numRef>
              <c:f>'Up-3'!$U$3:$U$35</c:f>
              <c:numCache>
                <c:formatCode>0.00</c:formatCode>
                <c:ptCount val="33"/>
                <c:pt idx="0">
                  <c:v>-2</c:v>
                </c:pt>
                <c:pt idx="1">
                  <c:v>-1.6624906876015897</c:v>
                </c:pt>
                <c:pt idx="2">
                  <c:v>-1.340214158580405</c:v>
                </c:pt>
                <c:pt idx="3">
                  <c:v>-1.0324450080554795</c:v>
                </c:pt>
                <c:pt idx="4">
                  <c:v>-0.73849418014500645</c:v>
                </c:pt>
                <c:pt idx="5">
                  <c:v>-0.45770705629445185</c:v>
                </c:pt>
                <c:pt idx="6">
                  <c:v>-0.4260089169496617</c:v>
                </c:pt>
                <c:pt idx="7">
                  <c:v>-0.10380220369942855</c:v>
                </c:pt>
                <c:pt idx="8">
                  <c:v>0.10604948689384741</c:v>
                </c:pt>
                <c:pt idx="9">
                  <c:v>0.24947221398858432</c:v>
                </c:pt>
                <c:pt idx="10">
                  <c:v>0.35130358808768891</c:v>
                </c:pt>
                <c:pt idx="11">
                  <c:v>0.42586959877572017</c:v>
                </c:pt>
                <c:pt idx="12">
                  <c:v>0.42600891691731457</c:v>
                </c:pt>
                <c:pt idx="13">
                  <c:v>1.3206808305519333</c:v>
                </c:pt>
                <c:pt idx="14">
                  <c:v>1.7276824630896499</c:v>
                </c:pt>
                <c:pt idx="15" formatCode="0.000">
                  <c:v>1.9186109561090325</c:v>
                </c:pt>
                <c:pt idx="16" formatCode="0.000">
                  <c:v>2.0107151785389119</c:v>
                </c:pt>
                <c:pt idx="17">
                  <c:v>2.0562932421476616</c:v>
                </c:pt>
                <c:pt idx="18">
                  <c:v>2.0793794226190219</c:v>
                </c:pt>
                <c:pt idx="19">
                  <c:v>2.0913253900406001</c:v>
                </c:pt>
                <c:pt idx="20">
                  <c:v>2.0976291909957601</c:v>
                </c:pt>
                <c:pt idx="21">
                  <c:v>2.1010161330459587</c:v>
                </c:pt>
                <c:pt idx="22">
                  <c:v>2.1028663051806369</c:v>
                </c:pt>
                <c:pt idx="23">
                  <c:v>2.1038925347312722</c:v>
                </c:pt>
                <c:pt idx="24">
                  <c:v>2.1044698062801337</c:v>
                </c:pt>
                <c:pt idx="25">
                  <c:v>2.1047987594296043</c:v>
                </c:pt>
                <c:pt idx="26">
                  <c:v>2.1049884541261434</c:v>
                </c:pt>
                <c:pt idx="27">
                  <c:v>2.1050990455409608</c:v>
                </c:pt>
                <c:pt idx="28">
                  <c:v>2.1051641685954672</c:v>
                </c:pt>
                <c:pt idx="29">
                  <c:v>2.1052028691477851</c:v>
                </c:pt>
                <c:pt idx="30">
                  <c:v>2.1052260594466135</c:v>
                </c:pt>
                <c:pt idx="31">
                  <c:v>2.1052400602137267</c:v>
                </c:pt>
                <c:pt idx="32">
                  <c:v>2.105262058779938</c:v>
                </c:pt>
              </c:numCache>
            </c:numRef>
          </c:yVal>
        </c:ser>
        <c:axId val="161468416"/>
        <c:axId val="161470336"/>
      </c:scatterChart>
      <c:valAx>
        <c:axId val="161468416"/>
        <c:scaling>
          <c:orientation val="minMax"/>
          <c:max val="2.5"/>
          <c:min val="-2.5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1470336"/>
        <c:crosses val="autoZero"/>
        <c:crossBetween val="midCat"/>
      </c:valAx>
      <c:valAx>
        <c:axId val="161470336"/>
        <c:scaling>
          <c:orientation val="minMax"/>
          <c:max val="2.5"/>
          <c:min val="-2.5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1468416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>
        <c:manualLayout>
          <c:layoutTarget val="inner"/>
          <c:xMode val="edge"/>
          <c:yMode val="edge"/>
          <c:x val="4.8015755785327387E-2"/>
          <c:y val="1.6959745368134705E-2"/>
          <c:w val="0.88728705071392933"/>
          <c:h val="0.94106924419020521"/>
        </c:manualLayout>
      </c:layout>
      <c:scatterChart>
        <c:scatterStyle val="lineMarker"/>
        <c:ser>
          <c:idx val="1"/>
          <c:order val="0"/>
          <c:spPr>
            <a:ln w="2540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</c:spPr>
          </c:marker>
          <c:xVal>
            <c:numRef>
              <c:f>'Up-5'!$T$3:$T$40</c:f>
              <c:numCache>
                <c:formatCode>0.000</c:formatCode>
                <c:ptCount val="38"/>
                <c:pt idx="0">
                  <c:v>2</c:v>
                </c:pt>
                <c:pt idx="1">
                  <c:v>1.9174823305876159</c:v>
                </c:pt>
                <c:pt idx="2">
                  <c:v>1.8376005653195149</c:v>
                </c:pt>
                <c:pt idx="3">
                  <c:v>1.7602654360040502</c:v>
                </c:pt>
                <c:pt idx="4">
                  <c:v>1.6853908692224548</c:v>
                </c:pt>
                <c:pt idx="5">
                  <c:v>1.6128938658585648</c:v>
                </c:pt>
                <c:pt idx="6">
                  <c:v>1.6019091012609112</c:v>
                </c:pt>
                <c:pt idx="7">
                  <c:v>1.5607707438028171</c:v>
                </c:pt>
                <c:pt idx="8">
                  <c:v>1.521586116671539</c:v>
                </c:pt>
                <c:pt idx="9">
                  <c:v>1.4842314069494495</c:v>
                </c:pt>
                <c:pt idx="10">
                  <c:v>1.4485924974505662</c:v>
                </c:pt>
                <c:pt idx="11">
                  <c:v>1.4145640677948421</c:v>
                </c:pt>
                <c:pt idx="12">
                  <c:v>1.4139469995889142</c:v>
                </c:pt>
                <c:pt idx="13">
                  <c:v>1.3672710551693492</c:v>
                </c:pt>
                <c:pt idx="14">
                  <c:v>1.3262863198996224</c:v>
                </c:pt>
                <c:pt idx="15">
                  <c:v>1.2900248304586448</c:v>
                </c:pt>
                <c:pt idx="16">
                  <c:v>1.2577223038311245</c:v>
                </c:pt>
                <c:pt idx="17">
                  <c:v>1.2287678223433154</c:v>
                </c:pt>
                <c:pt idx="18">
                  <c:v>1.2286362868335408</c:v>
                </c:pt>
                <c:pt idx="19">
                  <c:v>1.1500312923427531</c:v>
                </c:pt>
                <c:pt idx="20">
                  <c:v>1.0824278807599728</c:v>
                </c:pt>
                <c:pt idx="21">
                  <c:v>1.0238054808028945</c:v>
                </c:pt>
                <c:pt idx="22">
                  <c:v>0.97258945719264367</c:v>
                </c:pt>
                <c:pt idx="23">
                  <c:v>0.92753771536217633</c:v>
                </c:pt>
                <c:pt idx="24">
                  <c:v>0.92736876652016931</c:v>
                </c:pt>
                <c:pt idx="25">
                  <c:v>0.4929812114418074</c:v>
                </c:pt>
                <c:pt idx="26">
                  <c:v>0.27618054584885199</c:v>
                </c:pt>
                <c:pt idx="27">
                  <c:v>0.16507784956579419</c:v>
                </c:pt>
                <c:pt idx="28">
                  <c:v>0.10674587480613773</c:v>
                </c:pt>
                <c:pt idx="29">
                  <c:v>7.5430780647394724E-2</c:v>
                </c:pt>
                <c:pt idx="30">
                  <c:v>5.8271232265841966E-2</c:v>
                </c:pt>
                <c:pt idx="31">
                  <c:v>4.8688638182613264E-2</c:v>
                </c:pt>
                <c:pt idx="32">
                  <c:v>4.3242680283582247E-2</c:v>
                </c:pt>
                <c:pt idx="33">
                  <c:v>4.0096903820881935E-2</c:v>
                </c:pt>
                <c:pt idx="34">
                  <c:v>3.825212574858261E-2</c:v>
                </c:pt>
                <c:pt idx="35">
                  <c:v>3.7154968932377352E-2</c:v>
                </c:pt>
                <c:pt idx="36">
                  <c:v>3.6493838759302455E-2</c:v>
                </c:pt>
                <c:pt idx="37">
                  <c:v>3.5411545031216018E-2</c:v>
                </c:pt>
              </c:numCache>
            </c:numRef>
          </c:xVal>
          <c:yVal>
            <c:numRef>
              <c:f>'Up-5'!$U$3:$U$40</c:f>
              <c:numCache>
                <c:formatCode>0.000</c:formatCode>
                <c:ptCount val="38"/>
                <c:pt idx="0">
                  <c:v>-2</c:v>
                </c:pt>
                <c:pt idx="1">
                  <c:v>-1.7453262723979892</c:v>
                </c:pt>
                <c:pt idx="2">
                  <c:v>-1.4993312777323351</c:v>
                </c:pt>
                <c:pt idx="3">
                  <c:v>-1.2617027553848446</c:v>
                </c:pt>
                <c:pt idx="4">
                  <c:v>-1.0321402743364572</c:v>
                </c:pt>
                <c:pt idx="5">
                  <c:v>-0.81035476250148997</c:v>
                </c:pt>
                <c:pt idx="6">
                  <c:v>-0.77679246643887212</c:v>
                </c:pt>
                <c:pt idx="7">
                  <c:v>-0.65224493722252042</c:v>
                </c:pt>
                <c:pt idx="8">
                  <c:v>-0.53572410978369067</c:v>
                </c:pt>
                <c:pt idx="9">
                  <c:v>-0.42659440927466508</c:v>
                </c:pt>
                <c:pt idx="10">
                  <c:v>-0.32427973867055543</c:v>
                </c:pt>
                <c:pt idx="11">
                  <c:v>-0.2282570815172783</c:v>
                </c:pt>
                <c:pt idx="12">
                  <c:v>-0.22653102238502199</c:v>
                </c:pt>
                <c:pt idx="13">
                  <c:v>-0.10003546072086233</c:v>
                </c:pt>
                <c:pt idx="14">
                  <c:v>4.2751743889698768E-3</c:v>
                </c:pt>
                <c:pt idx="15">
                  <c:v>9.1186998926789109E-2</c:v>
                </c:pt>
                <c:pt idx="16">
                  <c:v>0.16427655716051826</c:v>
                </c:pt>
                <c:pt idx="17">
                  <c:v>0.22625716770363591</c:v>
                </c:pt>
                <c:pt idx="18">
                  <c:v>0.2265310223850226</c:v>
                </c:pt>
                <c:pt idx="19">
                  <c:v>0.38521910303957096</c:v>
                </c:pt>
                <c:pt idx="20">
                  <c:v>0.51350906045722522</c:v>
                </c:pt>
                <c:pt idx="21">
                  <c:v>0.61830107557023029</c:v>
                </c:pt>
                <c:pt idx="22">
                  <c:v>0.70469844386253722</c:v>
                </c:pt>
                <c:pt idx="23">
                  <c:v>0.77653066127159742</c:v>
                </c:pt>
                <c:pt idx="24">
                  <c:v>0.77679246641748767</c:v>
                </c:pt>
                <c:pt idx="25">
                  <c:v>1.433503965717474</c:v>
                </c:pt>
                <c:pt idx="26">
                  <c:v>1.7436099468647217</c:v>
                </c:pt>
                <c:pt idx="27">
                  <c:v>1.8941249713712915</c:v>
                </c:pt>
                <c:pt idx="28">
                  <c:v>1.9690356045467969</c:v>
                </c:pt>
                <c:pt idx="29">
                  <c:v>2.0071839692094255</c:v>
                </c:pt>
                <c:pt idx="30">
                  <c:v>2.0270243441015605</c:v>
                </c:pt>
                <c:pt idx="31">
                  <c:v>2.0375444768862061</c:v>
                </c:pt>
                <c:pt idx="32">
                  <c:v>2.0432227608740243</c:v>
                </c:pt>
                <c:pt idx="33">
                  <c:v>2.0463382469177711</c:v>
                </c:pt>
                <c:pt idx="34">
                  <c:v>2.0480736012487495</c:v>
                </c:pt>
                <c:pt idx="35">
                  <c:v>2.049053746048767</c:v>
                </c:pt>
                <c:pt idx="36">
                  <c:v>2.0496144801716607</c:v>
                </c:pt>
                <c:pt idx="37">
                  <c:v>2.0504117303408798</c:v>
                </c:pt>
              </c:numCache>
            </c:numRef>
          </c:yVal>
        </c:ser>
        <c:axId val="161972992"/>
        <c:axId val="161974912"/>
      </c:scatterChart>
      <c:valAx>
        <c:axId val="161972992"/>
        <c:scaling>
          <c:orientation val="minMax"/>
          <c:max val="0.5"/>
          <c:min val="-0.5"/>
        </c:scaling>
        <c:axPos val="b"/>
        <c:majorGridlines/>
        <c:numFmt formatCode="0.0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1974912"/>
        <c:crosses val="autoZero"/>
        <c:crossBetween val="midCat"/>
      </c:valAx>
      <c:valAx>
        <c:axId val="161974912"/>
        <c:scaling>
          <c:orientation val="minMax"/>
          <c:max val="2.5"/>
          <c:min val="1.5"/>
        </c:scaling>
        <c:axPos val="l"/>
        <c:majorGridlines/>
        <c:numFmt formatCode="0.0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1972992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lineMarker"/>
        <c:ser>
          <c:idx val="1"/>
          <c:order val="0"/>
          <c:spPr>
            <a:ln w="2540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</c:spPr>
          </c:marker>
          <c:xVal>
            <c:numRef>
              <c:f>'Up-5'!$T$3:$T$40</c:f>
              <c:numCache>
                <c:formatCode>0.000</c:formatCode>
                <c:ptCount val="38"/>
                <c:pt idx="0">
                  <c:v>2</c:v>
                </c:pt>
                <c:pt idx="1">
                  <c:v>1.9174823305876159</c:v>
                </c:pt>
                <c:pt idx="2">
                  <c:v>1.8376005653195149</c:v>
                </c:pt>
                <c:pt idx="3">
                  <c:v>1.7602654360040502</c:v>
                </c:pt>
                <c:pt idx="4">
                  <c:v>1.6853908692224548</c:v>
                </c:pt>
                <c:pt idx="5">
                  <c:v>1.6128938658585648</c:v>
                </c:pt>
                <c:pt idx="6">
                  <c:v>1.6019091012609112</c:v>
                </c:pt>
                <c:pt idx="7">
                  <c:v>1.5607707438028171</c:v>
                </c:pt>
                <c:pt idx="8">
                  <c:v>1.521586116671539</c:v>
                </c:pt>
                <c:pt idx="9">
                  <c:v>1.4842314069494495</c:v>
                </c:pt>
                <c:pt idx="10">
                  <c:v>1.4485924974505662</c:v>
                </c:pt>
                <c:pt idx="11">
                  <c:v>1.4145640677948421</c:v>
                </c:pt>
                <c:pt idx="12">
                  <c:v>1.4139469995889142</c:v>
                </c:pt>
                <c:pt idx="13">
                  <c:v>1.3672710551693492</c:v>
                </c:pt>
                <c:pt idx="14">
                  <c:v>1.3262863198996224</c:v>
                </c:pt>
                <c:pt idx="15">
                  <c:v>1.2900248304586448</c:v>
                </c:pt>
                <c:pt idx="16">
                  <c:v>1.2577223038311245</c:v>
                </c:pt>
                <c:pt idx="17">
                  <c:v>1.2287678223433154</c:v>
                </c:pt>
                <c:pt idx="18">
                  <c:v>1.2286362868335408</c:v>
                </c:pt>
                <c:pt idx="19">
                  <c:v>1.1500312923427531</c:v>
                </c:pt>
                <c:pt idx="20">
                  <c:v>1.0824278807599728</c:v>
                </c:pt>
                <c:pt idx="21">
                  <c:v>1.0238054808028945</c:v>
                </c:pt>
                <c:pt idx="22">
                  <c:v>0.97258945719264367</c:v>
                </c:pt>
                <c:pt idx="23">
                  <c:v>0.92753771536217633</c:v>
                </c:pt>
                <c:pt idx="24">
                  <c:v>0.92736876652016931</c:v>
                </c:pt>
                <c:pt idx="25">
                  <c:v>0.4929812114418074</c:v>
                </c:pt>
                <c:pt idx="26">
                  <c:v>0.27618054584885199</c:v>
                </c:pt>
                <c:pt idx="27">
                  <c:v>0.16507784956579419</c:v>
                </c:pt>
                <c:pt idx="28">
                  <c:v>0.10674587480613773</c:v>
                </c:pt>
                <c:pt idx="29">
                  <c:v>7.5430780647394724E-2</c:v>
                </c:pt>
                <c:pt idx="30">
                  <c:v>5.8271232265841966E-2</c:v>
                </c:pt>
                <c:pt idx="31">
                  <c:v>4.8688638182613264E-2</c:v>
                </c:pt>
                <c:pt idx="32">
                  <c:v>4.3242680283582247E-2</c:v>
                </c:pt>
                <c:pt idx="33">
                  <c:v>4.0096903820881935E-2</c:v>
                </c:pt>
                <c:pt idx="34">
                  <c:v>3.825212574858261E-2</c:v>
                </c:pt>
                <c:pt idx="35">
                  <c:v>3.7154968932377352E-2</c:v>
                </c:pt>
                <c:pt idx="36">
                  <c:v>3.6493838759302455E-2</c:v>
                </c:pt>
                <c:pt idx="37">
                  <c:v>3.5411545031216018E-2</c:v>
                </c:pt>
              </c:numCache>
            </c:numRef>
          </c:xVal>
          <c:yVal>
            <c:numRef>
              <c:f>'Up-5'!$U$3:$U$40</c:f>
              <c:numCache>
                <c:formatCode>0.000</c:formatCode>
                <c:ptCount val="38"/>
                <c:pt idx="0">
                  <c:v>-2</c:v>
                </c:pt>
                <c:pt idx="1">
                  <c:v>-1.7453262723979892</c:v>
                </c:pt>
                <c:pt idx="2">
                  <c:v>-1.4993312777323351</c:v>
                </c:pt>
                <c:pt idx="3">
                  <c:v>-1.2617027553848446</c:v>
                </c:pt>
                <c:pt idx="4">
                  <c:v>-1.0321402743364572</c:v>
                </c:pt>
                <c:pt idx="5">
                  <c:v>-0.81035476250148997</c:v>
                </c:pt>
                <c:pt idx="6">
                  <c:v>-0.77679246643887212</c:v>
                </c:pt>
                <c:pt idx="7">
                  <c:v>-0.65224493722252042</c:v>
                </c:pt>
                <c:pt idx="8">
                  <c:v>-0.53572410978369067</c:v>
                </c:pt>
                <c:pt idx="9">
                  <c:v>-0.42659440927466508</c:v>
                </c:pt>
                <c:pt idx="10">
                  <c:v>-0.32427973867055543</c:v>
                </c:pt>
                <c:pt idx="11">
                  <c:v>-0.2282570815172783</c:v>
                </c:pt>
                <c:pt idx="12">
                  <c:v>-0.22653102238502199</c:v>
                </c:pt>
                <c:pt idx="13">
                  <c:v>-0.10003546072086233</c:v>
                </c:pt>
                <c:pt idx="14">
                  <c:v>4.2751743889698768E-3</c:v>
                </c:pt>
                <c:pt idx="15">
                  <c:v>9.1186998926789109E-2</c:v>
                </c:pt>
                <c:pt idx="16">
                  <c:v>0.16427655716051826</c:v>
                </c:pt>
                <c:pt idx="17">
                  <c:v>0.22625716770363591</c:v>
                </c:pt>
                <c:pt idx="18">
                  <c:v>0.2265310223850226</c:v>
                </c:pt>
                <c:pt idx="19">
                  <c:v>0.38521910303957096</c:v>
                </c:pt>
                <c:pt idx="20">
                  <c:v>0.51350906045722522</c:v>
                </c:pt>
                <c:pt idx="21">
                  <c:v>0.61830107557023029</c:v>
                </c:pt>
                <c:pt idx="22">
                  <c:v>0.70469844386253722</c:v>
                </c:pt>
                <c:pt idx="23">
                  <c:v>0.77653066127159742</c:v>
                </c:pt>
                <c:pt idx="24">
                  <c:v>0.77679246641748767</c:v>
                </c:pt>
                <c:pt idx="25">
                  <c:v>1.433503965717474</c:v>
                </c:pt>
                <c:pt idx="26">
                  <c:v>1.7436099468647217</c:v>
                </c:pt>
                <c:pt idx="27">
                  <c:v>1.8941249713712915</c:v>
                </c:pt>
                <c:pt idx="28">
                  <c:v>1.9690356045467969</c:v>
                </c:pt>
                <c:pt idx="29">
                  <c:v>2.0071839692094255</c:v>
                </c:pt>
                <c:pt idx="30">
                  <c:v>2.0270243441015605</c:v>
                </c:pt>
                <c:pt idx="31">
                  <c:v>2.0375444768862061</c:v>
                </c:pt>
                <c:pt idx="32">
                  <c:v>2.0432227608740243</c:v>
                </c:pt>
                <c:pt idx="33">
                  <c:v>2.0463382469177711</c:v>
                </c:pt>
                <c:pt idx="34">
                  <c:v>2.0480736012487495</c:v>
                </c:pt>
                <c:pt idx="35">
                  <c:v>2.049053746048767</c:v>
                </c:pt>
                <c:pt idx="36">
                  <c:v>2.0496144801716607</c:v>
                </c:pt>
                <c:pt idx="37">
                  <c:v>2.0504117303408798</c:v>
                </c:pt>
              </c:numCache>
            </c:numRef>
          </c:yVal>
        </c:ser>
        <c:axId val="161744000"/>
        <c:axId val="161745920"/>
      </c:scatterChart>
      <c:valAx>
        <c:axId val="161744000"/>
        <c:scaling>
          <c:orientation val="minMax"/>
          <c:max val="2.5"/>
          <c:min val="-2.5"/>
        </c:scaling>
        <c:axPos val="b"/>
        <c:majorGridlines/>
        <c:numFmt formatCode="0.0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1745920"/>
        <c:crosses val="autoZero"/>
        <c:crossBetween val="midCat"/>
      </c:valAx>
      <c:valAx>
        <c:axId val="161745920"/>
        <c:scaling>
          <c:orientation val="minMax"/>
          <c:max val="2.5"/>
          <c:min val="-2.5"/>
        </c:scaling>
        <c:axPos val="l"/>
        <c:majorGridlines/>
        <c:numFmt formatCode="0.0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1744000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>
        <c:manualLayout>
          <c:layoutTarget val="inner"/>
          <c:xMode val="edge"/>
          <c:yMode val="edge"/>
          <c:x val="4.8015755785327387E-2"/>
          <c:y val="1.6959745368134705E-2"/>
          <c:w val="0.8872870507139291"/>
          <c:h val="0.94106924419020521"/>
        </c:manualLayout>
      </c:layout>
      <c:scatterChart>
        <c:scatterStyle val="lineMarker"/>
        <c:ser>
          <c:idx val="1"/>
          <c:order val="0"/>
          <c:spPr>
            <a:ln w="2540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</c:spPr>
          </c:marker>
          <c:xVal>
            <c:numRef>
              <c:f>'Up-9'!$T$3:$T$64</c:f>
              <c:numCache>
                <c:formatCode>0.00</c:formatCode>
                <c:ptCount val="62"/>
                <c:pt idx="0">
                  <c:v>2</c:v>
                </c:pt>
                <c:pt idx="1">
                  <c:v>1.9442560901573596</c:v>
                </c:pt>
                <c:pt idx="2">
                  <c:v>1.8897158635732021</c:v>
                </c:pt>
                <c:pt idx="3">
                  <c:v>1.8363517466286656</c:v>
                </c:pt>
                <c:pt idx="4">
                  <c:v>1.7841368336394536</c:v>
                </c:pt>
                <c:pt idx="5">
                  <c:v>1.7330448697967633</c:v>
                </c:pt>
                <c:pt idx="6">
                  <c:v>1.7214633740953527</c:v>
                </c:pt>
                <c:pt idx="7">
                  <c:v>1.6815472143125405</c:v>
                </c:pt>
                <c:pt idx="8">
                  <c:v>1.6427125222624841</c:v>
                </c:pt>
                <c:pt idx="9">
                  <c:v>1.6049233659496303</c:v>
                </c:pt>
                <c:pt idx="10">
                  <c:v>1.568145223248534</c:v>
                </c:pt>
                <c:pt idx="11">
                  <c:v>1.53234491823495</c:v>
                </c:pt>
                <c:pt idx="12">
                  <c:v>1.5305925880836462</c:v>
                </c:pt>
                <c:pt idx="13">
                  <c:v>1.5127381437006631</c:v>
                </c:pt>
                <c:pt idx="14">
                  <c:v>1.495276135433707</c:v>
                </c:pt>
                <c:pt idx="15">
                  <c:v>1.4781949441573621</c:v>
                </c:pt>
                <c:pt idx="16">
                  <c:v>1.4614833795159501</c:v>
                </c:pt>
                <c:pt idx="17">
                  <c:v>1.4451306610341177</c:v>
                </c:pt>
                <c:pt idx="18">
                  <c:v>1.4444865414945027</c:v>
                </c:pt>
                <c:pt idx="19">
                  <c:v>1.4309715196288273</c:v>
                </c:pt>
                <c:pt idx="20">
                  <c:v>1.4178206502238615</c:v>
                </c:pt>
                <c:pt idx="21">
                  <c:v>1.4050200588244874</c:v>
                </c:pt>
                <c:pt idx="22">
                  <c:v>1.3925565437174607</c:v>
                </c:pt>
                <c:pt idx="23">
                  <c:v>1.3804175364927087</c:v>
                </c:pt>
                <c:pt idx="24">
                  <c:v>1.3801026470519462</c:v>
                </c:pt>
                <c:pt idx="25">
                  <c:v>1.3540796063478884</c:v>
                </c:pt>
                <c:pt idx="26">
                  <c:v>1.3299609697612109</c:v>
                </c:pt>
                <c:pt idx="27">
                  <c:v>1.3075479230431737</c:v>
                </c:pt>
                <c:pt idx="28">
                  <c:v>1.2866678230983111</c:v>
                </c:pt>
                <c:pt idx="29">
                  <c:v>1.267170082087322</c:v>
                </c:pt>
                <c:pt idx="30">
                  <c:v>1.26701807806861</c:v>
                </c:pt>
                <c:pt idx="31">
                  <c:v>1.2487100813397756</c:v>
                </c:pt>
                <c:pt idx="32">
                  <c:v>1.2312657454052545</c:v>
                </c:pt>
                <c:pt idx="33">
                  <c:v>1.214627140898529</c:v>
                </c:pt>
                <c:pt idx="34">
                  <c:v>1.1987412458149489</c:v>
                </c:pt>
                <c:pt idx="35">
                  <c:v>1.1835594465974948</c:v>
                </c:pt>
                <c:pt idx="36">
                  <c:v>1.1833859849418729</c:v>
                </c:pt>
                <c:pt idx="37">
                  <c:v>1.1539423494616767</c:v>
                </c:pt>
                <c:pt idx="38">
                  <c:v>1.1261852661861482</c:v>
                </c:pt>
                <c:pt idx="39">
                  <c:v>1.0999841635886038</c:v>
                </c:pt>
                <c:pt idx="40">
                  <c:v>1.0752209439450278</c:v>
                </c:pt>
                <c:pt idx="41">
                  <c:v>1.0517885759754571</c:v>
                </c:pt>
                <c:pt idx="42">
                  <c:v>1.0515556822527083</c:v>
                </c:pt>
                <c:pt idx="43">
                  <c:v>0.96131116468951872</c:v>
                </c:pt>
                <c:pt idx="44">
                  <c:v>0.88272263934546225</c:v>
                </c:pt>
                <c:pt idx="45">
                  <c:v>0.81397662718324471</c:v>
                </c:pt>
                <c:pt idx="46">
                  <c:v>0.75358600853273394</c:v>
                </c:pt>
                <c:pt idx="47">
                  <c:v>0.70032383425117595</c:v>
                </c:pt>
                <c:pt idx="48">
                  <c:v>0.7000307287342773</c:v>
                </c:pt>
                <c:pt idx="49">
                  <c:v>0.3890354970224848</c:v>
                </c:pt>
                <c:pt idx="50">
                  <c:v>0.22904507305454291</c:v>
                </c:pt>
                <c:pt idx="51">
                  <c:v>0.14474176188125309</c:v>
                </c:pt>
                <c:pt idx="52">
                  <c:v>9.9330239214305394E-2</c:v>
                </c:pt>
                <c:pt idx="53">
                  <c:v>7.4366477115366481E-2</c:v>
                </c:pt>
                <c:pt idx="54">
                  <c:v>6.0383275637802769E-2</c:v>
                </c:pt>
                <c:pt idx="55">
                  <c:v>5.2413366031251019E-2</c:v>
                </c:pt>
                <c:pt idx="56">
                  <c:v>4.7796933635082195E-2</c:v>
                </c:pt>
                <c:pt idx="57">
                  <c:v>4.508253944477747E-2</c:v>
                </c:pt>
                <c:pt idx="58">
                  <c:v>4.346407073631986E-2</c:v>
                </c:pt>
                <c:pt idx="59">
                  <c:v>4.2486402809077894E-2</c:v>
                </c:pt>
                <c:pt idx="60">
                  <c:v>4.1888598152490686E-2</c:v>
                </c:pt>
                <c:pt idx="61">
                  <c:v>4.0875448344989906E-2</c:v>
                </c:pt>
              </c:numCache>
            </c:numRef>
          </c:xVal>
          <c:yVal>
            <c:numRef>
              <c:f>'Up-9'!$U$3:$U$64</c:f>
              <c:numCache>
                <c:formatCode>0.00</c:formatCode>
                <c:ptCount val="62"/>
                <c:pt idx="0">
                  <c:v>-2</c:v>
                </c:pt>
                <c:pt idx="1">
                  <c:v>-1.8278961873600783</c:v>
                </c:pt>
                <c:pt idx="2">
                  <c:v>-1.6597583331259242</c:v>
                </c:pt>
                <c:pt idx="3">
                  <c:v>-1.4954898823002305</c:v>
                </c:pt>
                <c:pt idx="4">
                  <c:v>-1.3349967565892444</c:v>
                </c:pt>
                <c:pt idx="5">
                  <c:v>-1.1781872876382986</c:v>
                </c:pt>
                <c:pt idx="6">
                  <c:v>-1.1426741787823438</c:v>
                </c:pt>
                <c:pt idx="7">
                  <c:v>-1.020711854292637</c:v>
                </c:pt>
                <c:pt idx="8">
                  <c:v>-0.90285753595146134</c:v>
                </c:pt>
                <c:pt idx="9">
                  <c:v>-0.7889486603710274</c:v>
                </c:pt>
                <c:pt idx="10">
                  <c:v>-0.67883005142475406</c:v>
                </c:pt>
                <c:pt idx="11">
                  <c:v>-0.57235354156544471</c:v>
                </c:pt>
                <c:pt idx="12">
                  <c:v>-0.56716007517015665</c:v>
                </c:pt>
                <c:pt idx="13">
                  <c:v>-0.51447002952090171</c:v>
                </c:pt>
                <c:pt idx="14">
                  <c:v>-0.46336058010317893</c:v>
                </c:pt>
                <c:pt idx="15">
                  <c:v>-0.41377298154880893</c:v>
                </c:pt>
                <c:pt idx="16">
                  <c:v>-0.36565109051203448</c:v>
                </c:pt>
                <c:pt idx="17">
                  <c:v>-0.31894123211706138</c:v>
                </c:pt>
                <c:pt idx="18">
                  <c:v>-0.31710907748473754</c:v>
                </c:pt>
                <c:pt idx="19">
                  <c:v>-0.2789035076273399</c:v>
                </c:pt>
                <c:pt idx="20">
                  <c:v>-0.24217232962818167</c:v>
                </c:pt>
                <c:pt idx="21">
                  <c:v>-0.20684351167848455</c:v>
                </c:pt>
                <c:pt idx="22">
                  <c:v>-0.17284927149823892</c:v>
                </c:pt>
                <c:pt idx="23">
                  <c:v>-0.1401257834381168</c:v>
                </c:pt>
                <c:pt idx="24">
                  <c:v>-0.13928201035118173</c:v>
                </c:pt>
                <c:pt idx="25">
                  <c:v>-7.0836104884683074E-2</c:v>
                </c:pt>
                <c:pt idx="26">
                  <c:v>-9.6930653004457246E-3</c:v>
                </c:pt>
                <c:pt idx="27">
                  <c:v>4.5124474269387455E-2</c:v>
                </c:pt>
                <c:pt idx="28">
                  <c:v>9.4437828572975224E-2</c:v>
                </c:pt>
                <c:pt idx="29">
                  <c:v>0.13894097133837144</c:v>
                </c:pt>
                <c:pt idx="30">
                  <c:v>0.13928201035118357</c:v>
                </c:pt>
                <c:pt idx="31">
                  <c:v>0.17988990987428488</c:v>
                </c:pt>
                <c:pt idx="32">
                  <c:v>0.21771498110389387</c:v>
                </c:pt>
                <c:pt idx="33">
                  <c:v>0.25299596167522076</c:v>
                </c:pt>
                <c:pt idx="34">
                  <c:v>0.28594705633199824</c:v>
                </c:pt>
                <c:pt idx="35">
                  <c:v>0.31676085891772437</c:v>
                </c:pt>
                <c:pt idx="36">
                  <c:v>0.31710907748474176</c:v>
                </c:pt>
                <c:pt idx="37">
                  <c:v>0.37550061333480028</c:v>
                </c:pt>
                <c:pt idx="38">
                  <c:v>0.42923261969236226</c:v>
                </c:pt>
                <c:pt idx="39">
                  <c:v>0.47875762012609335</c:v>
                </c:pt>
                <c:pt idx="40">
                  <c:v>0.52447642163292174</c:v>
                </c:pt>
                <c:pt idx="41">
                  <c:v>0.56674488175881954</c:v>
                </c:pt>
                <c:pt idx="42">
                  <c:v>0.56716007517016964</c:v>
                </c:pt>
                <c:pt idx="43">
                  <c:v>0.72494453934039249</c:v>
                </c:pt>
                <c:pt idx="44">
                  <c:v>0.85706172784072288</c:v>
                </c:pt>
                <c:pt idx="45">
                  <c:v>0.96826519703478686</c:v>
                </c:pt>
                <c:pt idx="46">
                  <c:v>1.0623229474010185</c:v>
                </c:pt>
                <c:pt idx="47">
                  <c:v>1.1422426502792233</c:v>
                </c:pt>
                <c:pt idx="48">
                  <c:v>1.1426741787697163</c:v>
                </c:pt>
                <c:pt idx="49">
                  <c:v>1.5896153506995181</c:v>
                </c:pt>
                <c:pt idx="50">
                  <c:v>1.807474809580647</c:v>
                </c:pt>
                <c:pt idx="51">
                  <c:v>1.9163399125423721</c:v>
                </c:pt>
                <c:pt idx="52">
                  <c:v>1.9719914448072531</c:v>
                </c:pt>
                <c:pt idx="53">
                  <c:v>2.0010401948171754</c:v>
                </c:pt>
                <c:pt idx="54">
                  <c:v>2.0164965483402972</c:v>
                </c:pt>
                <c:pt idx="55">
                  <c:v>2.0248670838411491</c:v>
                </c:pt>
                <c:pt idx="56">
                  <c:v>2.0294745640786633</c:v>
                </c:pt>
                <c:pt idx="57">
                  <c:v>2.0320490286943196</c:v>
                </c:pt>
                <c:pt idx="58">
                  <c:v>2.0335075652861656</c:v>
                </c:pt>
                <c:pt idx="59">
                  <c:v>2.0343444908220416</c:v>
                </c:pt>
                <c:pt idx="60">
                  <c:v>2.0348304060209439</c:v>
                </c:pt>
                <c:pt idx="61">
                  <c:v>2.0355433305662425</c:v>
                </c:pt>
              </c:numCache>
            </c:numRef>
          </c:yVal>
        </c:ser>
        <c:axId val="162064256"/>
        <c:axId val="164450304"/>
      </c:scatterChart>
      <c:valAx>
        <c:axId val="162064256"/>
        <c:scaling>
          <c:orientation val="minMax"/>
          <c:max val="0.5"/>
          <c:min val="-0.5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4450304"/>
        <c:crosses val="autoZero"/>
        <c:crossBetween val="midCat"/>
      </c:valAx>
      <c:valAx>
        <c:axId val="164450304"/>
        <c:scaling>
          <c:orientation val="minMax"/>
          <c:max val="2.5"/>
          <c:min val="1.5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2064256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lineMarker"/>
        <c:ser>
          <c:idx val="1"/>
          <c:order val="0"/>
          <c:spPr>
            <a:ln w="2540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</c:spPr>
          </c:marker>
          <c:xVal>
            <c:numRef>
              <c:f>'Up-9'!$T$3:$T$64</c:f>
              <c:numCache>
                <c:formatCode>0.00</c:formatCode>
                <c:ptCount val="62"/>
                <c:pt idx="0">
                  <c:v>2</c:v>
                </c:pt>
                <c:pt idx="1">
                  <c:v>1.9442560901573596</c:v>
                </c:pt>
                <c:pt idx="2">
                  <c:v>1.8897158635732021</c:v>
                </c:pt>
                <c:pt idx="3">
                  <c:v>1.8363517466286656</c:v>
                </c:pt>
                <c:pt idx="4">
                  <c:v>1.7841368336394536</c:v>
                </c:pt>
                <c:pt idx="5">
                  <c:v>1.7330448697967633</c:v>
                </c:pt>
                <c:pt idx="6">
                  <c:v>1.7214633740953527</c:v>
                </c:pt>
                <c:pt idx="7">
                  <c:v>1.6815472143125405</c:v>
                </c:pt>
                <c:pt idx="8">
                  <c:v>1.6427125222624841</c:v>
                </c:pt>
                <c:pt idx="9">
                  <c:v>1.6049233659496303</c:v>
                </c:pt>
                <c:pt idx="10">
                  <c:v>1.568145223248534</c:v>
                </c:pt>
                <c:pt idx="11">
                  <c:v>1.53234491823495</c:v>
                </c:pt>
                <c:pt idx="12">
                  <c:v>1.5305925880836462</c:v>
                </c:pt>
                <c:pt idx="13">
                  <c:v>1.5127381437006631</c:v>
                </c:pt>
                <c:pt idx="14">
                  <c:v>1.495276135433707</c:v>
                </c:pt>
                <c:pt idx="15">
                  <c:v>1.4781949441573621</c:v>
                </c:pt>
                <c:pt idx="16">
                  <c:v>1.4614833795159501</c:v>
                </c:pt>
                <c:pt idx="17">
                  <c:v>1.4451306610341177</c:v>
                </c:pt>
                <c:pt idx="18">
                  <c:v>1.4444865414945027</c:v>
                </c:pt>
                <c:pt idx="19">
                  <c:v>1.4309715196288273</c:v>
                </c:pt>
                <c:pt idx="20">
                  <c:v>1.4178206502238615</c:v>
                </c:pt>
                <c:pt idx="21">
                  <c:v>1.4050200588244874</c:v>
                </c:pt>
                <c:pt idx="22">
                  <c:v>1.3925565437174607</c:v>
                </c:pt>
                <c:pt idx="23">
                  <c:v>1.3804175364927087</c:v>
                </c:pt>
                <c:pt idx="24">
                  <c:v>1.3801026470519462</c:v>
                </c:pt>
                <c:pt idx="25">
                  <c:v>1.3540796063478884</c:v>
                </c:pt>
                <c:pt idx="26">
                  <c:v>1.3299609697612109</c:v>
                </c:pt>
                <c:pt idx="27">
                  <c:v>1.3075479230431737</c:v>
                </c:pt>
                <c:pt idx="28">
                  <c:v>1.2866678230983111</c:v>
                </c:pt>
                <c:pt idx="29">
                  <c:v>1.267170082087322</c:v>
                </c:pt>
                <c:pt idx="30">
                  <c:v>1.26701807806861</c:v>
                </c:pt>
                <c:pt idx="31">
                  <c:v>1.2487100813397756</c:v>
                </c:pt>
                <c:pt idx="32">
                  <c:v>1.2312657454052545</c:v>
                </c:pt>
                <c:pt idx="33">
                  <c:v>1.214627140898529</c:v>
                </c:pt>
                <c:pt idx="34">
                  <c:v>1.1987412458149489</c:v>
                </c:pt>
                <c:pt idx="35">
                  <c:v>1.1835594465974948</c:v>
                </c:pt>
                <c:pt idx="36">
                  <c:v>1.1833859849418729</c:v>
                </c:pt>
                <c:pt idx="37">
                  <c:v>1.1539423494616767</c:v>
                </c:pt>
                <c:pt idx="38">
                  <c:v>1.1261852661861482</c:v>
                </c:pt>
                <c:pt idx="39">
                  <c:v>1.0999841635886038</c:v>
                </c:pt>
                <c:pt idx="40">
                  <c:v>1.0752209439450278</c:v>
                </c:pt>
                <c:pt idx="41">
                  <c:v>1.0517885759754571</c:v>
                </c:pt>
                <c:pt idx="42">
                  <c:v>1.0515556822527083</c:v>
                </c:pt>
                <c:pt idx="43">
                  <c:v>0.96131116468951872</c:v>
                </c:pt>
                <c:pt idx="44">
                  <c:v>0.88272263934546225</c:v>
                </c:pt>
                <c:pt idx="45">
                  <c:v>0.81397662718324471</c:v>
                </c:pt>
                <c:pt idx="46">
                  <c:v>0.75358600853273394</c:v>
                </c:pt>
                <c:pt idx="47">
                  <c:v>0.70032383425117595</c:v>
                </c:pt>
                <c:pt idx="48">
                  <c:v>0.7000307287342773</c:v>
                </c:pt>
                <c:pt idx="49">
                  <c:v>0.3890354970224848</c:v>
                </c:pt>
                <c:pt idx="50">
                  <c:v>0.22904507305454291</c:v>
                </c:pt>
                <c:pt idx="51">
                  <c:v>0.14474176188125309</c:v>
                </c:pt>
                <c:pt idx="52">
                  <c:v>9.9330239214305394E-2</c:v>
                </c:pt>
                <c:pt idx="53">
                  <c:v>7.4366477115366481E-2</c:v>
                </c:pt>
                <c:pt idx="54">
                  <c:v>6.0383275637802769E-2</c:v>
                </c:pt>
                <c:pt idx="55">
                  <c:v>5.2413366031251019E-2</c:v>
                </c:pt>
                <c:pt idx="56">
                  <c:v>4.7796933635082195E-2</c:v>
                </c:pt>
                <c:pt idx="57">
                  <c:v>4.508253944477747E-2</c:v>
                </c:pt>
                <c:pt idx="58">
                  <c:v>4.346407073631986E-2</c:v>
                </c:pt>
                <c:pt idx="59">
                  <c:v>4.2486402809077894E-2</c:v>
                </c:pt>
                <c:pt idx="60">
                  <c:v>4.1888598152490686E-2</c:v>
                </c:pt>
                <c:pt idx="61">
                  <c:v>4.0875448344989906E-2</c:v>
                </c:pt>
              </c:numCache>
            </c:numRef>
          </c:xVal>
          <c:yVal>
            <c:numRef>
              <c:f>'Up-9'!$U$3:$U$64</c:f>
              <c:numCache>
                <c:formatCode>0.00</c:formatCode>
                <c:ptCount val="62"/>
                <c:pt idx="0">
                  <c:v>-2</c:v>
                </c:pt>
                <c:pt idx="1">
                  <c:v>-1.8278961873600783</c:v>
                </c:pt>
                <c:pt idx="2">
                  <c:v>-1.6597583331259242</c:v>
                </c:pt>
                <c:pt idx="3">
                  <c:v>-1.4954898823002305</c:v>
                </c:pt>
                <c:pt idx="4">
                  <c:v>-1.3349967565892444</c:v>
                </c:pt>
                <c:pt idx="5">
                  <c:v>-1.1781872876382986</c:v>
                </c:pt>
                <c:pt idx="6">
                  <c:v>-1.1426741787823438</c:v>
                </c:pt>
                <c:pt idx="7">
                  <c:v>-1.020711854292637</c:v>
                </c:pt>
                <c:pt idx="8">
                  <c:v>-0.90285753595146134</c:v>
                </c:pt>
                <c:pt idx="9">
                  <c:v>-0.7889486603710274</c:v>
                </c:pt>
                <c:pt idx="10">
                  <c:v>-0.67883005142475406</c:v>
                </c:pt>
                <c:pt idx="11">
                  <c:v>-0.57235354156544471</c:v>
                </c:pt>
                <c:pt idx="12">
                  <c:v>-0.56716007517015665</c:v>
                </c:pt>
                <c:pt idx="13">
                  <c:v>-0.51447002952090171</c:v>
                </c:pt>
                <c:pt idx="14">
                  <c:v>-0.46336058010317893</c:v>
                </c:pt>
                <c:pt idx="15">
                  <c:v>-0.41377298154880893</c:v>
                </c:pt>
                <c:pt idx="16">
                  <c:v>-0.36565109051203448</c:v>
                </c:pt>
                <c:pt idx="17">
                  <c:v>-0.31894123211706138</c:v>
                </c:pt>
                <c:pt idx="18">
                  <c:v>-0.31710907748473754</c:v>
                </c:pt>
                <c:pt idx="19">
                  <c:v>-0.2789035076273399</c:v>
                </c:pt>
                <c:pt idx="20">
                  <c:v>-0.24217232962818167</c:v>
                </c:pt>
                <c:pt idx="21">
                  <c:v>-0.20684351167848455</c:v>
                </c:pt>
                <c:pt idx="22">
                  <c:v>-0.17284927149823892</c:v>
                </c:pt>
                <c:pt idx="23">
                  <c:v>-0.1401257834381168</c:v>
                </c:pt>
                <c:pt idx="24">
                  <c:v>-0.13928201035118173</c:v>
                </c:pt>
                <c:pt idx="25">
                  <c:v>-7.0836104884683074E-2</c:v>
                </c:pt>
                <c:pt idx="26">
                  <c:v>-9.6930653004457246E-3</c:v>
                </c:pt>
                <c:pt idx="27">
                  <c:v>4.5124474269387455E-2</c:v>
                </c:pt>
                <c:pt idx="28">
                  <c:v>9.4437828572975224E-2</c:v>
                </c:pt>
                <c:pt idx="29">
                  <c:v>0.13894097133837144</c:v>
                </c:pt>
                <c:pt idx="30">
                  <c:v>0.13928201035118357</c:v>
                </c:pt>
                <c:pt idx="31">
                  <c:v>0.17988990987428488</c:v>
                </c:pt>
                <c:pt idx="32">
                  <c:v>0.21771498110389387</c:v>
                </c:pt>
                <c:pt idx="33">
                  <c:v>0.25299596167522076</c:v>
                </c:pt>
                <c:pt idx="34">
                  <c:v>0.28594705633199824</c:v>
                </c:pt>
                <c:pt idx="35">
                  <c:v>0.31676085891772437</c:v>
                </c:pt>
                <c:pt idx="36">
                  <c:v>0.31710907748474176</c:v>
                </c:pt>
                <c:pt idx="37">
                  <c:v>0.37550061333480028</c:v>
                </c:pt>
                <c:pt idx="38">
                  <c:v>0.42923261969236226</c:v>
                </c:pt>
                <c:pt idx="39">
                  <c:v>0.47875762012609335</c:v>
                </c:pt>
                <c:pt idx="40">
                  <c:v>0.52447642163292174</c:v>
                </c:pt>
                <c:pt idx="41">
                  <c:v>0.56674488175881954</c:v>
                </c:pt>
                <c:pt idx="42">
                  <c:v>0.56716007517016964</c:v>
                </c:pt>
                <c:pt idx="43">
                  <c:v>0.72494453934039249</c:v>
                </c:pt>
                <c:pt idx="44">
                  <c:v>0.85706172784072288</c:v>
                </c:pt>
                <c:pt idx="45">
                  <c:v>0.96826519703478686</c:v>
                </c:pt>
                <c:pt idx="46">
                  <c:v>1.0623229474010185</c:v>
                </c:pt>
                <c:pt idx="47">
                  <c:v>1.1422426502792233</c:v>
                </c:pt>
                <c:pt idx="48">
                  <c:v>1.1426741787697163</c:v>
                </c:pt>
                <c:pt idx="49">
                  <c:v>1.5896153506995181</c:v>
                </c:pt>
                <c:pt idx="50">
                  <c:v>1.807474809580647</c:v>
                </c:pt>
                <c:pt idx="51">
                  <c:v>1.9163399125423721</c:v>
                </c:pt>
                <c:pt idx="52">
                  <c:v>1.9719914448072531</c:v>
                </c:pt>
                <c:pt idx="53">
                  <c:v>2.0010401948171754</c:v>
                </c:pt>
                <c:pt idx="54">
                  <c:v>2.0164965483402972</c:v>
                </c:pt>
                <c:pt idx="55">
                  <c:v>2.0248670838411491</c:v>
                </c:pt>
                <c:pt idx="56">
                  <c:v>2.0294745640786633</c:v>
                </c:pt>
                <c:pt idx="57">
                  <c:v>2.0320490286943196</c:v>
                </c:pt>
                <c:pt idx="58">
                  <c:v>2.0335075652861656</c:v>
                </c:pt>
                <c:pt idx="59">
                  <c:v>2.0343444908220416</c:v>
                </c:pt>
                <c:pt idx="60">
                  <c:v>2.0348304060209439</c:v>
                </c:pt>
                <c:pt idx="61">
                  <c:v>2.0355433305662425</c:v>
                </c:pt>
              </c:numCache>
            </c:numRef>
          </c:yVal>
        </c:ser>
        <c:axId val="164464896"/>
        <c:axId val="164467072"/>
      </c:scatterChart>
      <c:valAx>
        <c:axId val="164464896"/>
        <c:scaling>
          <c:orientation val="minMax"/>
          <c:max val="2.5"/>
          <c:min val="-2.5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4467072"/>
        <c:crosses val="autoZero"/>
        <c:crossBetween val="midCat"/>
      </c:valAx>
      <c:valAx>
        <c:axId val="164467072"/>
        <c:scaling>
          <c:orientation val="minMax"/>
          <c:max val="2.5"/>
          <c:min val="-2.5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4464896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>
        <c:manualLayout>
          <c:layoutTarget val="inner"/>
          <c:xMode val="edge"/>
          <c:yMode val="edge"/>
          <c:x val="4.8015755785327387E-2"/>
          <c:y val="1.6959745368134705E-2"/>
          <c:w val="0.88728705071392888"/>
          <c:h val="0.94106924419020521"/>
        </c:manualLayout>
      </c:layout>
      <c:scatterChart>
        <c:scatterStyle val="lineMarker"/>
        <c:ser>
          <c:idx val="1"/>
          <c:order val="0"/>
          <c:spPr>
            <a:ln w="2540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</c:spPr>
          </c:marker>
          <c:xVal>
            <c:numRef>
              <c:f>'Up-17'!$T$3:$T$119</c:f>
              <c:numCache>
                <c:formatCode>0.00</c:formatCode>
                <c:ptCount val="117"/>
                <c:pt idx="0">
                  <c:v>2</c:v>
                </c:pt>
                <c:pt idx="1">
                  <c:v>1.9666360805194365</c:v>
                </c:pt>
                <c:pt idx="2">
                  <c:v>1.9337035874816686</c:v>
                </c:pt>
                <c:pt idx="3">
                  <c:v>1.9011965992837196</c:v>
                </c:pt>
                <c:pt idx="4">
                  <c:v>1.869109280316402</c:v>
                </c:pt>
                <c:pt idx="5">
                  <c:v>1.8374358796468591</c:v>
                </c:pt>
                <c:pt idx="6">
                  <c:v>1.8253343653945604</c:v>
                </c:pt>
                <c:pt idx="7">
                  <c:v>1.7900210286821252</c:v>
                </c:pt>
                <c:pt idx="8">
                  <c:v>1.7553431149748719</c:v>
                </c:pt>
                <c:pt idx="9">
                  <c:v>1.7212875212956513</c:v>
                </c:pt>
                <c:pt idx="10">
                  <c:v>1.6878414491506477</c:v>
                </c:pt>
                <c:pt idx="11">
                  <c:v>1.6549923966607749</c:v>
                </c:pt>
                <c:pt idx="12">
                  <c:v>1.6511954061839587</c:v>
                </c:pt>
                <c:pt idx="13">
                  <c:v>1.6331326487736184</c:v>
                </c:pt>
                <c:pt idx="14">
                  <c:v>1.6153005650599723</c:v>
                </c:pt>
                <c:pt idx="15">
                  <c:v>1.5976955302287648</c:v>
                </c:pt>
                <c:pt idx="16">
                  <c:v>1.5803139869553087</c:v>
                </c:pt>
                <c:pt idx="17">
                  <c:v>1.563152443953534</c:v>
                </c:pt>
                <c:pt idx="18">
                  <c:v>1.5613585395936456</c:v>
                </c:pt>
                <c:pt idx="19">
                  <c:v>1.5498589936348113</c:v>
                </c:pt>
                <c:pt idx="20">
                  <c:v>1.5384859997920273</c:v>
                </c:pt>
                <c:pt idx="21">
                  <c:v>1.5272377478784616</c:v>
                </c:pt>
                <c:pt idx="22">
                  <c:v>1.5161124594232582</c:v>
                </c:pt>
                <c:pt idx="23">
                  <c:v>1.5051083870149313</c:v>
                </c:pt>
                <c:pt idx="24">
                  <c:v>1.5040801959525505</c:v>
                </c:pt>
                <c:pt idx="25">
                  <c:v>1.4955895621306845</c:v>
                </c:pt>
                <c:pt idx="26">
                  <c:v>1.4871899466907805</c:v>
                </c:pt>
                <c:pt idx="27">
                  <c:v>1.4788800298394562</c:v>
                </c:pt>
                <c:pt idx="28">
                  <c:v>1.47065851572783</c:v>
                </c:pt>
                <c:pt idx="29">
                  <c:v>1.4625241319309235</c:v>
                </c:pt>
                <c:pt idx="30">
                  <c:v>1.4618646256914121</c:v>
                </c:pt>
                <c:pt idx="31">
                  <c:v>1.4548877790534489</c:v>
                </c:pt>
                <c:pt idx="32">
                  <c:v>1.4479902669453417</c:v>
                </c:pt>
                <c:pt idx="33">
                  <c:v>1.4411708326972008</c:v>
                </c:pt>
                <c:pt idx="34">
                  <c:v>1.4344282448927892</c:v>
                </c:pt>
                <c:pt idx="35">
                  <c:v>1.4277612967559139</c:v>
                </c:pt>
                <c:pt idx="36">
                  <c:v>1.4273094608865726</c:v>
                </c:pt>
                <c:pt idx="37">
                  <c:v>1.4209009936505286</c:v>
                </c:pt>
                <c:pt idx="38">
                  <c:v>1.414576529496804</c:v>
                </c:pt>
                <c:pt idx="39">
                  <c:v>1.4083345017638871</c:v>
                </c:pt>
                <c:pt idx="40">
                  <c:v>1.4021733811806656</c:v>
                </c:pt>
                <c:pt idx="41">
                  <c:v>1.3960916747816385</c:v>
                </c:pt>
                <c:pt idx="42">
                  <c:v>1.3957656183759459</c:v>
                </c:pt>
                <c:pt idx="43">
                  <c:v>1.3885536113981798</c:v>
                </c:pt>
                <c:pt idx="44">
                  <c:v>1.3814717241311527</c:v>
                </c:pt>
                <c:pt idx="45">
                  <c:v>1.3745165669469499</c:v>
                </c:pt>
                <c:pt idx="46">
                  <c:v>1.3676848637019441</c:v>
                </c:pt>
                <c:pt idx="47">
                  <c:v>1.3609734471083326</c:v>
                </c:pt>
                <c:pt idx="48">
                  <c:v>1.3607326427021871</c:v>
                </c:pt>
                <c:pt idx="49">
                  <c:v>1.344827793408893</c:v>
                </c:pt>
                <c:pt idx="50">
                  <c:v>1.3296652658932775</c:v>
                </c:pt>
                <c:pt idx="51">
                  <c:v>1.3151950055317678</c:v>
                </c:pt>
                <c:pt idx="52">
                  <c:v>1.3013712599259171</c:v>
                </c:pt>
                <c:pt idx="53">
                  <c:v>1.2881521325461469</c:v>
                </c:pt>
                <c:pt idx="54">
                  <c:v>1.2879884436857663</c:v>
                </c:pt>
                <c:pt idx="55">
                  <c:v>1.2793261191348009</c:v>
                </c:pt>
                <c:pt idx="56">
                  <c:v>1.2708855128228567</c:v>
                </c:pt>
                <c:pt idx="57">
                  <c:v>1.2626583748821865</c:v>
                </c:pt>
                <c:pt idx="58">
                  <c:v>1.2546368487430728</c:v>
                </c:pt>
                <c:pt idx="59">
                  <c:v>1.246813448358137</c:v>
                </c:pt>
                <c:pt idx="60">
                  <c:v>1.2466453987438619</c:v>
                </c:pt>
                <c:pt idx="61">
                  <c:v>1.2381264983483962</c:v>
                </c:pt>
                <c:pt idx="62">
                  <c:v>1.2298024052286414</c:v>
                </c:pt>
                <c:pt idx="63">
                  <c:v>1.2216667130369057</c:v>
                </c:pt>
                <c:pt idx="64">
                  <c:v>1.2137132840970553</c:v>
                </c:pt>
                <c:pt idx="65">
                  <c:v>1.2059362357542076</c:v>
                </c:pt>
                <c:pt idx="66">
                  <c:v>1.2057508712377385</c:v>
                </c:pt>
                <c:pt idx="67">
                  <c:v>1.1956143939214174</c:v>
                </c:pt>
                <c:pt idx="68">
                  <c:v>1.1857204096861205</c:v>
                </c:pt>
                <c:pt idx="69">
                  <c:v>1.1760607397425538</c:v>
                </c:pt>
                <c:pt idx="70">
                  <c:v>1.1666275540141029</c:v>
                </c:pt>
                <c:pt idx="71">
                  <c:v>1.1574133532323936</c:v>
                </c:pt>
                <c:pt idx="72">
                  <c:v>1.1572000671146074</c:v>
                </c:pt>
                <c:pt idx="73">
                  <c:v>1.1437249713167472</c:v>
                </c:pt>
                <c:pt idx="74">
                  <c:v>1.1306192767309975</c:v>
                </c:pt>
                <c:pt idx="75">
                  <c:v>1.1178691399167484</c:v>
                </c:pt>
                <c:pt idx="76">
                  <c:v>1.1054613641504243</c:v>
                </c:pt>
                <c:pt idx="77">
                  <c:v>1.0933833633925054</c:v>
                </c:pt>
                <c:pt idx="78">
                  <c:v>1.0931272011400253</c:v>
                </c:pt>
                <c:pt idx="79">
                  <c:v>1.0730163270764455</c:v>
                </c:pt>
                <c:pt idx="80">
                  <c:v>1.0536151866718706</c:v>
                </c:pt>
                <c:pt idx="81">
                  <c:v>1.0348910412761883</c:v>
                </c:pt>
                <c:pt idx="82">
                  <c:v>1.0168129938268857</c:v>
                </c:pt>
                <c:pt idx="83">
                  <c:v>0.99935186717326674</c:v>
                </c:pt>
                <c:pt idx="84">
                  <c:v>0.99903511036118886</c:v>
                </c:pt>
                <c:pt idx="85">
                  <c:v>0.96314097568813706</c:v>
                </c:pt>
                <c:pt idx="86">
                  <c:v>0.92924404785780146</c:v>
                </c:pt>
                <c:pt idx="87">
                  <c:v>0.89720811459873862</c:v>
                </c:pt>
                <c:pt idx="88">
                  <c:v>0.86690788662117813</c:v>
                </c:pt>
                <c:pt idx="89">
                  <c:v>0.83822799495077216</c:v>
                </c:pt>
                <c:pt idx="90">
                  <c:v>0.83783361839513948</c:v>
                </c:pt>
                <c:pt idx="91">
                  <c:v>0.7455218600699075</c:v>
                </c:pt>
                <c:pt idx="92">
                  <c:v>0.66608076648234216</c:v>
                </c:pt>
                <c:pt idx="93">
                  <c:v>0.59749399923827839</c:v>
                </c:pt>
                <c:pt idx="94">
                  <c:v>0.53809468260445992</c:v>
                </c:pt>
                <c:pt idx="95">
                  <c:v>0.48649922757191771</c:v>
                </c:pt>
                <c:pt idx="96">
                  <c:v>0.48612183295985489</c:v>
                </c:pt>
                <c:pt idx="97">
                  <c:v>0.28334308171972666</c:v>
                </c:pt>
                <c:pt idx="98">
                  <c:v>0.17600047963705701</c:v>
                </c:pt>
                <c:pt idx="99">
                  <c:v>0.11792865964710414</c:v>
                </c:pt>
                <c:pt idx="100">
                  <c:v>8.587561939721039E-2</c:v>
                </c:pt>
                <c:pt idx="101">
                  <c:v>6.7852639628824263E-2</c:v>
                </c:pt>
                <c:pt idx="102">
                  <c:v>5.7542929386571962E-2</c:v>
                </c:pt>
                <c:pt idx="103">
                  <c:v>5.1550611592683815E-2</c:v>
                </c:pt>
                <c:pt idx="104">
                  <c:v>4.8015627227383173E-2</c:v>
                </c:pt>
                <c:pt idx="105">
                  <c:v>4.5901243776528933E-2</c:v>
                </c:pt>
                <c:pt idx="106">
                  <c:v>4.4620149257383224E-2</c:v>
                </c:pt>
                <c:pt idx="107">
                  <c:v>4.383453187171632E-2</c:v>
                </c:pt>
                <c:pt idx="108">
                  <c:v>4.3347301136267335E-2</c:v>
                </c:pt>
                <c:pt idx="109">
                  <c:v>4.304192179894939E-2</c:v>
                </c:pt>
                <c:pt idx="110">
                  <c:v>4.2848619369695418E-2</c:v>
                </c:pt>
                <c:pt idx="111">
                  <c:v>4.2725121332701788E-2</c:v>
                </c:pt>
                <c:pt idx="112">
                  <c:v>4.2645531219024924E-2</c:v>
                </c:pt>
                <c:pt idx="113">
                  <c:v>4.2593817867076611E-2</c:v>
                </c:pt>
                <c:pt idx="114">
                  <c:v>4.2494175537927448E-2</c:v>
                </c:pt>
                <c:pt idx="115">
                  <c:v>4.2491978824945764E-2</c:v>
                </c:pt>
                <c:pt idx="116">
                  <c:v>4.2491909099868275E-2</c:v>
                </c:pt>
              </c:numCache>
            </c:numRef>
          </c:xVal>
          <c:yVal>
            <c:numRef>
              <c:f>'Up-17'!$U$3:$U$119</c:f>
              <c:numCache>
                <c:formatCode>0.00</c:formatCode>
                <c:ptCount val="117"/>
                <c:pt idx="0">
                  <c:v>-2</c:v>
                </c:pt>
                <c:pt idx="1">
                  <c:v>-1.8969614726236912</c:v>
                </c:pt>
                <c:pt idx="2">
                  <c:v>-1.7953452732086956</c:v>
                </c:pt>
                <c:pt idx="3">
                  <c:v>-1.6951306476852599</c:v>
                </c:pt>
                <c:pt idx="4">
                  <c:v>-1.5962971612217796</c:v>
                </c:pt>
                <c:pt idx="5">
                  <c:v>-1.4988246930612532</c:v>
                </c:pt>
                <c:pt idx="6">
                  <c:v>-1.461605996847559</c:v>
                </c:pt>
                <c:pt idx="7">
                  <c:v>-1.3531742459705258</c:v>
                </c:pt>
                <c:pt idx="8">
                  <c:v>-1.2470025214501372</c:v>
                </c:pt>
                <c:pt idx="9">
                  <c:v>-1.1430379152506058</c:v>
                </c:pt>
                <c:pt idx="10">
                  <c:v>-1.0412288941445749</c:v>
                </c:pt>
                <c:pt idx="11">
                  <c:v>-0.94152526045222285</c:v>
                </c:pt>
                <c:pt idx="12">
                  <c:v>-0.93001918678854367</c:v>
                </c:pt>
                <c:pt idx="13">
                  <c:v>-0.87537953956733838</c:v>
                </c:pt>
                <c:pt idx="14">
                  <c:v>-0.8216091331882649</c:v>
                </c:pt>
                <c:pt idx="15">
                  <c:v>-0.76869166948982959</c:v>
                </c:pt>
                <c:pt idx="16">
                  <c:v>-0.71661120235878117</c:v>
                </c:pt>
                <c:pt idx="17">
                  <c:v>-0.66535212912435227</c:v>
                </c:pt>
                <c:pt idx="18">
                  <c:v>-0.66000334397620364</c:v>
                </c:pt>
                <c:pt idx="19">
                  <c:v>-0.62578171330392929</c:v>
                </c:pt>
                <c:pt idx="20">
                  <c:v>-0.59205556477321586</c:v>
                </c:pt>
                <c:pt idx="21">
                  <c:v>-0.55881616424408509</c:v>
                </c:pt>
                <c:pt idx="22">
                  <c:v>-0.52605495911825528</c:v>
                </c:pt>
                <c:pt idx="23">
                  <c:v>-0.49376357399471577</c:v>
                </c:pt>
                <c:pt idx="24">
                  <c:v>-0.49075210650337375</c:v>
                </c:pt>
                <c:pt idx="25">
                  <c:v>-0.46593761056997274</c:v>
                </c:pt>
                <c:pt idx="26">
                  <c:v>-0.4414870556017817</c:v>
                </c:pt>
                <c:pt idx="27">
                  <c:v>-0.41739380349966526</c:v>
                </c:pt>
                <c:pt idx="28">
                  <c:v>-0.39365136100237708</c:v>
                </c:pt>
                <c:pt idx="29">
                  <c:v>-0.37025337601076436</c:v>
                </c:pt>
                <c:pt idx="30">
                  <c:v>-0.36836040959450012</c:v>
                </c:pt>
                <c:pt idx="31">
                  <c:v>-0.34838517359075338</c:v>
                </c:pt>
                <c:pt idx="32">
                  <c:v>-0.32872973280451179</c:v>
                </c:pt>
                <c:pt idx="33">
                  <c:v>-0.30938762909381329</c:v>
                </c:pt>
                <c:pt idx="34">
                  <c:v>-0.29035256178099311</c:v>
                </c:pt>
                <c:pt idx="35">
                  <c:v>-0.27161838315892745</c:v>
                </c:pt>
                <c:pt idx="36">
                  <c:v>-0.27035186996590954</c:v>
                </c:pt>
                <c:pt idx="37">
                  <c:v>-0.25244379402064504</c:v>
                </c:pt>
                <c:pt idx="38">
                  <c:v>-0.2348731379579668</c:v>
                </c:pt>
                <c:pt idx="39">
                  <c:v>-0.21763180928098663</c:v>
                </c:pt>
                <c:pt idx="40">
                  <c:v>-0.20071195114285534</c:v>
                </c:pt>
                <c:pt idx="41">
                  <c:v>-0.18410593428659533</c:v>
                </c:pt>
                <c:pt idx="42">
                  <c:v>-0.18321833372345758</c:v>
                </c:pt>
                <c:pt idx="43">
                  <c:v>-0.16367168753119349</c:v>
                </c:pt>
                <c:pt idx="44">
                  <c:v>-0.14463971691094424</c:v>
                </c:pt>
                <c:pt idx="45">
                  <c:v>-0.1261050920607831</c:v>
                </c:pt>
                <c:pt idx="46">
                  <c:v>-0.10805119326827393</c:v>
                </c:pt>
                <c:pt idx="47">
                  <c:v>-9.0462076706474798E-2</c:v>
                </c:pt>
                <c:pt idx="48">
                  <c:v>-8.9833694127450056E-2</c:v>
                </c:pt>
                <c:pt idx="49">
                  <c:v>-4.8815780354944598E-2</c:v>
                </c:pt>
                <c:pt idx="50">
                  <c:v>-1.0610237068261252E-2</c:v>
                </c:pt>
                <c:pt idx="51">
                  <c:v>2.5027466541007529E-2</c:v>
                </c:pt>
                <c:pt idx="52">
                  <c:v>5.8316226530770163E-2</c:v>
                </c:pt>
                <c:pt idx="53">
                  <c:v>8.9452432063243534E-2</c:v>
                </c:pt>
                <c:pt idx="54">
                  <c:v>8.9833694127449668E-2</c:v>
                </c:pt>
                <c:pt idx="55">
                  <c:v>0.1098806583124063</c:v>
                </c:pt>
                <c:pt idx="56">
                  <c:v>0.12917049342339165</c:v>
                </c:pt>
                <c:pt idx="57">
                  <c:v>0.14773957990120343</c:v>
                </c:pt>
                <c:pt idx="58">
                  <c:v>0.16562217765166598</c:v>
                </c:pt>
                <c:pt idx="59">
                  <c:v>0.18285057087562068</c:v>
                </c:pt>
                <c:pt idx="60">
                  <c:v>0.18321833372345692</c:v>
                </c:pt>
                <c:pt idx="61">
                  <c:v>0.20175753321055223</c:v>
                </c:pt>
                <c:pt idx="62">
                  <c:v>0.2196764997335294</c:v>
                </c:pt>
                <c:pt idx="63">
                  <c:v>0.23700145598723632</c:v>
                </c:pt>
                <c:pt idx="64">
                  <c:v>0.25375728401123337</c:v>
                </c:pt>
                <c:pt idx="65">
                  <c:v>0.2699676053703311</c:v>
                </c:pt>
                <c:pt idx="66">
                  <c:v>0.27035186996590749</c:v>
                </c:pt>
                <c:pt idx="67">
                  <c:v>0.29124886445440518</c:v>
                </c:pt>
                <c:pt idx="68">
                  <c:v>0.31142613543294095</c:v>
                </c:pt>
                <c:pt idx="69">
                  <c:v>0.33091465965151468</c:v>
                </c:pt>
                <c:pt idx="70">
                  <c:v>0.34974381234853963</c:v>
                </c:pt>
                <c:pt idx="71">
                  <c:v>0.3679414636785413</c:v>
                </c:pt>
                <c:pt idx="72">
                  <c:v>0.36836040959449995</c:v>
                </c:pt>
                <c:pt idx="73">
                  <c:v>0.39467492552460354</c:v>
                </c:pt>
                <c:pt idx="74">
                  <c:v>0.41997729649725679</c:v>
                </c:pt>
                <c:pt idx="75">
                  <c:v>0.44431536866138777</c:v>
                </c:pt>
                <c:pt idx="76">
                  <c:v>0.46773430019744522</c:v>
                </c:pt>
                <c:pt idx="77">
                  <c:v>0.49027673588483689</c:v>
                </c:pt>
                <c:pt idx="78">
                  <c:v>0.49075210650337298</c:v>
                </c:pt>
                <c:pt idx="79">
                  <c:v>0.52782927040628858</c:v>
                </c:pt>
                <c:pt idx="80">
                  <c:v>0.56314022934166852</c:v>
                </c:pt>
                <c:pt idx="81">
                  <c:v>0.59678591013124405</c:v>
                </c:pt>
                <c:pt idx="82">
                  <c:v>0.62886049935123089</c:v>
                </c:pt>
                <c:pt idx="83">
                  <c:v>0.65945195751763519</c:v>
                </c:pt>
                <c:pt idx="84">
                  <c:v>0.66000334397619898</c:v>
                </c:pt>
                <c:pt idx="85">
                  <c:v>0.72197542319156682</c:v>
                </c:pt>
                <c:pt idx="86">
                  <c:v>0.77955623924614925</c:v>
                </c:pt>
                <c:pt idx="87">
                  <c:v>0.83310568164417032</c:v>
                </c:pt>
                <c:pt idx="88">
                  <c:v>0.88295009925386814</c:v>
                </c:pt>
                <c:pt idx="89">
                  <c:v>0.92938579842943292</c:v>
                </c:pt>
                <c:pt idx="90">
                  <c:v>0.9300191867885399</c:v>
                </c:pt>
                <c:pt idx="91">
                  <c:v>1.076236343727337</c:v>
                </c:pt>
                <c:pt idx="92">
                  <c:v>1.1985855023002385</c:v>
                </c:pt>
                <c:pt idx="93">
                  <c:v>1.3013275659828702</c:v>
                </c:pt>
                <c:pt idx="94">
                  <c:v>1.3878977925967957</c:v>
                </c:pt>
                <c:pt idx="95">
                  <c:v>1.4610781357008662</c:v>
                </c:pt>
                <c:pt idx="96">
                  <c:v>1.4616059968409461</c:v>
                </c:pt>
                <c:pt idx="97">
                  <c:v>1.7386016704410707</c:v>
                </c:pt>
                <c:pt idx="98">
                  <c:v>1.8777190146083838</c:v>
                </c:pt>
                <c:pt idx="99">
                  <c:v>1.949174790706854</c:v>
                </c:pt>
                <c:pt idx="100">
                  <c:v>1.9866413281248199</c:v>
                </c:pt>
                <c:pt idx="101">
                  <c:v>2.006662149474904</c:v>
                </c:pt>
                <c:pt idx="102">
                  <c:v>2.0175490066974624</c:v>
                </c:pt>
                <c:pt idx="103">
                  <c:v>2.0235650970623724</c:v>
                </c:pt>
                <c:pt idx="104">
                  <c:v>2.0269393437948136</c:v>
                </c:pt>
                <c:pt idx="105">
                  <c:v>2.0288579821030499</c:v>
                </c:pt>
                <c:pt idx="106">
                  <c:v>2.0299628337162243</c:v>
                </c:pt>
                <c:pt idx="107">
                  <c:v>2.0306065322613764</c:v>
                </c:pt>
                <c:pt idx="108">
                  <c:v>2.0309856112507978</c:v>
                </c:pt>
                <c:pt idx="109">
                  <c:v>2.0312110714605471</c:v>
                </c:pt>
                <c:pt idx="110">
                  <c:v>2.0313463868350099</c:v>
                </c:pt>
                <c:pt idx="111">
                  <c:v>2.0314282750645534</c:v>
                </c:pt>
                <c:pt idx="112">
                  <c:v>2.0314782055166662</c:v>
                </c:pt>
                <c:pt idx="113">
                  <c:v>2.0315088576582783</c:v>
                </c:pt>
                <c:pt idx="114">
                  <c:v>2.0315587858884054</c:v>
                </c:pt>
                <c:pt idx="115">
                  <c:v>2.0315592464409411</c:v>
                </c:pt>
                <c:pt idx="116">
                  <c:v>2.0315592424380267</c:v>
                </c:pt>
              </c:numCache>
            </c:numRef>
          </c:yVal>
        </c:ser>
        <c:axId val="156229632"/>
        <c:axId val="156231168"/>
      </c:scatterChart>
      <c:valAx>
        <c:axId val="156229632"/>
        <c:scaling>
          <c:orientation val="minMax"/>
          <c:max val="0.5"/>
          <c:min val="-0.5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56231168"/>
        <c:crosses val="autoZero"/>
        <c:crossBetween val="midCat"/>
      </c:valAx>
      <c:valAx>
        <c:axId val="156231168"/>
        <c:scaling>
          <c:orientation val="minMax"/>
          <c:max val="2.5"/>
          <c:min val="1.5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56229632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lineMarker"/>
        <c:ser>
          <c:idx val="1"/>
          <c:order val="0"/>
          <c:spPr>
            <a:ln w="2540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</c:spPr>
          </c:marker>
          <c:xVal>
            <c:numRef>
              <c:f>'Up-17'!$T$3:$T$119</c:f>
              <c:numCache>
                <c:formatCode>0.00</c:formatCode>
                <c:ptCount val="117"/>
                <c:pt idx="0">
                  <c:v>2</c:v>
                </c:pt>
                <c:pt idx="1">
                  <c:v>1.9666360805194365</c:v>
                </c:pt>
                <c:pt idx="2">
                  <c:v>1.9337035874816686</c:v>
                </c:pt>
                <c:pt idx="3">
                  <c:v>1.9011965992837196</c:v>
                </c:pt>
                <c:pt idx="4">
                  <c:v>1.869109280316402</c:v>
                </c:pt>
                <c:pt idx="5">
                  <c:v>1.8374358796468591</c:v>
                </c:pt>
                <c:pt idx="6">
                  <c:v>1.8253343653945604</c:v>
                </c:pt>
                <c:pt idx="7">
                  <c:v>1.7900210286821252</c:v>
                </c:pt>
                <c:pt idx="8">
                  <c:v>1.7553431149748719</c:v>
                </c:pt>
                <c:pt idx="9">
                  <c:v>1.7212875212956513</c:v>
                </c:pt>
                <c:pt idx="10">
                  <c:v>1.6878414491506477</c:v>
                </c:pt>
                <c:pt idx="11">
                  <c:v>1.6549923966607749</c:v>
                </c:pt>
                <c:pt idx="12">
                  <c:v>1.6511954061839587</c:v>
                </c:pt>
                <c:pt idx="13">
                  <c:v>1.6331326487736184</c:v>
                </c:pt>
                <c:pt idx="14">
                  <c:v>1.6153005650599723</c:v>
                </c:pt>
                <c:pt idx="15">
                  <c:v>1.5976955302287648</c:v>
                </c:pt>
                <c:pt idx="16">
                  <c:v>1.5803139869553087</c:v>
                </c:pt>
                <c:pt idx="17">
                  <c:v>1.563152443953534</c:v>
                </c:pt>
                <c:pt idx="18">
                  <c:v>1.5613585395936456</c:v>
                </c:pt>
                <c:pt idx="19">
                  <c:v>1.5498589936348113</c:v>
                </c:pt>
                <c:pt idx="20">
                  <c:v>1.5384859997920273</c:v>
                </c:pt>
                <c:pt idx="21">
                  <c:v>1.5272377478784616</c:v>
                </c:pt>
                <c:pt idx="22">
                  <c:v>1.5161124594232582</c:v>
                </c:pt>
                <c:pt idx="23">
                  <c:v>1.5051083870149313</c:v>
                </c:pt>
                <c:pt idx="24">
                  <c:v>1.5040801959525505</c:v>
                </c:pt>
                <c:pt idx="25">
                  <c:v>1.4955895621306845</c:v>
                </c:pt>
                <c:pt idx="26">
                  <c:v>1.4871899466907805</c:v>
                </c:pt>
                <c:pt idx="27">
                  <c:v>1.4788800298394562</c:v>
                </c:pt>
                <c:pt idx="28">
                  <c:v>1.47065851572783</c:v>
                </c:pt>
                <c:pt idx="29">
                  <c:v>1.4625241319309235</c:v>
                </c:pt>
                <c:pt idx="30">
                  <c:v>1.4618646256914121</c:v>
                </c:pt>
                <c:pt idx="31">
                  <c:v>1.4548877790534489</c:v>
                </c:pt>
                <c:pt idx="32">
                  <c:v>1.4479902669453417</c:v>
                </c:pt>
                <c:pt idx="33">
                  <c:v>1.4411708326972008</c:v>
                </c:pt>
                <c:pt idx="34">
                  <c:v>1.4344282448927892</c:v>
                </c:pt>
                <c:pt idx="35">
                  <c:v>1.4277612967559139</c:v>
                </c:pt>
                <c:pt idx="36">
                  <c:v>1.4273094608865726</c:v>
                </c:pt>
                <c:pt idx="37">
                  <c:v>1.4209009936505286</c:v>
                </c:pt>
                <c:pt idx="38">
                  <c:v>1.414576529496804</c:v>
                </c:pt>
                <c:pt idx="39">
                  <c:v>1.4083345017638871</c:v>
                </c:pt>
                <c:pt idx="40">
                  <c:v>1.4021733811806656</c:v>
                </c:pt>
                <c:pt idx="41">
                  <c:v>1.3960916747816385</c:v>
                </c:pt>
                <c:pt idx="42">
                  <c:v>1.3957656183759459</c:v>
                </c:pt>
                <c:pt idx="43">
                  <c:v>1.3885536113981798</c:v>
                </c:pt>
                <c:pt idx="44">
                  <c:v>1.3814717241311527</c:v>
                </c:pt>
                <c:pt idx="45">
                  <c:v>1.3745165669469499</c:v>
                </c:pt>
                <c:pt idx="46">
                  <c:v>1.3676848637019441</c:v>
                </c:pt>
                <c:pt idx="47">
                  <c:v>1.3609734471083326</c:v>
                </c:pt>
                <c:pt idx="48">
                  <c:v>1.3607326427021871</c:v>
                </c:pt>
                <c:pt idx="49">
                  <c:v>1.344827793408893</c:v>
                </c:pt>
                <c:pt idx="50">
                  <c:v>1.3296652658932775</c:v>
                </c:pt>
                <c:pt idx="51">
                  <c:v>1.3151950055317678</c:v>
                </c:pt>
                <c:pt idx="52">
                  <c:v>1.3013712599259171</c:v>
                </c:pt>
                <c:pt idx="53">
                  <c:v>1.2881521325461469</c:v>
                </c:pt>
                <c:pt idx="54">
                  <c:v>1.2879884436857663</c:v>
                </c:pt>
                <c:pt idx="55">
                  <c:v>1.2793261191348009</c:v>
                </c:pt>
                <c:pt idx="56">
                  <c:v>1.2708855128228567</c:v>
                </c:pt>
                <c:pt idx="57">
                  <c:v>1.2626583748821865</c:v>
                </c:pt>
                <c:pt idx="58">
                  <c:v>1.2546368487430728</c:v>
                </c:pt>
                <c:pt idx="59">
                  <c:v>1.246813448358137</c:v>
                </c:pt>
                <c:pt idx="60">
                  <c:v>1.2466453987438619</c:v>
                </c:pt>
                <c:pt idx="61">
                  <c:v>1.2381264983483962</c:v>
                </c:pt>
                <c:pt idx="62">
                  <c:v>1.2298024052286414</c:v>
                </c:pt>
                <c:pt idx="63">
                  <c:v>1.2216667130369057</c:v>
                </c:pt>
                <c:pt idx="64">
                  <c:v>1.2137132840970553</c:v>
                </c:pt>
                <c:pt idx="65">
                  <c:v>1.2059362357542076</c:v>
                </c:pt>
                <c:pt idx="66">
                  <c:v>1.2057508712377385</c:v>
                </c:pt>
                <c:pt idx="67">
                  <c:v>1.1956143939214174</c:v>
                </c:pt>
                <c:pt idx="68">
                  <c:v>1.1857204096861205</c:v>
                </c:pt>
                <c:pt idx="69">
                  <c:v>1.1760607397425538</c:v>
                </c:pt>
                <c:pt idx="70">
                  <c:v>1.1666275540141029</c:v>
                </c:pt>
                <c:pt idx="71">
                  <c:v>1.1574133532323936</c:v>
                </c:pt>
                <c:pt idx="72">
                  <c:v>1.1572000671146074</c:v>
                </c:pt>
                <c:pt idx="73">
                  <c:v>1.1437249713167472</c:v>
                </c:pt>
                <c:pt idx="74">
                  <c:v>1.1306192767309975</c:v>
                </c:pt>
                <c:pt idx="75">
                  <c:v>1.1178691399167484</c:v>
                </c:pt>
                <c:pt idx="76">
                  <c:v>1.1054613641504243</c:v>
                </c:pt>
                <c:pt idx="77">
                  <c:v>1.0933833633925054</c:v>
                </c:pt>
                <c:pt idx="78">
                  <c:v>1.0931272011400253</c:v>
                </c:pt>
                <c:pt idx="79">
                  <c:v>1.0730163270764455</c:v>
                </c:pt>
                <c:pt idx="80">
                  <c:v>1.0536151866718706</c:v>
                </c:pt>
                <c:pt idx="81">
                  <c:v>1.0348910412761883</c:v>
                </c:pt>
                <c:pt idx="82">
                  <c:v>1.0168129938268857</c:v>
                </c:pt>
                <c:pt idx="83">
                  <c:v>0.99935186717326674</c:v>
                </c:pt>
                <c:pt idx="84">
                  <c:v>0.99903511036118886</c:v>
                </c:pt>
                <c:pt idx="85">
                  <c:v>0.96314097568813706</c:v>
                </c:pt>
                <c:pt idx="86">
                  <c:v>0.92924404785780146</c:v>
                </c:pt>
                <c:pt idx="87">
                  <c:v>0.89720811459873862</c:v>
                </c:pt>
                <c:pt idx="88">
                  <c:v>0.86690788662117813</c:v>
                </c:pt>
                <c:pt idx="89">
                  <c:v>0.83822799495077216</c:v>
                </c:pt>
                <c:pt idx="90">
                  <c:v>0.83783361839513948</c:v>
                </c:pt>
                <c:pt idx="91">
                  <c:v>0.7455218600699075</c:v>
                </c:pt>
                <c:pt idx="92">
                  <c:v>0.66608076648234216</c:v>
                </c:pt>
                <c:pt idx="93">
                  <c:v>0.59749399923827839</c:v>
                </c:pt>
                <c:pt idx="94">
                  <c:v>0.53809468260445992</c:v>
                </c:pt>
                <c:pt idx="95">
                  <c:v>0.48649922757191771</c:v>
                </c:pt>
                <c:pt idx="96">
                  <c:v>0.48612183295985489</c:v>
                </c:pt>
                <c:pt idx="97">
                  <c:v>0.28334308171972666</c:v>
                </c:pt>
                <c:pt idx="98">
                  <c:v>0.17600047963705701</c:v>
                </c:pt>
                <c:pt idx="99">
                  <c:v>0.11792865964710414</c:v>
                </c:pt>
                <c:pt idx="100">
                  <c:v>8.587561939721039E-2</c:v>
                </c:pt>
                <c:pt idx="101">
                  <c:v>6.7852639628824263E-2</c:v>
                </c:pt>
                <c:pt idx="102">
                  <c:v>5.7542929386571962E-2</c:v>
                </c:pt>
                <c:pt idx="103">
                  <c:v>5.1550611592683815E-2</c:v>
                </c:pt>
                <c:pt idx="104">
                  <c:v>4.8015627227383173E-2</c:v>
                </c:pt>
                <c:pt idx="105">
                  <c:v>4.5901243776528933E-2</c:v>
                </c:pt>
                <c:pt idx="106">
                  <c:v>4.4620149257383224E-2</c:v>
                </c:pt>
                <c:pt idx="107">
                  <c:v>4.383453187171632E-2</c:v>
                </c:pt>
                <c:pt idx="108">
                  <c:v>4.3347301136267335E-2</c:v>
                </c:pt>
                <c:pt idx="109">
                  <c:v>4.304192179894939E-2</c:v>
                </c:pt>
                <c:pt idx="110">
                  <c:v>4.2848619369695418E-2</c:v>
                </c:pt>
                <c:pt idx="111">
                  <c:v>4.2725121332701788E-2</c:v>
                </c:pt>
                <c:pt idx="112">
                  <c:v>4.2645531219024924E-2</c:v>
                </c:pt>
                <c:pt idx="113">
                  <c:v>4.2593817867076611E-2</c:v>
                </c:pt>
                <c:pt idx="114">
                  <c:v>4.2494175537927448E-2</c:v>
                </c:pt>
                <c:pt idx="115">
                  <c:v>4.2491978824945764E-2</c:v>
                </c:pt>
                <c:pt idx="116">
                  <c:v>4.2491909099868275E-2</c:v>
                </c:pt>
              </c:numCache>
            </c:numRef>
          </c:xVal>
          <c:yVal>
            <c:numRef>
              <c:f>'Up-17'!$U$3:$U$119</c:f>
              <c:numCache>
                <c:formatCode>0.00</c:formatCode>
                <c:ptCount val="117"/>
                <c:pt idx="0">
                  <c:v>-2</c:v>
                </c:pt>
                <c:pt idx="1">
                  <c:v>-1.8969614726236912</c:v>
                </c:pt>
                <c:pt idx="2">
                  <c:v>-1.7953452732086956</c:v>
                </c:pt>
                <c:pt idx="3">
                  <c:v>-1.6951306476852599</c:v>
                </c:pt>
                <c:pt idx="4">
                  <c:v>-1.5962971612217796</c:v>
                </c:pt>
                <c:pt idx="5">
                  <c:v>-1.4988246930612532</c:v>
                </c:pt>
                <c:pt idx="6">
                  <c:v>-1.461605996847559</c:v>
                </c:pt>
                <c:pt idx="7">
                  <c:v>-1.3531742459705258</c:v>
                </c:pt>
                <c:pt idx="8">
                  <c:v>-1.2470025214501372</c:v>
                </c:pt>
                <c:pt idx="9">
                  <c:v>-1.1430379152506058</c:v>
                </c:pt>
                <c:pt idx="10">
                  <c:v>-1.0412288941445749</c:v>
                </c:pt>
                <c:pt idx="11">
                  <c:v>-0.94152526045222285</c:v>
                </c:pt>
                <c:pt idx="12">
                  <c:v>-0.93001918678854367</c:v>
                </c:pt>
                <c:pt idx="13">
                  <c:v>-0.87537953956733838</c:v>
                </c:pt>
                <c:pt idx="14">
                  <c:v>-0.8216091331882649</c:v>
                </c:pt>
                <c:pt idx="15">
                  <c:v>-0.76869166948982959</c:v>
                </c:pt>
                <c:pt idx="16">
                  <c:v>-0.71661120235878117</c:v>
                </c:pt>
                <c:pt idx="17">
                  <c:v>-0.66535212912435227</c:v>
                </c:pt>
                <c:pt idx="18">
                  <c:v>-0.66000334397620364</c:v>
                </c:pt>
                <c:pt idx="19">
                  <c:v>-0.62578171330392929</c:v>
                </c:pt>
                <c:pt idx="20">
                  <c:v>-0.59205556477321586</c:v>
                </c:pt>
                <c:pt idx="21">
                  <c:v>-0.55881616424408509</c:v>
                </c:pt>
                <c:pt idx="22">
                  <c:v>-0.52605495911825528</c:v>
                </c:pt>
                <c:pt idx="23">
                  <c:v>-0.49376357399471577</c:v>
                </c:pt>
                <c:pt idx="24">
                  <c:v>-0.49075210650337375</c:v>
                </c:pt>
                <c:pt idx="25">
                  <c:v>-0.46593761056997274</c:v>
                </c:pt>
                <c:pt idx="26">
                  <c:v>-0.4414870556017817</c:v>
                </c:pt>
                <c:pt idx="27">
                  <c:v>-0.41739380349966526</c:v>
                </c:pt>
                <c:pt idx="28">
                  <c:v>-0.39365136100237708</c:v>
                </c:pt>
                <c:pt idx="29">
                  <c:v>-0.37025337601076436</c:v>
                </c:pt>
                <c:pt idx="30">
                  <c:v>-0.36836040959450012</c:v>
                </c:pt>
                <c:pt idx="31">
                  <c:v>-0.34838517359075338</c:v>
                </c:pt>
                <c:pt idx="32">
                  <c:v>-0.32872973280451179</c:v>
                </c:pt>
                <c:pt idx="33">
                  <c:v>-0.30938762909381329</c:v>
                </c:pt>
                <c:pt idx="34">
                  <c:v>-0.29035256178099311</c:v>
                </c:pt>
                <c:pt idx="35">
                  <c:v>-0.27161838315892745</c:v>
                </c:pt>
                <c:pt idx="36">
                  <c:v>-0.27035186996590954</c:v>
                </c:pt>
                <c:pt idx="37">
                  <c:v>-0.25244379402064504</c:v>
                </c:pt>
                <c:pt idx="38">
                  <c:v>-0.2348731379579668</c:v>
                </c:pt>
                <c:pt idx="39">
                  <c:v>-0.21763180928098663</c:v>
                </c:pt>
                <c:pt idx="40">
                  <c:v>-0.20071195114285534</c:v>
                </c:pt>
                <c:pt idx="41">
                  <c:v>-0.18410593428659533</c:v>
                </c:pt>
                <c:pt idx="42">
                  <c:v>-0.18321833372345758</c:v>
                </c:pt>
                <c:pt idx="43">
                  <c:v>-0.16367168753119349</c:v>
                </c:pt>
                <c:pt idx="44">
                  <c:v>-0.14463971691094424</c:v>
                </c:pt>
                <c:pt idx="45">
                  <c:v>-0.1261050920607831</c:v>
                </c:pt>
                <c:pt idx="46">
                  <c:v>-0.10805119326827393</c:v>
                </c:pt>
                <c:pt idx="47">
                  <c:v>-9.0462076706474798E-2</c:v>
                </c:pt>
                <c:pt idx="48">
                  <c:v>-8.9833694127450056E-2</c:v>
                </c:pt>
                <c:pt idx="49">
                  <c:v>-4.8815780354944598E-2</c:v>
                </c:pt>
                <c:pt idx="50">
                  <c:v>-1.0610237068261252E-2</c:v>
                </c:pt>
                <c:pt idx="51">
                  <c:v>2.5027466541007529E-2</c:v>
                </c:pt>
                <c:pt idx="52">
                  <c:v>5.8316226530770163E-2</c:v>
                </c:pt>
                <c:pt idx="53">
                  <c:v>8.9452432063243534E-2</c:v>
                </c:pt>
                <c:pt idx="54">
                  <c:v>8.9833694127449668E-2</c:v>
                </c:pt>
                <c:pt idx="55">
                  <c:v>0.1098806583124063</c:v>
                </c:pt>
                <c:pt idx="56">
                  <c:v>0.12917049342339165</c:v>
                </c:pt>
                <c:pt idx="57">
                  <c:v>0.14773957990120343</c:v>
                </c:pt>
                <c:pt idx="58">
                  <c:v>0.16562217765166598</c:v>
                </c:pt>
                <c:pt idx="59">
                  <c:v>0.18285057087562068</c:v>
                </c:pt>
                <c:pt idx="60">
                  <c:v>0.18321833372345692</c:v>
                </c:pt>
                <c:pt idx="61">
                  <c:v>0.20175753321055223</c:v>
                </c:pt>
                <c:pt idx="62">
                  <c:v>0.2196764997335294</c:v>
                </c:pt>
                <c:pt idx="63">
                  <c:v>0.23700145598723632</c:v>
                </c:pt>
                <c:pt idx="64">
                  <c:v>0.25375728401123337</c:v>
                </c:pt>
                <c:pt idx="65">
                  <c:v>0.2699676053703311</c:v>
                </c:pt>
                <c:pt idx="66">
                  <c:v>0.27035186996590749</c:v>
                </c:pt>
                <c:pt idx="67">
                  <c:v>0.29124886445440518</c:v>
                </c:pt>
                <c:pt idx="68">
                  <c:v>0.31142613543294095</c:v>
                </c:pt>
                <c:pt idx="69">
                  <c:v>0.33091465965151468</c:v>
                </c:pt>
                <c:pt idx="70">
                  <c:v>0.34974381234853963</c:v>
                </c:pt>
                <c:pt idx="71">
                  <c:v>0.3679414636785413</c:v>
                </c:pt>
                <c:pt idx="72">
                  <c:v>0.36836040959449995</c:v>
                </c:pt>
                <c:pt idx="73">
                  <c:v>0.39467492552460354</c:v>
                </c:pt>
                <c:pt idx="74">
                  <c:v>0.41997729649725679</c:v>
                </c:pt>
                <c:pt idx="75">
                  <c:v>0.44431536866138777</c:v>
                </c:pt>
                <c:pt idx="76">
                  <c:v>0.46773430019744522</c:v>
                </c:pt>
                <c:pt idx="77">
                  <c:v>0.49027673588483689</c:v>
                </c:pt>
                <c:pt idx="78">
                  <c:v>0.49075210650337298</c:v>
                </c:pt>
                <c:pt idx="79">
                  <c:v>0.52782927040628858</c:v>
                </c:pt>
                <c:pt idx="80">
                  <c:v>0.56314022934166852</c:v>
                </c:pt>
                <c:pt idx="81">
                  <c:v>0.59678591013124405</c:v>
                </c:pt>
                <c:pt idx="82">
                  <c:v>0.62886049935123089</c:v>
                </c:pt>
                <c:pt idx="83">
                  <c:v>0.65945195751763519</c:v>
                </c:pt>
                <c:pt idx="84">
                  <c:v>0.66000334397619898</c:v>
                </c:pt>
                <c:pt idx="85">
                  <c:v>0.72197542319156682</c:v>
                </c:pt>
                <c:pt idx="86">
                  <c:v>0.77955623924614925</c:v>
                </c:pt>
                <c:pt idx="87">
                  <c:v>0.83310568164417032</c:v>
                </c:pt>
                <c:pt idx="88">
                  <c:v>0.88295009925386814</c:v>
                </c:pt>
                <c:pt idx="89">
                  <c:v>0.92938579842943292</c:v>
                </c:pt>
                <c:pt idx="90">
                  <c:v>0.9300191867885399</c:v>
                </c:pt>
                <c:pt idx="91">
                  <c:v>1.076236343727337</c:v>
                </c:pt>
                <c:pt idx="92">
                  <c:v>1.1985855023002385</c:v>
                </c:pt>
                <c:pt idx="93">
                  <c:v>1.3013275659828702</c:v>
                </c:pt>
                <c:pt idx="94">
                  <c:v>1.3878977925967957</c:v>
                </c:pt>
                <c:pt idx="95">
                  <c:v>1.4610781357008662</c:v>
                </c:pt>
                <c:pt idx="96">
                  <c:v>1.4616059968409461</c:v>
                </c:pt>
                <c:pt idx="97">
                  <c:v>1.7386016704410707</c:v>
                </c:pt>
                <c:pt idx="98">
                  <c:v>1.8777190146083838</c:v>
                </c:pt>
                <c:pt idx="99">
                  <c:v>1.949174790706854</c:v>
                </c:pt>
                <c:pt idx="100">
                  <c:v>1.9866413281248199</c:v>
                </c:pt>
                <c:pt idx="101">
                  <c:v>2.006662149474904</c:v>
                </c:pt>
                <c:pt idx="102">
                  <c:v>2.0175490066974624</c:v>
                </c:pt>
                <c:pt idx="103">
                  <c:v>2.0235650970623724</c:v>
                </c:pt>
                <c:pt idx="104">
                  <c:v>2.0269393437948136</c:v>
                </c:pt>
                <c:pt idx="105">
                  <c:v>2.0288579821030499</c:v>
                </c:pt>
                <c:pt idx="106">
                  <c:v>2.0299628337162243</c:v>
                </c:pt>
                <c:pt idx="107">
                  <c:v>2.0306065322613764</c:v>
                </c:pt>
                <c:pt idx="108">
                  <c:v>2.0309856112507978</c:v>
                </c:pt>
                <c:pt idx="109">
                  <c:v>2.0312110714605471</c:v>
                </c:pt>
                <c:pt idx="110">
                  <c:v>2.0313463868350099</c:v>
                </c:pt>
                <c:pt idx="111">
                  <c:v>2.0314282750645534</c:v>
                </c:pt>
                <c:pt idx="112">
                  <c:v>2.0314782055166662</c:v>
                </c:pt>
                <c:pt idx="113">
                  <c:v>2.0315088576582783</c:v>
                </c:pt>
                <c:pt idx="114">
                  <c:v>2.0315587858884054</c:v>
                </c:pt>
                <c:pt idx="115">
                  <c:v>2.0315592464409411</c:v>
                </c:pt>
                <c:pt idx="116">
                  <c:v>2.0315592424380267</c:v>
                </c:pt>
              </c:numCache>
            </c:numRef>
          </c:yVal>
        </c:ser>
        <c:axId val="161566080"/>
        <c:axId val="161592832"/>
      </c:scatterChart>
      <c:valAx>
        <c:axId val="161566080"/>
        <c:scaling>
          <c:orientation val="minMax"/>
          <c:max val="2.5"/>
          <c:min val="-2.5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1592832"/>
        <c:crosses val="autoZero"/>
        <c:crossBetween val="midCat"/>
      </c:valAx>
      <c:valAx>
        <c:axId val="161592832"/>
        <c:scaling>
          <c:orientation val="minMax"/>
          <c:max val="2.5"/>
          <c:min val="-2.5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61566080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lineMarker"/>
        <c:ser>
          <c:idx val="1"/>
          <c:order val="0"/>
          <c:spPr>
            <a:ln w="2540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</c:spPr>
          </c:marker>
          <c:xVal>
            <c:numRef>
              <c:f>'Up-17'!$T$3:$T$119</c:f>
              <c:numCache>
                <c:formatCode>0.00</c:formatCode>
                <c:ptCount val="117"/>
                <c:pt idx="0">
                  <c:v>2</c:v>
                </c:pt>
                <c:pt idx="1">
                  <c:v>1.9666360805194365</c:v>
                </c:pt>
                <c:pt idx="2">
                  <c:v>1.9337035874816686</c:v>
                </c:pt>
                <c:pt idx="3">
                  <c:v>1.9011965992837196</c:v>
                </c:pt>
                <c:pt idx="4">
                  <c:v>1.869109280316402</c:v>
                </c:pt>
                <c:pt idx="5">
                  <c:v>1.8374358796468591</c:v>
                </c:pt>
                <c:pt idx="6">
                  <c:v>1.8253343653945604</c:v>
                </c:pt>
                <c:pt idx="7">
                  <c:v>1.7900210286821252</c:v>
                </c:pt>
                <c:pt idx="8">
                  <c:v>1.7553431149748719</c:v>
                </c:pt>
                <c:pt idx="9">
                  <c:v>1.7212875212956513</c:v>
                </c:pt>
                <c:pt idx="10">
                  <c:v>1.6878414491506477</c:v>
                </c:pt>
                <c:pt idx="11">
                  <c:v>1.6549923966607749</c:v>
                </c:pt>
                <c:pt idx="12">
                  <c:v>1.6511954061839587</c:v>
                </c:pt>
                <c:pt idx="13">
                  <c:v>1.6331326487736184</c:v>
                </c:pt>
                <c:pt idx="14">
                  <c:v>1.6153005650599723</c:v>
                </c:pt>
                <c:pt idx="15">
                  <c:v>1.5976955302287648</c:v>
                </c:pt>
                <c:pt idx="16">
                  <c:v>1.5803139869553087</c:v>
                </c:pt>
                <c:pt idx="17">
                  <c:v>1.563152443953534</c:v>
                </c:pt>
                <c:pt idx="18">
                  <c:v>1.5613585395936456</c:v>
                </c:pt>
                <c:pt idx="19">
                  <c:v>1.5498589936348113</c:v>
                </c:pt>
                <c:pt idx="20">
                  <c:v>1.5384859997920273</c:v>
                </c:pt>
                <c:pt idx="21">
                  <c:v>1.5272377478784616</c:v>
                </c:pt>
                <c:pt idx="22">
                  <c:v>1.5161124594232582</c:v>
                </c:pt>
                <c:pt idx="23">
                  <c:v>1.5051083870149313</c:v>
                </c:pt>
                <c:pt idx="24">
                  <c:v>1.5040801959525505</c:v>
                </c:pt>
                <c:pt idx="25">
                  <c:v>1.4955895621306845</c:v>
                </c:pt>
                <c:pt idx="26">
                  <c:v>1.4871899466907805</c:v>
                </c:pt>
                <c:pt idx="27">
                  <c:v>1.4788800298394562</c:v>
                </c:pt>
                <c:pt idx="28">
                  <c:v>1.47065851572783</c:v>
                </c:pt>
                <c:pt idx="29">
                  <c:v>1.4625241319309235</c:v>
                </c:pt>
                <c:pt idx="30">
                  <c:v>1.4618646256914121</c:v>
                </c:pt>
                <c:pt idx="31">
                  <c:v>1.4548877790534489</c:v>
                </c:pt>
                <c:pt idx="32">
                  <c:v>1.4479902669453417</c:v>
                </c:pt>
                <c:pt idx="33">
                  <c:v>1.4411708326972008</c:v>
                </c:pt>
                <c:pt idx="34">
                  <c:v>1.4344282448927892</c:v>
                </c:pt>
                <c:pt idx="35">
                  <c:v>1.4277612967559139</c:v>
                </c:pt>
                <c:pt idx="36">
                  <c:v>1.4273094608865726</c:v>
                </c:pt>
                <c:pt idx="37">
                  <c:v>1.4209009936505286</c:v>
                </c:pt>
                <c:pt idx="38">
                  <c:v>1.414576529496804</c:v>
                </c:pt>
                <c:pt idx="39">
                  <c:v>1.4083345017638871</c:v>
                </c:pt>
                <c:pt idx="40">
                  <c:v>1.4021733811806656</c:v>
                </c:pt>
                <c:pt idx="41">
                  <c:v>1.3960916747816385</c:v>
                </c:pt>
                <c:pt idx="42">
                  <c:v>1.3957656183759459</c:v>
                </c:pt>
                <c:pt idx="43">
                  <c:v>1.3885536113981798</c:v>
                </c:pt>
                <c:pt idx="44">
                  <c:v>1.3814717241311527</c:v>
                </c:pt>
                <c:pt idx="45">
                  <c:v>1.3745165669469499</c:v>
                </c:pt>
                <c:pt idx="46">
                  <c:v>1.3676848637019441</c:v>
                </c:pt>
                <c:pt idx="47">
                  <c:v>1.3609734471083326</c:v>
                </c:pt>
                <c:pt idx="48">
                  <c:v>1.3607326427021871</c:v>
                </c:pt>
                <c:pt idx="49">
                  <c:v>1.344827793408893</c:v>
                </c:pt>
                <c:pt idx="50">
                  <c:v>1.3296652658932775</c:v>
                </c:pt>
                <c:pt idx="51">
                  <c:v>1.3151950055317678</c:v>
                </c:pt>
                <c:pt idx="52">
                  <c:v>1.3013712599259171</c:v>
                </c:pt>
                <c:pt idx="53">
                  <c:v>1.2881521325461469</c:v>
                </c:pt>
                <c:pt idx="54">
                  <c:v>1.2879884436857663</c:v>
                </c:pt>
                <c:pt idx="55">
                  <c:v>1.2793261191348009</c:v>
                </c:pt>
                <c:pt idx="56">
                  <c:v>1.2708855128228567</c:v>
                </c:pt>
                <c:pt idx="57">
                  <c:v>1.2626583748821865</c:v>
                </c:pt>
                <c:pt idx="58">
                  <c:v>1.2546368487430728</c:v>
                </c:pt>
                <c:pt idx="59">
                  <c:v>1.246813448358137</c:v>
                </c:pt>
                <c:pt idx="60">
                  <c:v>1.2466453987438619</c:v>
                </c:pt>
                <c:pt idx="61">
                  <c:v>1.2381264983483962</c:v>
                </c:pt>
                <c:pt idx="62">
                  <c:v>1.2298024052286414</c:v>
                </c:pt>
                <c:pt idx="63">
                  <c:v>1.2216667130369057</c:v>
                </c:pt>
                <c:pt idx="64">
                  <c:v>1.2137132840970553</c:v>
                </c:pt>
                <c:pt idx="65">
                  <c:v>1.2059362357542076</c:v>
                </c:pt>
                <c:pt idx="66">
                  <c:v>1.2057508712377385</c:v>
                </c:pt>
                <c:pt idx="67">
                  <c:v>1.1956143939214174</c:v>
                </c:pt>
                <c:pt idx="68">
                  <c:v>1.1857204096861205</c:v>
                </c:pt>
                <c:pt idx="69">
                  <c:v>1.1760607397425538</c:v>
                </c:pt>
                <c:pt idx="70">
                  <c:v>1.1666275540141029</c:v>
                </c:pt>
                <c:pt idx="71">
                  <c:v>1.1574133532323936</c:v>
                </c:pt>
                <c:pt idx="72">
                  <c:v>1.1572000671146074</c:v>
                </c:pt>
                <c:pt idx="73">
                  <c:v>1.1437249713167472</c:v>
                </c:pt>
                <c:pt idx="74">
                  <c:v>1.1306192767309975</c:v>
                </c:pt>
                <c:pt idx="75">
                  <c:v>1.1178691399167484</c:v>
                </c:pt>
                <c:pt idx="76">
                  <c:v>1.1054613641504243</c:v>
                </c:pt>
                <c:pt idx="77">
                  <c:v>1.0933833633925054</c:v>
                </c:pt>
                <c:pt idx="78">
                  <c:v>1.0931272011400253</c:v>
                </c:pt>
                <c:pt idx="79">
                  <c:v>1.0730163270764455</c:v>
                </c:pt>
                <c:pt idx="80">
                  <c:v>1.0536151866718706</c:v>
                </c:pt>
                <c:pt idx="81">
                  <c:v>1.0348910412761883</c:v>
                </c:pt>
                <c:pt idx="82">
                  <c:v>1.0168129938268857</c:v>
                </c:pt>
                <c:pt idx="83">
                  <c:v>0.99935186717326674</c:v>
                </c:pt>
                <c:pt idx="84">
                  <c:v>0.99903511036118886</c:v>
                </c:pt>
                <c:pt idx="85">
                  <c:v>0.96314097568813706</c:v>
                </c:pt>
                <c:pt idx="86">
                  <c:v>0.92924404785780146</c:v>
                </c:pt>
                <c:pt idx="87">
                  <c:v>0.89720811459873862</c:v>
                </c:pt>
                <c:pt idx="88">
                  <c:v>0.86690788662117813</c:v>
                </c:pt>
                <c:pt idx="89">
                  <c:v>0.83822799495077216</c:v>
                </c:pt>
                <c:pt idx="90">
                  <c:v>0.83783361839513948</c:v>
                </c:pt>
                <c:pt idx="91">
                  <c:v>0.7455218600699075</c:v>
                </c:pt>
                <c:pt idx="92">
                  <c:v>0.66608076648234216</c:v>
                </c:pt>
                <c:pt idx="93">
                  <c:v>0.59749399923827839</c:v>
                </c:pt>
                <c:pt idx="94">
                  <c:v>0.53809468260445992</c:v>
                </c:pt>
                <c:pt idx="95">
                  <c:v>0.48649922757191771</c:v>
                </c:pt>
                <c:pt idx="96">
                  <c:v>0.48612183295985489</c:v>
                </c:pt>
                <c:pt idx="97">
                  <c:v>0.28334308171972666</c:v>
                </c:pt>
                <c:pt idx="98">
                  <c:v>0.17600047963705701</c:v>
                </c:pt>
                <c:pt idx="99">
                  <c:v>0.11792865964710414</c:v>
                </c:pt>
                <c:pt idx="100">
                  <c:v>8.587561939721039E-2</c:v>
                </c:pt>
                <c:pt idx="101">
                  <c:v>6.7852639628824263E-2</c:v>
                </c:pt>
                <c:pt idx="102">
                  <c:v>5.7542929386571962E-2</c:v>
                </c:pt>
                <c:pt idx="103">
                  <c:v>5.1550611592683815E-2</c:v>
                </c:pt>
                <c:pt idx="104">
                  <c:v>4.8015627227383173E-2</c:v>
                </c:pt>
                <c:pt idx="105">
                  <c:v>4.5901243776528933E-2</c:v>
                </c:pt>
                <c:pt idx="106">
                  <c:v>4.4620149257383224E-2</c:v>
                </c:pt>
                <c:pt idx="107">
                  <c:v>4.383453187171632E-2</c:v>
                </c:pt>
                <c:pt idx="108">
                  <c:v>4.3347301136267335E-2</c:v>
                </c:pt>
                <c:pt idx="109">
                  <c:v>4.304192179894939E-2</c:v>
                </c:pt>
                <c:pt idx="110">
                  <c:v>4.2848619369695418E-2</c:v>
                </c:pt>
                <c:pt idx="111">
                  <c:v>4.2725121332701788E-2</c:v>
                </c:pt>
                <c:pt idx="112">
                  <c:v>4.2645531219024924E-2</c:v>
                </c:pt>
                <c:pt idx="113">
                  <c:v>4.2593817867076611E-2</c:v>
                </c:pt>
                <c:pt idx="114">
                  <c:v>4.2494175537927448E-2</c:v>
                </c:pt>
                <c:pt idx="115">
                  <c:v>4.2491978824945764E-2</c:v>
                </c:pt>
                <c:pt idx="116">
                  <c:v>4.2491909099868275E-2</c:v>
                </c:pt>
              </c:numCache>
            </c:numRef>
          </c:xVal>
          <c:yVal>
            <c:numRef>
              <c:f>'Up-17'!$U$3:$U$119</c:f>
              <c:numCache>
                <c:formatCode>0.00</c:formatCode>
                <c:ptCount val="117"/>
                <c:pt idx="0">
                  <c:v>-2</c:v>
                </c:pt>
                <c:pt idx="1">
                  <c:v>-1.8969614726236912</c:v>
                </c:pt>
                <c:pt idx="2">
                  <c:v>-1.7953452732086956</c:v>
                </c:pt>
                <c:pt idx="3">
                  <c:v>-1.6951306476852599</c:v>
                </c:pt>
                <c:pt idx="4">
                  <c:v>-1.5962971612217796</c:v>
                </c:pt>
                <c:pt idx="5">
                  <c:v>-1.4988246930612532</c:v>
                </c:pt>
                <c:pt idx="6">
                  <c:v>-1.461605996847559</c:v>
                </c:pt>
                <c:pt idx="7">
                  <c:v>-1.3531742459705258</c:v>
                </c:pt>
                <c:pt idx="8">
                  <c:v>-1.2470025214501372</c:v>
                </c:pt>
                <c:pt idx="9">
                  <c:v>-1.1430379152506058</c:v>
                </c:pt>
                <c:pt idx="10">
                  <c:v>-1.0412288941445749</c:v>
                </c:pt>
                <c:pt idx="11">
                  <c:v>-0.94152526045222285</c:v>
                </c:pt>
                <c:pt idx="12">
                  <c:v>-0.93001918678854367</c:v>
                </c:pt>
                <c:pt idx="13">
                  <c:v>-0.87537953956733838</c:v>
                </c:pt>
                <c:pt idx="14">
                  <c:v>-0.8216091331882649</c:v>
                </c:pt>
                <c:pt idx="15">
                  <c:v>-0.76869166948982959</c:v>
                </c:pt>
                <c:pt idx="16">
                  <c:v>-0.71661120235878117</c:v>
                </c:pt>
                <c:pt idx="17">
                  <c:v>-0.66535212912435227</c:v>
                </c:pt>
                <c:pt idx="18">
                  <c:v>-0.66000334397620364</c:v>
                </c:pt>
                <c:pt idx="19">
                  <c:v>-0.62578171330392929</c:v>
                </c:pt>
                <c:pt idx="20">
                  <c:v>-0.59205556477321586</c:v>
                </c:pt>
                <c:pt idx="21">
                  <c:v>-0.55881616424408509</c:v>
                </c:pt>
                <c:pt idx="22">
                  <c:v>-0.52605495911825528</c:v>
                </c:pt>
                <c:pt idx="23">
                  <c:v>-0.49376357399471577</c:v>
                </c:pt>
                <c:pt idx="24">
                  <c:v>-0.49075210650337375</c:v>
                </c:pt>
                <c:pt idx="25">
                  <c:v>-0.46593761056997274</c:v>
                </c:pt>
                <c:pt idx="26">
                  <c:v>-0.4414870556017817</c:v>
                </c:pt>
                <c:pt idx="27">
                  <c:v>-0.41739380349966526</c:v>
                </c:pt>
                <c:pt idx="28">
                  <c:v>-0.39365136100237708</c:v>
                </c:pt>
                <c:pt idx="29">
                  <c:v>-0.37025337601076436</c:v>
                </c:pt>
                <c:pt idx="30">
                  <c:v>-0.36836040959450012</c:v>
                </c:pt>
                <c:pt idx="31">
                  <c:v>-0.34838517359075338</c:v>
                </c:pt>
                <c:pt idx="32">
                  <c:v>-0.32872973280451179</c:v>
                </c:pt>
                <c:pt idx="33">
                  <c:v>-0.30938762909381329</c:v>
                </c:pt>
                <c:pt idx="34">
                  <c:v>-0.29035256178099311</c:v>
                </c:pt>
                <c:pt idx="35">
                  <c:v>-0.27161838315892745</c:v>
                </c:pt>
                <c:pt idx="36">
                  <c:v>-0.27035186996590954</c:v>
                </c:pt>
                <c:pt idx="37">
                  <c:v>-0.25244379402064504</c:v>
                </c:pt>
                <c:pt idx="38">
                  <c:v>-0.2348731379579668</c:v>
                </c:pt>
                <c:pt idx="39">
                  <c:v>-0.21763180928098663</c:v>
                </c:pt>
                <c:pt idx="40">
                  <c:v>-0.20071195114285534</c:v>
                </c:pt>
                <c:pt idx="41">
                  <c:v>-0.18410593428659533</c:v>
                </c:pt>
                <c:pt idx="42">
                  <c:v>-0.18321833372345758</c:v>
                </c:pt>
                <c:pt idx="43">
                  <c:v>-0.16367168753119349</c:v>
                </c:pt>
                <c:pt idx="44">
                  <c:v>-0.14463971691094424</c:v>
                </c:pt>
                <c:pt idx="45">
                  <c:v>-0.1261050920607831</c:v>
                </c:pt>
                <c:pt idx="46">
                  <c:v>-0.10805119326827393</c:v>
                </c:pt>
                <c:pt idx="47">
                  <c:v>-9.0462076706474798E-2</c:v>
                </c:pt>
                <c:pt idx="48">
                  <c:v>-8.9833694127450056E-2</c:v>
                </c:pt>
                <c:pt idx="49">
                  <c:v>-4.8815780354944598E-2</c:v>
                </c:pt>
                <c:pt idx="50">
                  <c:v>-1.0610237068261252E-2</c:v>
                </c:pt>
                <c:pt idx="51">
                  <c:v>2.5027466541007529E-2</c:v>
                </c:pt>
                <c:pt idx="52">
                  <c:v>5.8316226530770163E-2</c:v>
                </c:pt>
                <c:pt idx="53">
                  <c:v>8.9452432063243534E-2</c:v>
                </c:pt>
                <c:pt idx="54">
                  <c:v>8.9833694127449668E-2</c:v>
                </c:pt>
                <c:pt idx="55">
                  <c:v>0.1098806583124063</c:v>
                </c:pt>
                <c:pt idx="56">
                  <c:v>0.12917049342339165</c:v>
                </c:pt>
                <c:pt idx="57">
                  <c:v>0.14773957990120343</c:v>
                </c:pt>
                <c:pt idx="58">
                  <c:v>0.16562217765166598</c:v>
                </c:pt>
                <c:pt idx="59">
                  <c:v>0.18285057087562068</c:v>
                </c:pt>
                <c:pt idx="60">
                  <c:v>0.18321833372345692</c:v>
                </c:pt>
                <c:pt idx="61">
                  <c:v>0.20175753321055223</c:v>
                </c:pt>
                <c:pt idx="62">
                  <c:v>0.2196764997335294</c:v>
                </c:pt>
                <c:pt idx="63">
                  <c:v>0.23700145598723632</c:v>
                </c:pt>
                <c:pt idx="64">
                  <c:v>0.25375728401123337</c:v>
                </c:pt>
                <c:pt idx="65">
                  <c:v>0.2699676053703311</c:v>
                </c:pt>
                <c:pt idx="66">
                  <c:v>0.27035186996590749</c:v>
                </c:pt>
                <c:pt idx="67">
                  <c:v>0.29124886445440518</c:v>
                </c:pt>
                <c:pt idx="68">
                  <c:v>0.31142613543294095</c:v>
                </c:pt>
                <c:pt idx="69">
                  <c:v>0.33091465965151468</c:v>
                </c:pt>
                <c:pt idx="70">
                  <c:v>0.34974381234853963</c:v>
                </c:pt>
                <c:pt idx="71">
                  <c:v>0.3679414636785413</c:v>
                </c:pt>
                <c:pt idx="72">
                  <c:v>0.36836040959449995</c:v>
                </c:pt>
                <c:pt idx="73">
                  <c:v>0.39467492552460354</c:v>
                </c:pt>
                <c:pt idx="74">
                  <c:v>0.41997729649725679</c:v>
                </c:pt>
                <c:pt idx="75">
                  <c:v>0.44431536866138777</c:v>
                </c:pt>
                <c:pt idx="76">
                  <c:v>0.46773430019744522</c:v>
                </c:pt>
                <c:pt idx="77">
                  <c:v>0.49027673588483689</c:v>
                </c:pt>
                <c:pt idx="78">
                  <c:v>0.49075210650337298</c:v>
                </c:pt>
                <c:pt idx="79">
                  <c:v>0.52782927040628858</c:v>
                </c:pt>
                <c:pt idx="80">
                  <c:v>0.56314022934166852</c:v>
                </c:pt>
                <c:pt idx="81">
                  <c:v>0.59678591013124405</c:v>
                </c:pt>
                <c:pt idx="82">
                  <c:v>0.62886049935123089</c:v>
                </c:pt>
                <c:pt idx="83">
                  <c:v>0.65945195751763519</c:v>
                </c:pt>
                <c:pt idx="84">
                  <c:v>0.66000334397619898</c:v>
                </c:pt>
                <c:pt idx="85">
                  <c:v>0.72197542319156682</c:v>
                </c:pt>
                <c:pt idx="86">
                  <c:v>0.77955623924614925</c:v>
                </c:pt>
                <c:pt idx="87">
                  <c:v>0.83310568164417032</c:v>
                </c:pt>
                <c:pt idx="88">
                  <c:v>0.88295009925386814</c:v>
                </c:pt>
                <c:pt idx="89">
                  <c:v>0.92938579842943292</c:v>
                </c:pt>
                <c:pt idx="90">
                  <c:v>0.9300191867885399</c:v>
                </c:pt>
                <c:pt idx="91">
                  <c:v>1.076236343727337</c:v>
                </c:pt>
                <c:pt idx="92">
                  <c:v>1.1985855023002385</c:v>
                </c:pt>
                <c:pt idx="93">
                  <c:v>1.3013275659828702</c:v>
                </c:pt>
                <c:pt idx="94">
                  <c:v>1.3878977925967957</c:v>
                </c:pt>
                <c:pt idx="95">
                  <c:v>1.4610781357008662</c:v>
                </c:pt>
                <c:pt idx="96">
                  <c:v>1.4616059968409461</c:v>
                </c:pt>
                <c:pt idx="97">
                  <c:v>1.7386016704410707</c:v>
                </c:pt>
                <c:pt idx="98">
                  <c:v>1.8777190146083838</c:v>
                </c:pt>
                <c:pt idx="99">
                  <c:v>1.949174790706854</c:v>
                </c:pt>
                <c:pt idx="100">
                  <c:v>1.9866413281248199</c:v>
                </c:pt>
                <c:pt idx="101">
                  <c:v>2.006662149474904</c:v>
                </c:pt>
                <c:pt idx="102">
                  <c:v>2.0175490066974624</c:v>
                </c:pt>
                <c:pt idx="103">
                  <c:v>2.0235650970623724</c:v>
                </c:pt>
                <c:pt idx="104">
                  <c:v>2.0269393437948136</c:v>
                </c:pt>
                <c:pt idx="105">
                  <c:v>2.0288579821030499</c:v>
                </c:pt>
                <c:pt idx="106">
                  <c:v>2.0299628337162243</c:v>
                </c:pt>
                <c:pt idx="107">
                  <c:v>2.0306065322613764</c:v>
                </c:pt>
                <c:pt idx="108">
                  <c:v>2.0309856112507978</c:v>
                </c:pt>
                <c:pt idx="109">
                  <c:v>2.0312110714605471</c:v>
                </c:pt>
                <c:pt idx="110">
                  <c:v>2.0313463868350099</c:v>
                </c:pt>
                <c:pt idx="111">
                  <c:v>2.0314282750645534</c:v>
                </c:pt>
                <c:pt idx="112">
                  <c:v>2.0314782055166662</c:v>
                </c:pt>
                <c:pt idx="113">
                  <c:v>2.0315088576582783</c:v>
                </c:pt>
                <c:pt idx="114">
                  <c:v>2.0315587858884054</c:v>
                </c:pt>
                <c:pt idx="115">
                  <c:v>2.0315592464409411</c:v>
                </c:pt>
                <c:pt idx="116">
                  <c:v>2.0315592424380267</c:v>
                </c:pt>
              </c:numCache>
            </c:numRef>
          </c:yVal>
        </c:ser>
        <c:axId val="156238592"/>
        <c:axId val="156240512"/>
      </c:scatterChart>
      <c:valAx>
        <c:axId val="156238592"/>
        <c:scaling>
          <c:orientation val="minMax"/>
          <c:max val="4"/>
          <c:min val="-4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56240512"/>
        <c:crosses val="autoZero"/>
        <c:crossBetween val="midCat"/>
      </c:valAx>
      <c:valAx>
        <c:axId val="156240512"/>
        <c:scaling>
          <c:orientation val="minMax"/>
          <c:max val="4"/>
          <c:min val="-4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56238592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/>
            </a:pPr>
            <a:r>
              <a:rPr lang="de-DE"/>
              <a:t>X-Achse</a:t>
            </a:r>
          </a:p>
        </c:rich>
      </c:tx>
      <c:layout>
        <c:manualLayout>
          <c:xMode val="edge"/>
          <c:yMode val="edge"/>
          <c:x val="8.4232887425733219E-2"/>
          <c:y val="5.0377833753148957E-2"/>
        </c:manualLayout>
      </c:layout>
      <c:overlay val="1"/>
    </c:title>
    <c:plotArea>
      <c:layout/>
      <c:scatterChart>
        <c:scatterStyle val="smoothMarker"/>
        <c:ser>
          <c:idx val="0"/>
          <c:order val="0"/>
          <c:tx>
            <c:strRef>
              <c:f>'Alpha-Up'!$O$10</c:f>
              <c:strCache>
                <c:ptCount val="1"/>
                <c:pt idx="0">
                  <c:v>0,01</c:v>
                </c:pt>
              </c:strCache>
            </c:strRef>
          </c:tx>
          <c:xVal>
            <c:numRef>
              <c:f>'Alpha-Up'!$N$11:$N$55</c:f>
              <c:numCache>
                <c:formatCode>General</c:formatCode>
                <c:ptCount val="45"/>
                <c:pt idx="0">
                  <c:v>3.1414926535897929</c:v>
                </c:pt>
                <c:pt idx="1">
                  <c:v>3.0630528372500483</c:v>
                </c:pt>
                <c:pt idx="2">
                  <c:v>2.9845130209103035</c:v>
                </c:pt>
                <c:pt idx="3">
                  <c:v>2.9059732045705586</c:v>
                </c:pt>
                <c:pt idx="4">
                  <c:v>2.8274333882308138</c:v>
                </c:pt>
                <c:pt idx="5">
                  <c:v>2.748893571891069</c:v>
                </c:pt>
                <c:pt idx="6">
                  <c:v>2.6703537555513241</c:v>
                </c:pt>
                <c:pt idx="7">
                  <c:v>2.5918139392115793</c:v>
                </c:pt>
                <c:pt idx="8">
                  <c:v>2.5132741228718345</c:v>
                </c:pt>
                <c:pt idx="9">
                  <c:v>2.4347343065320897</c:v>
                </c:pt>
                <c:pt idx="10">
                  <c:v>2.3561944901923448</c:v>
                </c:pt>
                <c:pt idx="11">
                  <c:v>2.2776546738526</c:v>
                </c:pt>
                <c:pt idx="12">
                  <c:v>2.1991148575128552</c:v>
                </c:pt>
                <c:pt idx="13">
                  <c:v>2.1205750411731104</c:v>
                </c:pt>
                <c:pt idx="14">
                  <c:v>2.0420352248333655</c:v>
                </c:pt>
                <c:pt idx="15">
                  <c:v>1.9634954084936207</c:v>
                </c:pt>
                <c:pt idx="16">
                  <c:v>1.8849555921538759</c:v>
                </c:pt>
                <c:pt idx="17">
                  <c:v>1.806415775814131</c:v>
                </c:pt>
                <c:pt idx="18">
                  <c:v>1.7278759594743862</c:v>
                </c:pt>
                <c:pt idx="19">
                  <c:v>1.6493361431346414</c:v>
                </c:pt>
                <c:pt idx="20">
                  <c:v>1.5707963267948966</c:v>
                </c:pt>
                <c:pt idx="21">
                  <c:v>1.4922565104551517</c:v>
                </c:pt>
                <c:pt idx="22">
                  <c:v>1.4137166941154069</c:v>
                </c:pt>
                <c:pt idx="23">
                  <c:v>1.3351768777756621</c:v>
                </c:pt>
                <c:pt idx="24">
                  <c:v>1.2566370614359172</c:v>
                </c:pt>
                <c:pt idx="25">
                  <c:v>1.1780972450961724</c:v>
                </c:pt>
                <c:pt idx="26">
                  <c:v>1.0995574287564276</c:v>
                </c:pt>
                <c:pt idx="27">
                  <c:v>1.0210176124166828</c:v>
                </c:pt>
                <c:pt idx="28">
                  <c:v>0.94247779607693793</c:v>
                </c:pt>
                <c:pt idx="29">
                  <c:v>0.86393797973719311</c:v>
                </c:pt>
                <c:pt idx="30">
                  <c:v>0.78539816339744828</c:v>
                </c:pt>
                <c:pt idx="31">
                  <c:v>0.70685834705770345</c:v>
                </c:pt>
                <c:pt idx="32">
                  <c:v>0.62831853071795862</c:v>
                </c:pt>
                <c:pt idx="33">
                  <c:v>0.5497787143782138</c:v>
                </c:pt>
                <c:pt idx="34">
                  <c:v>0.47123889803846897</c:v>
                </c:pt>
                <c:pt idx="35">
                  <c:v>0.39269908169872414</c:v>
                </c:pt>
                <c:pt idx="36">
                  <c:v>0.31415926535897931</c:v>
                </c:pt>
                <c:pt idx="37">
                  <c:v>0.23561944901923448</c:v>
                </c:pt>
                <c:pt idx="38">
                  <c:v>0.15707963267948966</c:v>
                </c:pt>
                <c:pt idx="39">
                  <c:v>7.8539816339744828E-2</c:v>
                </c:pt>
                <c:pt idx="40">
                  <c:v>5.0000000000000001E-4</c:v>
                </c:pt>
                <c:pt idx="41">
                  <c:v>4.0000000000000002E-4</c:v>
                </c:pt>
                <c:pt idx="42">
                  <c:v>2.9999999999999997E-4</c:v>
                </c:pt>
                <c:pt idx="43">
                  <c:v>2.0000000000000001E-4</c:v>
                </c:pt>
                <c:pt idx="44">
                  <c:v>1E-4</c:v>
                </c:pt>
              </c:numCache>
            </c:numRef>
          </c:xVal>
          <c:yVal>
            <c:numRef>
              <c:f>'Alpha-Up'!$O$11:$O$55</c:f>
              <c:numCache>
                <c:formatCode>General</c:formatCode>
                <c:ptCount val="45"/>
                <c:pt idx="0">
                  <c:v>4.8527988831292952E+58</c:v>
                </c:pt>
                <c:pt idx="1">
                  <c:v>1813085258603372</c:v>
                </c:pt>
                <c:pt idx="2">
                  <c:v>54370693163.15313</c:v>
                </c:pt>
                <c:pt idx="3">
                  <c:v>120538976.34419712</c:v>
                </c:pt>
                <c:pt idx="4">
                  <c:v>1544830.4698544047</c:v>
                </c:pt>
                <c:pt idx="5">
                  <c:v>51486.312634091759</c:v>
                </c:pt>
                <c:pt idx="6">
                  <c:v>3126.5019586158242</c:v>
                </c:pt>
                <c:pt idx="7">
                  <c:v>286.78739379496773</c:v>
                </c:pt>
                <c:pt idx="8">
                  <c:v>36.14111009460094</c:v>
                </c:pt>
                <c:pt idx="9">
                  <c:v>6.4088888048048833</c:v>
                </c:pt>
                <c:pt idx="10">
                  <c:v>2</c:v>
                </c:pt>
                <c:pt idx="11">
                  <c:v>1.2223635230027048</c:v>
                </c:pt>
                <c:pt idx="12">
                  <c:v>1.0649519844949271</c:v>
                </c:pt>
                <c:pt idx="13">
                  <c:v>1.0293479832881629</c:v>
                </c:pt>
                <c:pt idx="14">
                  <c:v>1.0205334557686232</c:v>
                </c:pt>
                <c:pt idx="15">
                  <c:v>1.0181837493461781</c:v>
                </c:pt>
                <c:pt idx="16">
                  <c:v>1.0175182785291874</c:v>
                </c:pt>
                <c:pt idx="17">
                  <c:v>1.0173202725308848</c:v>
                </c:pt>
                <c:pt idx="18">
                  <c:v>1.017258969418436</c:v>
                </c:pt>
                <c:pt idx="19">
                  <c:v>1.0172393873270407</c:v>
                </c:pt>
                <c:pt idx="20">
                  <c:v>1.0172329829824618</c:v>
                </c:pt>
                <c:pt idx="21">
                  <c:v>1.0172308537358674</c:v>
                </c:pt>
                <c:pt idx="22">
                  <c:v>1.0172301390139324</c:v>
                </c:pt>
                <c:pt idx="23">
                  <c:v>1.0172298984301842</c:v>
                </c:pt>
                <c:pt idx="24">
                  <c:v>1.017229817778575</c:v>
                </c:pt>
                <c:pt idx="25">
                  <c:v>1.0172297910472958</c:v>
                </c:pt>
                <c:pt idx="26">
                  <c:v>1.0172297823565137</c:v>
                </c:pt>
                <c:pt idx="27">
                  <c:v>1.017229779609282</c:v>
                </c:pt>
                <c:pt idx="28">
                  <c:v>1.0172297787734679</c:v>
                </c:pt>
                <c:pt idx="29">
                  <c:v>1.0172297785316662</c:v>
                </c:pt>
                <c:pt idx="30">
                  <c:v>1.0172297784661204</c:v>
                </c:pt>
                <c:pt idx="31">
                  <c:v>1.0172297784497777</c:v>
                </c:pt>
                <c:pt idx="32">
                  <c:v>1.0172297784461191</c:v>
                </c:pt>
                <c:pt idx="33">
                  <c:v>1.0172297784454065</c:v>
                </c:pt>
                <c:pt idx="34">
                  <c:v>1.0172297784452913</c:v>
                </c:pt>
                <c:pt idx="35">
                  <c:v>1.0172297784452768</c:v>
                </c:pt>
                <c:pt idx="36">
                  <c:v>1.0172297784452755</c:v>
                </c:pt>
                <c:pt idx="37">
                  <c:v>1.0172297784452753</c:v>
                </c:pt>
                <c:pt idx="38">
                  <c:v>1.0172297784452753</c:v>
                </c:pt>
                <c:pt idx="39">
                  <c:v>1.0172297784452753</c:v>
                </c:pt>
                <c:pt idx="40">
                  <c:v>1.0172297784452753</c:v>
                </c:pt>
                <c:pt idx="41">
                  <c:v>1.0172297784452753</c:v>
                </c:pt>
                <c:pt idx="42">
                  <c:v>1.0172297784452753</c:v>
                </c:pt>
                <c:pt idx="43">
                  <c:v>1.0172297784452753</c:v>
                </c:pt>
                <c:pt idx="44">
                  <c:v>1.0172297784452753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'Alpha-Up'!$Q$10</c:f>
              <c:strCache>
                <c:ptCount val="1"/>
                <c:pt idx="0">
                  <c:v>0,02</c:v>
                </c:pt>
              </c:strCache>
            </c:strRef>
          </c:tx>
          <c:xVal>
            <c:numRef>
              <c:f>'Alpha-Up'!$N$11:$N$55</c:f>
              <c:numCache>
                <c:formatCode>General</c:formatCode>
                <c:ptCount val="45"/>
                <c:pt idx="0">
                  <c:v>3.1414926535897929</c:v>
                </c:pt>
                <c:pt idx="1">
                  <c:v>3.0630528372500483</c:v>
                </c:pt>
                <c:pt idx="2">
                  <c:v>2.9845130209103035</c:v>
                </c:pt>
                <c:pt idx="3">
                  <c:v>2.9059732045705586</c:v>
                </c:pt>
                <c:pt idx="4">
                  <c:v>2.8274333882308138</c:v>
                </c:pt>
                <c:pt idx="5">
                  <c:v>2.748893571891069</c:v>
                </c:pt>
                <c:pt idx="6">
                  <c:v>2.6703537555513241</c:v>
                </c:pt>
                <c:pt idx="7">
                  <c:v>2.5918139392115793</c:v>
                </c:pt>
                <c:pt idx="8">
                  <c:v>2.5132741228718345</c:v>
                </c:pt>
                <c:pt idx="9">
                  <c:v>2.4347343065320897</c:v>
                </c:pt>
                <c:pt idx="10">
                  <c:v>2.3561944901923448</c:v>
                </c:pt>
                <c:pt idx="11">
                  <c:v>2.2776546738526</c:v>
                </c:pt>
                <c:pt idx="12">
                  <c:v>2.1991148575128552</c:v>
                </c:pt>
                <c:pt idx="13">
                  <c:v>2.1205750411731104</c:v>
                </c:pt>
                <c:pt idx="14">
                  <c:v>2.0420352248333655</c:v>
                </c:pt>
                <c:pt idx="15">
                  <c:v>1.9634954084936207</c:v>
                </c:pt>
                <c:pt idx="16">
                  <c:v>1.8849555921538759</c:v>
                </c:pt>
                <c:pt idx="17">
                  <c:v>1.806415775814131</c:v>
                </c:pt>
                <c:pt idx="18">
                  <c:v>1.7278759594743862</c:v>
                </c:pt>
                <c:pt idx="19">
                  <c:v>1.6493361431346414</c:v>
                </c:pt>
                <c:pt idx="20">
                  <c:v>1.5707963267948966</c:v>
                </c:pt>
                <c:pt idx="21">
                  <c:v>1.4922565104551517</c:v>
                </c:pt>
                <c:pt idx="22">
                  <c:v>1.4137166941154069</c:v>
                </c:pt>
                <c:pt idx="23">
                  <c:v>1.3351768777756621</c:v>
                </c:pt>
                <c:pt idx="24">
                  <c:v>1.2566370614359172</c:v>
                </c:pt>
                <c:pt idx="25">
                  <c:v>1.1780972450961724</c:v>
                </c:pt>
                <c:pt idx="26">
                  <c:v>1.0995574287564276</c:v>
                </c:pt>
                <c:pt idx="27">
                  <c:v>1.0210176124166828</c:v>
                </c:pt>
                <c:pt idx="28">
                  <c:v>0.94247779607693793</c:v>
                </c:pt>
                <c:pt idx="29">
                  <c:v>0.86393797973719311</c:v>
                </c:pt>
                <c:pt idx="30">
                  <c:v>0.78539816339744828</c:v>
                </c:pt>
                <c:pt idx="31">
                  <c:v>0.70685834705770345</c:v>
                </c:pt>
                <c:pt idx="32">
                  <c:v>0.62831853071795862</c:v>
                </c:pt>
                <c:pt idx="33">
                  <c:v>0.5497787143782138</c:v>
                </c:pt>
                <c:pt idx="34">
                  <c:v>0.47123889803846897</c:v>
                </c:pt>
                <c:pt idx="35">
                  <c:v>0.39269908169872414</c:v>
                </c:pt>
                <c:pt idx="36">
                  <c:v>0.31415926535897931</c:v>
                </c:pt>
                <c:pt idx="37">
                  <c:v>0.23561944901923448</c:v>
                </c:pt>
                <c:pt idx="38">
                  <c:v>0.15707963267948966</c:v>
                </c:pt>
                <c:pt idx="39">
                  <c:v>7.8539816339744828E-2</c:v>
                </c:pt>
                <c:pt idx="40">
                  <c:v>5.0000000000000001E-4</c:v>
                </c:pt>
                <c:pt idx="41">
                  <c:v>4.0000000000000002E-4</c:v>
                </c:pt>
                <c:pt idx="42">
                  <c:v>2.9999999999999997E-4</c:v>
                </c:pt>
                <c:pt idx="43">
                  <c:v>2.0000000000000001E-4</c:v>
                </c:pt>
                <c:pt idx="44">
                  <c:v>1E-4</c:v>
                </c:pt>
              </c:numCache>
            </c:numRef>
          </c:xVal>
          <c:yVal>
            <c:numRef>
              <c:f>'Alpha-Up'!$Q$11:$Q$55</c:f>
              <c:numCache>
                <c:formatCode>General</c:formatCode>
                <c:ptCount val="45"/>
                <c:pt idx="0">
                  <c:v>1.6920518661524797E+31</c:v>
                </c:pt>
                <c:pt idx="1">
                  <c:v>117355486.94104557</c:v>
                </c:pt>
                <c:pt idx="2">
                  <c:v>455887.34958273289</c:v>
                </c:pt>
                <c:pt idx="3">
                  <c:v>17612.106205952929</c:v>
                </c:pt>
                <c:pt idx="4">
                  <c:v>1738.9757460594039</c:v>
                </c:pt>
                <c:pt idx="5">
                  <c:v>287.18741565309142</c:v>
                </c:pt>
                <c:pt idx="6">
                  <c:v>66.058289516162574</c:v>
                </c:pt>
                <c:pt idx="7">
                  <c:v>19.466825195655822</c:v>
                </c:pt>
                <c:pt idx="8">
                  <c:v>7.1744185387011949</c:v>
                </c:pt>
                <c:pt idx="9">
                  <c:v>3.3496937603408448</c:v>
                </c:pt>
                <c:pt idx="10">
                  <c:v>2</c:v>
                </c:pt>
                <c:pt idx="11">
                  <c:v>1.4741824035291953</c:v>
                </c:pt>
                <c:pt idx="12">
                  <c:v>1.2523890275961544</c:v>
                </c:pt>
                <c:pt idx="13">
                  <c:v>1.1525618244532163</c:v>
                </c:pt>
                <c:pt idx="14">
                  <c:v>1.1051537284923072</c:v>
                </c:pt>
                <c:pt idx="15">
                  <c:v>1.0816093559626259</c:v>
                </c:pt>
                <c:pt idx="16">
                  <c:v>1.0694697034294653</c:v>
                </c:pt>
                <c:pt idx="17">
                  <c:v>1.0630102876397158</c:v>
                </c:pt>
                <c:pt idx="18">
                  <c:v>1.0594815301218317</c:v>
                </c:pt>
                <c:pt idx="19">
                  <c:v>1.0575111340101839</c:v>
                </c:pt>
                <c:pt idx="20">
                  <c:v>1.0563910273589241</c:v>
                </c:pt>
                <c:pt idx="21">
                  <c:v>1.0557451394914807</c:v>
                </c:pt>
                <c:pt idx="22">
                  <c:v>1.055368644733615</c:v>
                </c:pt>
                <c:pt idx="23">
                  <c:v>1.0551475265804227</c:v>
                </c:pt>
                <c:pt idx="24">
                  <c:v>1.0550171151410024</c:v>
                </c:pt>
                <c:pt idx="25">
                  <c:v>1.0549401398874356</c:v>
                </c:pt>
                <c:pt idx="26">
                  <c:v>1.0548948341248967</c:v>
                </c:pt>
                <c:pt idx="27">
                  <c:v>1.054868349862905</c:v>
                </c:pt>
                <c:pt idx="28">
                  <c:v>1.0548530430947005</c:v>
                </c:pt>
                <c:pt idx="29">
                  <c:v>1.0548443429214651</c:v>
                </c:pt>
                <c:pt idx="30">
                  <c:v>1.0548395110061817</c:v>
                </c:pt>
                <c:pt idx="31">
                  <c:v>1.0548369099470731</c:v>
                </c:pt>
                <c:pt idx="32">
                  <c:v>1.0548355669463256</c:v>
                </c:pt>
                <c:pt idx="33">
                  <c:v>1.054834911125202</c:v>
                </c:pt>
                <c:pt idx="34">
                  <c:v>1.0548346141637159</c:v>
                </c:pt>
                <c:pt idx="35">
                  <c:v>1.0548344930600861</c:v>
                </c:pt>
                <c:pt idx="36">
                  <c:v>1.0548344930600861</c:v>
                </c:pt>
                <c:pt idx="37">
                  <c:v>1.0548344930600861</c:v>
                </c:pt>
                <c:pt idx="38">
                  <c:v>1.0548344930600861</c:v>
                </c:pt>
                <c:pt idx="39">
                  <c:v>1.0548344930600861</c:v>
                </c:pt>
                <c:pt idx="40">
                  <c:v>1.0548344505748304</c:v>
                </c:pt>
                <c:pt idx="41">
                  <c:v>1.054834438720236</c:v>
                </c:pt>
                <c:pt idx="42">
                  <c:v>1.0548344364572184</c:v>
                </c:pt>
                <c:pt idx="43">
                  <c:v>1.0548344362476452</c:v>
                </c:pt>
                <c:pt idx="44">
                  <c:v>1.0548344362443594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'Alpha-Up'!$S$10</c:f>
              <c:strCache>
                <c:ptCount val="1"/>
                <c:pt idx="0">
                  <c:v>0,03</c:v>
                </c:pt>
              </c:strCache>
            </c:strRef>
          </c:tx>
          <c:xVal>
            <c:numRef>
              <c:f>'Alpha-Up'!$N$11:$N$55</c:f>
              <c:numCache>
                <c:formatCode>General</c:formatCode>
                <c:ptCount val="45"/>
                <c:pt idx="0">
                  <c:v>3.1414926535897929</c:v>
                </c:pt>
                <c:pt idx="1">
                  <c:v>3.0630528372500483</c:v>
                </c:pt>
                <c:pt idx="2">
                  <c:v>2.9845130209103035</c:v>
                </c:pt>
                <c:pt idx="3">
                  <c:v>2.9059732045705586</c:v>
                </c:pt>
                <c:pt idx="4">
                  <c:v>2.8274333882308138</c:v>
                </c:pt>
                <c:pt idx="5">
                  <c:v>2.748893571891069</c:v>
                </c:pt>
                <c:pt idx="6">
                  <c:v>2.6703537555513241</c:v>
                </c:pt>
                <c:pt idx="7">
                  <c:v>2.5918139392115793</c:v>
                </c:pt>
                <c:pt idx="8">
                  <c:v>2.5132741228718345</c:v>
                </c:pt>
                <c:pt idx="9">
                  <c:v>2.4347343065320897</c:v>
                </c:pt>
                <c:pt idx="10">
                  <c:v>2.3561944901923448</c:v>
                </c:pt>
                <c:pt idx="11">
                  <c:v>2.2776546738526</c:v>
                </c:pt>
                <c:pt idx="12">
                  <c:v>2.1991148575128552</c:v>
                </c:pt>
                <c:pt idx="13">
                  <c:v>2.1205750411731104</c:v>
                </c:pt>
                <c:pt idx="14">
                  <c:v>2.0420352248333655</c:v>
                </c:pt>
                <c:pt idx="15">
                  <c:v>1.9634954084936207</c:v>
                </c:pt>
                <c:pt idx="16">
                  <c:v>1.8849555921538759</c:v>
                </c:pt>
                <c:pt idx="17">
                  <c:v>1.806415775814131</c:v>
                </c:pt>
                <c:pt idx="18">
                  <c:v>1.7278759594743862</c:v>
                </c:pt>
                <c:pt idx="19">
                  <c:v>1.6493361431346414</c:v>
                </c:pt>
                <c:pt idx="20">
                  <c:v>1.5707963267948966</c:v>
                </c:pt>
                <c:pt idx="21">
                  <c:v>1.4922565104551517</c:v>
                </c:pt>
                <c:pt idx="22">
                  <c:v>1.4137166941154069</c:v>
                </c:pt>
                <c:pt idx="23">
                  <c:v>1.3351768777756621</c:v>
                </c:pt>
                <c:pt idx="24">
                  <c:v>1.2566370614359172</c:v>
                </c:pt>
                <c:pt idx="25">
                  <c:v>1.1780972450961724</c:v>
                </c:pt>
                <c:pt idx="26">
                  <c:v>1.0995574287564276</c:v>
                </c:pt>
                <c:pt idx="27">
                  <c:v>1.0210176124166828</c:v>
                </c:pt>
                <c:pt idx="28">
                  <c:v>0.94247779607693793</c:v>
                </c:pt>
                <c:pt idx="29">
                  <c:v>0.86393797973719311</c:v>
                </c:pt>
                <c:pt idx="30">
                  <c:v>0.78539816339744828</c:v>
                </c:pt>
                <c:pt idx="31">
                  <c:v>0.70685834705770345</c:v>
                </c:pt>
                <c:pt idx="32">
                  <c:v>0.62831853071795862</c:v>
                </c:pt>
                <c:pt idx="33">
                  <c:v>0.5497787143782138</c:v>
                </c:pt>
                <c:pt idx="34">
                  <c:v>0.47123889803846897</c:v>
                </c:pt>
                <c:pt idx="35">
                  <c:v>0.39269908169872414</c:v>
                </c:pt>
                <c:pt idx="36">
                  <c:v>0.31415926535897931</c:v>
                </c:pt>
                <c:pt idx="37">
                  <c:v>0.23561944901923448</c:v>
                </c:pt>
                <c:pt idx="38">
                  <c:v>0.15707963267948966</c:v>
                </c:pt>
                <c:pt idx="39">
                  <c:v>7.8539816339744828E-2</c:v>
                </c:pt>
                <c:pt idx="40">
                  <c:v>5.0000000000000001E-4</c:v>
                </c:pt>
                <c:pt idx="41">
                  <c:v>4.0000000000000002E-4</c:v>
                </c:pt>
                <c:pt idx="42">
                  <c:v>2.9999999999999997E-4</c:v>
                </c:pt>
                <c:pt idx="43">
                  <c:v>2.0000000000000001E-4</c:v>
                </c:pt>
                <c:pt idx="44">
                  <c:v>1E-4</c:v>
                </c:pt>
              </c:numCache>
            </c:numRef>
          </c:xVal>
          <c:yVal>
            <c:numRef>
              <c:f>'Alpha-Up'!$S$11:$S$55</c:f>
              <c:numCache>
                <c:formatCode>General</c:formatCode>
                <c:ptCount val="45"/>
                <c:pt idx="0">
                  <c:v>1.1422349099158737E+22</c:v>
                </c:pt>
                <c:pt idx="1">
                  <c:v>452970.92559690273</c:v>
                </c:pt>
                <c:pt idx="2">
                  <c:v>8912.6919590274483</c:v>
                </c:pt>
                <c:pt idx="3">
                  <c:v>894.72647491076827</c:v>
                </c:pt>
                <c:pt idx="4">
                  <c:v>175.52018913711697</c:v>
                </c:pt>
                <c:pt idx="5">
                  <c:v>50.097973007253835</c:v>
                </c:pt>
                <c:pt idx="6">
                  <c:v>18.413863509732746</c:v>
                </c:pt>
                <c:pt idx="7">
                  <c:v>8.259538844929887</c:v>
                </c:pt>
                <c:pt idx="8">
                  <c:v>4.4169035428926318</c:v>
                </c:pt>
                <c:pt idx="9">
                  <c:v>2.7729062914292721</c:v>
                </c:pt>
                <c:pt idx="10">
                  <c:v>2</c:v>
                </c:pt>
                <c:pt idx="11">
                  <c:v>1.6084644367328558</c:v>
                </c:pt>
                <c:pt idx="12">
                  <c:v>1.3977628233905164</c:v>
                </c:pt>
                <c:pt idx="13">
                  <c:v>1.2785830009147938</c:v>
                </c:pt>
                <c:pt idx="14">
                  <c:v>1.208304821295846</c:v>
                </c:pt>
                <c:pt idx="15">
                  <c:v>1.1653797421520793</c:v>
                </c:pt>
                <c:pt idx="16">
                  <c:v>1.1383649099655813</c:v>
                </c:pt>
                <c:pt idx="17">
                  <c:v>1.1209220700662637</c:v>
                </c:pt>
                <c:pt idx="18">
                  <c:v>1.1094094666891925</c:v>
                </c:pt>
                <c:pt idx="19">
                  <c:v>1.1016664609519111</c:v>
                </c:pt>
                <c:pt idx="20">
                  <c:v>1.0963743588225676</c:v>
                </c:pt>
                <c:pt idx="21">
                  <c:v>1.0927078472316842</c:v>
                </c:pt>
                <c:pt idx="22">
                  <c:v>1.0901386800804787</c:v>
                </c:pt>
                <c:pt idx="23">
                  <c:v>1.0883218774857262</c:v>
                </c:pt>
                <c:pt idx="24">
                  <c:v>1.0870280232266865</c:v>
                </c:pt>
                <c:pt idx="25">
                  <c:v>1.086102031296631</c:v>
                </c:pt>
                <c:pt idx="26">
                  <c:v>1.0854374926399517</c:v>
                </c:pt>
                <c:pt idx="27">
                  <c:v>1.0849604021875492</c:v>
                </c:pt>
                <c:pt idx="28">
                  <c:v>1.0846186512728426</c:v>
                </c:pt>
                <c:pt idx="29">
                  <c:v>1.0843751313879308</c:v>
                </c:pt>
                <c:pt idx="30">
                  <c:v>1.0842031398660179</c:v>
                </c:pt>
                <c:pt idx="31">
                  <c:v>1.0840832767627777</c:v>
                </c:pt>
                <c:pt idx="32">
                  <c:v>1.0840013224188134</c:v>
                </c:pt>
                <c:pt idx="33">
                  <c:v>1.0839467692135456</c:v>
                </c:pt>
                <c:pt idx="34">
                  <c:v>1.0839117957784625</c:v>
                </c:pt>
                <c:pt idx="35">
                  <c:v>1.0838905447083418</c:v>
                </c:pt>
                <c:pt idx="36">
                  <c:v>1.0838905447083418</c:v>
                </c:pt>
                <c:pt idx="37">
                  <c:v>1.0838905447083418</c:v>
                </c:pt>
                <c:pt idx="38">
                  <c:v>1.0838905447083418</c:v>
                </c:pt>
                <c:pt idx="39">
                  <c:v>1.0838905447083418</c:v>
                </c:pt>
                <c:pt idx="40">
                  <c:v>1.0838786117871271</c:v>
                </c:pt>
                <c:pt idx="41">
                  <c:v>1.0838726857885044</c:v>
                </c:pt>
                <c:pt idx="42">
                  <c:v>1.0838702993359215</c:v>
                </c:pt>
                <c:pt idx="43">
                  <c:v>1.0838696679754238</c:v>
                </c:pt>
                <c:pt idx="44">
                  <c:v>1.0838696144579667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'Alpha-Up'!$U$10</c:f>
              <c:strCache>
                <c:ptCount val="1"/>
                <c:pt idx="0">
                  <c:v>0,04</c:v>
                </c:pt>
              </c:strCache>
            </c:strRef>
          </c:tx>
          <c:xVal>
            <c:numRef>
              <c:f>'Alpha-Up'!$N$11:$N$55</c:f>
              <c:numCache>
                <c:formatCode>General</c:formatCode>
                <c:ptCount val="45"/>
                <c:pt idx="0">
                  <c:v>3.1414926535897929</c:v>
                </c:pt>
                <c:pt idx="1">
                  <c:v>3.0630528372500483</c:v>
                </c:pt>
                <c:pt idx="2">
                  <c:v>2.9845130209103035</c:v>
                </c:pt>
                <c:pt idx="3">
                  <c:v>2.9059732045705586</c:v>
                </c:pt>
                <c:pt idx="4">
                  <c:v>2.8274333882308138</c:v>
                </c:pt>
                <c:pt idx="5">
                  <c:v>2.748893571891069</c:v>
                </c:pt>
                <c:pt idx="6">
                  <c:v>2.6703537555513241</c:v>
                </c:pt>
                <c:pt idx="7">
                  <c:v>2.5918139392115793</c:v>
                </c:pt>
                <c:pt idx="8">
                  <c:v>2.5132741228718345</c:v>
                </c:pt>
                <c:pt idx="9">
                  <c:v>2.4347343065320897</c:v>
                </c:pt>
                <c:pt idx="10">
                  <c:v>2.3561944901923448</c:v>
                </c:pt>
                <c:pt idx="11">
                  <c:v>2.2776546738526</c:v>
                </c:pt>
                <c:pt idx="12">
                  <c:v>2.1991148575128552</c:v>
                </c:pt>
                <c:pt idx="13">
                  <c:v>2.1205750411731104</c:v>
                </c:pt>
                <c:pt idx="14">
                  <c:v>2.0420352248333655</c:v>
                </c:pt>
                <c:pt idx="15">
                  <c:v>1.9634954084936207</c:v>
                </c:pt>
                <c:pt idx="16">
                  <c:v>1.8849555921538759</c:v>
                </c:pt>
                <c:pt idx="17">
                  <c:v>1.806415775814131</c:v>
                </c:pt>
                <c:pt idx="18">
                  <c:v>1.7278759594743862</c:v>
                </c:pt>
                <c:pt idx="19">
                  <c:v>1.6493361431346414</c:v>
                </c:pt>
                <c:pt idx="20">
                  <c:v>1.5707963267948966</c:v>
                </c:pt>
                <c:pt idx="21">
                  <c:v>1.4922565104551517</c:v>
                </c:pt>
                <c:pt idx="22">
                  <c:v>1.4137166941154069</c:v>
                </c:pt>
                <c:pt idx="23">
                  <c:v>1.3351768777756621</c:v>
                </c:pt>
                <c:pt idx="24">
                  <c:v>1.2566370614359172</c:v>
                </c:pt>
                <c:pt idx="25">
                  <c:v>1.1780972450961724</c:v>
                </c:pt>
                <c:pt idx="26">
                  <c:v>1.0995574287564276</c:v>
                </c:pt>
                <c:pt idx="27">
                  <c:v>1.0210176124166828</c:v>
                </c:pt>
                <c:pt idx="28">
                  <c:v>0.94247779607693793</c:v>
                </c:pt>
                <c:pt idx="29">
                  <c:v>0.86393797973719311</c:v>
                </c:pt>
                <c:pt idx="30">
                  <c:v>0.78539816339744828</c:v>
                </c:pt>
                <c:pt idx="31">
                  <c:v>0.70685834705770345</c:v>
                </c:pt>
                <c:pt idx="32">
                  <c:v>0.62831853071795862</c:v>
                </c:pt>
                <c:pt idx="33">
                  <c:v>0.5497787143782138</c:v>
                </c:pt>
                <c:pt idx="34">
                  <c:v>0.47123889803846897</c:v>
                </c:pt>
                <c:pt idx="35">
                  <c:v>0.39269908169872414</c:v>
                </c:pt>
                <c:pt idx="36">
                  <c:v>0.31415926535897931</c:v>
                </c:pt>
                <c:pt idx="37">
                  <c:v>0.23561944901923448</c:v>
                </c:pt>
                <c:pt idx="38">
                  <c:v>0.15707963267948966</c:v>
                </c:pt>
                <c:pt idx="39">
                  <c:v>7.8539816339744828E-2</c:v>
                </c:pt>
                <c:pt idx="40">
                  <c:v>5.0000000000000001E-4</c:v>
                </c:pt>
                <c:pt idx="41">
                  <c:v>4.0000000000000002E-4</c:v>
                </c:pt>
                <c:pt idx="42">
                  <c:v>2.9999999999999997E-4</c:v>
                </c:pt>
                <c:pt idx="43">
                  <c:v>2.0000000000000001E-4</c:v>
                </c:pt>
                <c:pt idx="44">
                  <c:v>1E-4</c:v>
                </c:pt>
              </c:numCache>
            </c:numRef>
          </c:xVal>
          <c:yVal>
            <c:numRef>
              <c:f>'Alpha-Up'!$U$11:$U$55</c:f>
              <c:numCache>
                <c:formatCode>General</c:formatCode>
                <c:ptCount val="45"/>
                <c:pt idx="0">
                  <c:v>2.8835649992119808E+17</c:v>
                </c:pt>
                <c:pt idx="1">
                  <c:v>27393.560185816794</c:v>
                </c:pt>
                <c:pt idx="2">
                  <c:v>1214.916194101698</c:v>
                </c:pt>
                <c:pt idx="3">
                  <c:v>197.45269707079271</c:v>
                </c:pt>
                <c:pt idx="4">
                  <c:v>55.094239680728435</c:v>
                </c:pt>
                <c:pt idx="5">
                  <c:v>20.962106051587437</c:v>
                </c:pt>
                <c:pt idx="6">
                  <c:v>9.8838825456363164</c:v>
                </c:pt>
                <c:pt idx="7">
                  <c:v>5.5112104231853776</c:v>
                </c:pt>
                <c:pt idx="8">
                  <c:v>3.5312191992244255</c:v>
                </c:pt>
                <c:pt idx="9">
                  <c:v>2.538486789440189</c:v>
                </c:pt>
                <c:pt idx="10">
                  <c:v>2</c:v>
                </c:pt>
                <c:pt idx="11">
                  <c:v>1.6890326712178492</c:v>
                </c:pt>
                <c:pt idx="12">
                  <c:v>1.5000548055019247</c:v>
                </c:pt>
                <c:pt idx="13">
                  <c:v>1.3802441072702756</c:v>
                </c:pt>
                <c:pt idx="14">
                  <c:v>1.301526674849502</c:v>
                </c:pt>
                <c:pt idx="15">
                  <c:v>1.2482111667495068</c:v>
                </c:pt>
                <c:pt idx="16">
                  <c:v>1.2111426362933855</c:v>
                </c:pt>
                <c:pt idx="17">
                  <c:v>1.18477826243236</c:v>
                </c:pt>
                <c:pt idx="18">
                  <c:v>1.1656520882566328</c:v>
                </c:pt>
                <c:pt idx="19">
                  <c:v>1.1515344182596718</c:v>
                </c:pt>
                <c:pt idx="20">
                  <c:v>1.1409542986490409</c:v>
                </c:pt>
                <c:pt idx="21">
                  <c:v>1.1329192769264775</c:v>
                </c:pt>
                <c:pt idx="22">
                  <c:v>1.1267460987683198</c:v>
                </c:pt>
                <c:pt idx="23">
                  <c:v>1.1219557313398367</c:v>
                </c:pt>
                <c:pt idx="24">
                  <c:v>1.1182067273872804</c:v>
                </c:pt>
                <c:pt idx="25">
                  <c:v>1.1152520172810174</c:v>
                </c:pt>
                <c:pt idx="26">
                  <c:v>1.1129103434432492</c:v>
                </c:pt>
                <c:pt idx="27">
                  <c:v>1.111047036436938</c:v>
                </c:pt>
                <c:pt idx="28">
                  <c:v>1.1095608640560453</c:v>
                </c:pt>
                <c:pt idx="29">
                  <c:v>1.1083748969959606</c:v>
                </c:pt>
                <c:pt idx="30">
                  <c:v>1.1074300730849878</c:v>
                </c:pt>
                <c:pt idx="31">
                  <c:v>1.1066806004725527</c:v>
                </c:pt>
                <c:pt idx="32">
                  <c:v>1.1060906296731168</c:v>
                </c:pt>
                <c:pt idx="33">
                  <c:v>1.1056318098823397</c:v>
                </c:pt>
                <c:pt idx="34">
                  <c:v>1.1052814650596221</c:v>
                </c:pt>
                <c:pt idx="35">
                  <c:v>1.1050212028739257</c:v>
                </c:pt>
                <c:pt idx="36">
                  <c:v>1.1048358178149393</c:v>
                </c:pt>
                <c:pt idx="37">
                  <c:v>1.1047123737113367</c:v>
                </c:pt>
                <c:pt idx="38">
                  <c:v>1.1046393435855628</c:v>
                </c:pt>
                <c:pt idx="39">
                  <c:v>1.1046055954728178</c:v>
                </c:pt>
                <c:pt idx="40">
                  <c:v>1.1045983936238284</c:v>
                </c:pt>
                <c:pt idx="41">
                  <c:v>1.1045983936138035</c:v>
                </c:pt>
                <c:pt idx="42">
                  <c:v>1.104598393606917</c:v>
                </c:pt>
                <c:pt idx="43">
                  <c:v>1.104598393602747</c:v>
                </c:pt>
                <c:pt idx="44">
                  <c:v>1.1045983936007899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'Alpha-Up'!$W$10</c:f>
              <c:strCache>
                <c:ptCount val="1"/>
                <c:pt idx="0">
                  <c:v>0,05</c:v>
                </c:pt>
              </c:strCache>
            </c:strRef>
          </c:tx>
          <c:xVal>
            <c:numRef>
              <c:f>'Alpha-Up'!$N$11:$N$55</c:f>
              <c:numCache>
                <c:formatCode>General</c:formatCode>
                <c:ptCount val="45"/>
                <c:pt idx="0">
                  <c:v>3.1414926535897929</c:v>
                </c:pt>
                <c:pt idx="1">
                  <c:v>3.0630528372500483</c:v>
                </c:pt>
                <c:pt idx="2">
                  <c:v>2.9845130209103035</c:v>
                </c:pt>
                <c:pt idx="3">
                  <c:v>2.9059732045705586</c:v>
                </c:pt>
                <c:pt idx="4">
                  <c:v>2.8274333882308138</c:v>
                </c:pt>
                <c:pt idx="5">
                  <c:v>2.748893571891069</c:v>
                </c:pt>
                <c:pt idx="6">
                  <c:v>2.6703537555513241</c:v>
                </c:pt>
                <c:pt idx="7">
                  <c:v>2.5918139392115793</c:v>
                </c:pt>
                <c:pt idx="8">
                  <c:v>2.5132741228718345</c:v>
                </c:pt>
                <c:pt idx="9">
                  <c:v>2.4347343065320897</c:v>
                </c:pt>
                <c:pt idx="10">
                  <c:v>2.3561944901923448</c:v>
                </c:pt>
                <c:pt idx="11">
                  <c:v>2.2776546738526</c:v>
                </c:pt>
                <c:pt idx="12">
                  <c:v>2.1991148575128552</c:v>
                </c:pt>
                <c:pt idx="13">
                  <c:v>2.1205750411731104</c:v>
                </c:pt>
                <c:pt idx="14">
                  <c:v>2.0420352248333655</c:v>
                </c:pt>
                <c:pt idx="15">
                  <c:v>1.9634954084936207</c:v>
                </c:pt>
                <c:pt idx="16">
                  <c:v>1.8849555921538759</c:v>
                </c:pt>
                <c:pt idx="17">
                  <c:v>1.806415775814131</c:v>
                </c:pt>
                <c:pt idx="18">
                  <c:v>1.7278759594743862</c:v>
                </c:pt>
                <c:pt idx="19">
                  <c:v>1.6493361431346414</c:v>
                </c:pt>
                <c:pt idx="20">
                  <c:v>1.5707963267948966</c:v>
                </c:pt>
                <c:pt idx="21">
                  <c:v>1.4922565104551517</c:v>
                </c:pt>
                <c:pt idx="22">
                  <c:v>1.4137166941154069</c:v>
                </c:pt>
                <c:pt idx="23">
                  <c:v>1.3351768777756621</c:v>
                </c:pt>
                <c:pt idx="24">
                  <c:v>1.2566370614359172</c:v>
                </c:pt>
                <c:pt idx="25">
                  <c:v>1.1780972450961724</c:v>
                </c:pt>
                <c:pt idx="26">
                  <c:v>1.0995574287564276</c:v>
                </c:pt>
                <c:pt idx="27">
                  <c:v>1.0210176124166828</c:v>
                </c:pt>
                <c:pt idx="28">
                  <c:v>0.94247779607693793</c:v>
                </c:pt>
                <c:pt idx="29">
                  <c:v>0.86393797973719311</c:v>
                </c:pt>
                <c:pt idx="30">
                  <c:v>0.78539816339744828</c:v>
                </c:pt>
                <c:pt idx="31">
                  <c:v>0.70685834705770345</c:v>
                </c:pt>
                <c:pt idx="32">
                  <c:v>0.62831853071795862</c:v>
                </c:pt>
                <c:pt idx="33">
                  <c:v>0.5497787143782138</c:v>
                </c:pt>
                <c:pt idx="34">
                  <c:v>0.47123889803846897</c:v>
                </c:pt>
                <c:pt idx="35">
                  <c:v>0.39269908169872414</c:v>
                </c:pt>
                <c:pt idx="36">
                  <c:v>0.31415926535897931</c:v>
                </c:pt>
                <c:pt idx="37">
                  <c:v>0.23561944901923448</c:v>
                </c:pt>
                <c:pt idx="38">
                  <c:v>0.15707963267948966</c:v>
                </c:pt>
                <c:pt idx="39">
                  <c:v>7.8539816339744828E-2</c:v>
                </c:pt>
                <c:pt idx="40">
                  <c:v>5.0000000000000001E-4</c:v>
                </c:pt>
                <c:pt idx="41">
                  <c:v>4.0000000000000002E-4</c:v>
                </c:pt>
                <c:pt idx="42">
                  <c:v>2.9999999999999997E-4</c:v>
                </c:pt>
                <c:pt idx="43">
                  <c:v>2.0000000000000001E-4</c:v>
                </c:pt>
                <c:pt idx="44">
                  <c:v>1E-4</c:v>
                </c:pt>
              </c:numCache>
            </c:numRef>
          </c:xVal>
          <c:yVal>
            <c:numRef>
              <c:f>'Alpha-Up'!$W$11:$W$55</c:f>
              <c:numCache>
                <c:formatCode>General</c:formatCode>
                <c:ptCount val="45"/>
                <c:pt idx="0">
                  <c:v>492031733629581.87</c:v>
                </c:pt>
                <c:pt idx="1">
                  <c:v>4989.6605098792952</c:v>
                </c:pt>
                <c:pt idx="2">
                  <c:v>361.23587685981948</c:v>
                </c:pt>
                <c:pt idx="3">
                  <c:v>78.82574824449101</c:v>
                </c:pt>
                <c:pt idx="4">
                  <c:v>27.405334472831555</c:v>
                </c:pt>
                <c:pt idx="5">
                  <c:v>12.504225644391894</c:v>
                </c:pt>
                <c:pt idx="6">
                  <c:v>6.887414467340542</c:v>
                </c:pt>
                <c:pt idx="7">
                  <c:v>4.3763849014254017</c:v>
                </c:pt>
                <c:pt idx="8">
                  <c:v>3.1104521174691508</c:v>
                </c:pt>
                <c:pt idx="9">
                  <c:v>2.4124774975986405</c:v>
                </c:pt>
                <c:pt idx="10">
                  <c:v>2</c:v>
                </c:pt>
                <c:pt idx="11">
                  <c:v>1.7423434635029478</c:v>
                </c:pt>
                <c:pt idx="12">
                  <c:v>1.573924063131289</c:v>
                </c:pt>
                <c:pt idx="13">
                  <c:v>1.4595863658329136</c:v>
                </c:pt>
                <c:pt idx="14">
                  <c:v>1.3794319046889534</c:v>
                </c:pt>
                <c:pt idx="15">
                  <c:v>1.3216704432092659</c:v>
                </c:pt>
                <c:pt idx="16">
                  <c:v>1.2790377973254536</c:v>
                </c:pt>
                <c:pt idx="17">
                  <c:v>1.2469047991362503</c:v>
                </c:pt>
                <c:pt idx="18">
                  <c:v>1.2222333146171844</c:v>
                </c:pt>
                <c:pt idx="19">
                  <c:v>1.2029770378239704</c:v>
                </c:pt>
                <c:pt idx="20">
                  <c:v>1.1877256332032995</c:v>
                </c:pt>
                <c:pt idx="21">
                  <c:v>1.1754869214340435</c:v>
                </c:pt>
                <c:pt idx="22">
                  <c:v>1.1655499241730838</c:v>
                </c:pt>
                <c:pt idx="23">
                  <c:v>1.1573966479252413</c:v>
                </c:pt>
                <c:pt idx="24">
                  <c:v>1.1506440127229856</c:v>
                </c:pt>
                <c:pt idx="25">
                  <c:v>1.1450048647424267</c:v>
                </c:pt>
                <c:pt idx="26">
                  <c:v>1.140261329543045</c:v>
                </c:pt>
                <c:pt idx="27">
                  <c:v>1.1362463020524112</c:v>
                </c:pt>
                <c:pt idx="28">
                  <c:v>1.1328303987720987</c:v>
                </c:pt>
                <c:pt idx="29">
                  <c:v>1.1299126389890599</c:v>
                </c:pt>
                <c:pt idx="30">
                  <c:v>1.1274137130212338</c:v>
                </c:pt>
                <c:pt idx="31">
                  <c:v>1.1252710741871987</c:v>
                </c:pt>
                <c:pt idx="32">
                  <c:v>1.1234353385848213</c:v>
                </c:pt>
                <c:pt idx="33">
                  <c:v>1.1218676422812046</c:v>
                </c:pt>
                <c:pt idx="34">
                  <c:v>1.1205377204097118</c:v>
                </c:pt>
                <c:pt idx="35">
                  <c:v>1.1194225587379094</c:v>
                </c:pt>
                <c:pt idx="36">
                  <c:v>1.1185055454358261</c:v>
                </c:pt>
                <c:pt idx="37">
                  <c:v>1.1177761507013921</c:v>
                </c:pt>
                <c:pt idx="38">
                  <c:v>1.1172303774637287</c:v>
                </c:pt>
                <c:pt idx="39">
                  <c:v>1.1168730118200547</c:v>
                </c:pt>
                <c:pt idx="40">
                  <c:v>1.1167297326858154</c:v>
                </c:pt>
                <c:pt idx="41">
                  <c:v>1.1167297273559293</c:v>
                </c:pt>
                <c:pt idx="42">
                  <c:v>1.1167297229951672</c:v>
                </c:pt>
                <c:pt idx="43">
                  <c:v>1.116729719662668</c:v>
                </c:pt>
                <c:pt idx="44">
                  <c:v>1.1167297174497826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'Alpha-Up'!$Y$10</c:f>
              <c:strCache>
                <c:ptCount val="1"/>
                <c:pt idx="0">
                  <c:v>0,06</c:v>
                </c:pt>
              </c:strCache>
            </c:strRef>
          </c:tx>
          <c:xVal>
            <c:numRef>
              <c:f>'Alpha-Up'!$N$11:$N$55</c:f>
              <c:numCache>
                <c:formatCode>General</c:formatCode>
                <c:ptCount val="45"/>
                <c:pt idx="0">
                  <c:v>3.1414926535897929</c:v>
                </c:pt>
                <c:pt idx="1">
                  <c:v>3.0630528372500483</c:v>
                </c:pt>
                <c:pt idx="2">
                  <c:v>2.9845130209103035</c:v>
                </c:pt>
                <c:pt idx="3">
                  <c:v>2.9059732045705586</c:v>
                </c:pt>
                <c:pt idx="4">
                  <c:v>2.8274333882308138</c:v>
                </c:pt>
                <c:pt idx="5">
                  <c:v>2.748893571891069</c:v>
                </c:pt>
                <c:pt idx="6">
                  <c:v>2.6703537555513241</c:v>
                </c:pt>
                <c:pt idx="7">
                  <c:v>2.5918139392115793</c:v>
                </c:pt>
                <c:pt idx="8">
                  <c:v>2.5132741228718345</c:v>
                </c:pt>
                <c:pt idx="9">
                  <c:v>2.4347343065320897</c:v>
                </c:pt>
                <c:pt idx="10">
                  <c:v>2.3561944901923448</c:v>
                </c:pt>
                <c:pt idx="11">
                  <c:v>2.2776546738526</c:v>
                </c:pt>
                <c:pt idx="12">
                  <c:v>2.1991148575128552</c:v>
                </c:pt>
                <c:pt idx="13">
                  <c:v>2.1205750411731104</c:v>
                </c:pt>
                <c:pt idx="14">
                  <c:v>2.0420352248333655</c:v>
                </c:pt>
                <c:pt idx="15">
                  <c:v>1.9634954084936207</c:v>
                </c:pt>
                <c:pt idx="16">
                  <c:v>1.8849555921538759</c:v>
                </c:pt>
                <c:pt idx="17">
                  <c:v>1.806415775814131</c:v>
                </c:pt>
                <c:pt idx="18">
                  <c:v>1.7278759594743862</c:v>
                </c:pt>
                <c:pt idx="19">
                  <c:v>1.6493361431346414</c:v>
                </c:pt>
                <c:pt idx="20">
                  <c:v>1.5707963267948966</c:v>
                </c:pt>
                <c:pt idx="21">
                  <c:v>1.4922565104551517</c:v>
                </c:pt>
                <c:pt idx="22">
                  <c:v>1.4137166941154069</c:v>
                </c:pt>
                <c:pt idx="23">
                  <c:v>1.3351768777756621</c:v>
                </c:pt>
                <c:pt idx="24">
                  <c:v>1.2566370614359172</c:v>
                </c:pt>
                <c:pt idx="25">
                  <c:v>1.1780972450961724</c:v>
                </c:pt>
                <c:pt idx="26">
                  <c:v>1.0995574287564276</c:v>
                </c:pt>
                <c:pt idx="27">
                  <c:v>1.0210176124166828</c:v>
                </c:pt>
                <c:pt idx="28">
                  <c:v>0.94247779607693793</c:v>
                </c:pt>
                <c:pt idx="29">
                  <c:v>0.86393797973719311</c:v>
                </c:pt>
                <c:pt idx="30">
                  <c:v>0.78539816339744828</c:v>
                </c:pt>
                <c:pt idx="31">
                  <c:v>0.70685834705770345</c:v>
                </c:pt>
                <c:pt idx="32">
                  <c:v>0.62831853071795862</c:v>
                </c:pt>
                <c:pt idx="33">
                  <c:v>0.5497787143782138</c:v>
                </c:pt>
                <c:pt idx="34">
                  <c:v>0.47123889803846897</c:v>
                </c:pt>
                <c:pt idx="35">
                  <c:v>0.39269908169872414</c:v>
                </c:pt>
                <c:pt idx="36">
                  <c:v>0.31415926535897931</c:v>
                </c:pt>
                <c:pt idx="37">
                  <c:v>0.23561944901923448</c:v>
                </c:pt>
                <c:pt idx="38">
                  <c:v>0.15707963267948966</c:v>
                </c:pt>
                <c:pt idx="39">
                  <c:v>7.8539816339744828E-2</c:v>
                </c:pt>
                <c:pt idx="40">
                  <c:v>5.0000000000000001E-4</c:v>
                </c:pt>
                <c:pt idx="41">
                  <c:v>4.0000000000000002E-4</c:v>
                </c:pt>
                <c:pt idx="42">
                  <c:v>2.9999999999999997E-4</c:v>
                </c:pt>
                <c:pt idx="43">
                  <c:v>2.0000000000000001E-4</c:v>
                </c:pt>
                <c:pt idx="44">
                  <c:v>1E-4</c:v>
                </c:pt>
              </c:numCache>
            </c:numRef>
          </c:xVal>
          <c:yVal>
            <c:numRef>
              <c:f>'Alpha-Up'!$Y$11:$Y$55</c:f>
              <c:numCache>
                <c:formatCode>General</c:formatCode>
                <c:ptCount val="45"/>
                <c:pt idx="0">
                  <c:v>6911086035216.0928</c:v>
                </c:pt>
                <c:pt idx="1">
                  <c:v>1579.769950143067</c:v>
                </c:pt>
                <c:pt idx="2">
                  <c:v>159.05051686068848</c:v>
                </c:pt>
                <c:pt idx="3">
                  <c:v>42.475529098090043</c:v>
                </c:pt>
                <c:pt idx="4">
                  <c:v>17.213029774739802</c:v>
                </c:pt>
                <c:pt idx="5">
                  <c:v>8.911615360206838</c:v>
                </c:pt>
                <c:pt idx="6">
                  <c:v>5.4554504203062111</c:v>
                </c:pt>
                <c:pt idx="7">
                  <c:v>3.7768933234331765</c:v>
                </c:pt>
                <c:pt idx="8">
                  <c:v>2.8679349043244216</c:v>
                </c:pt>
                <c:pt idx="9">
                  <c:v>2.3340455722670894</c:v>
                </c:pt>
                <c:pt idx="10">
                  <c:v>2</c:v>
                </c:pt>
                <c:pt idx="11">
                  <c:v>1.7801282815999775</c:v>
                </c:pt>
                <c:pt idx="12">
                  <c:v>1.6292535456655881</c:v>
                </c:pt>
                <c:pt idx="13">
                  <c:v>1.5220477285070271</c:v>
                </c:pt>
                <c:pt idx="14">
                  <c:v>1.4435729409402629</c:v>
                </c:pt>
                <c:pt idx="15">
                  <c:v>1.3846353471022577</c:v>
                </c:pt>
                <c:pt idx="16">
                  <c:v>1.3393665243061963</c:v>
                </c:pt>
                <c:pt idx="17">
                  <c:v>1.3039008466076467</c:v>
                </c:pt>
                <c:pt idx="18">
                  <c:v>1.2756209630050983</c:v>
                </c:pt>
                <c:pt idx="19">
                  <c:v>1.2527112359159844</c:v>
                </c:pt>
                <c:pt idx="20">
                  <c:v>1.2338847754492706</c:v>
                </c:pt>
                <c:pt idx="21">
                  <c:v>1.2182117516673516</c:v>
                </c:pt>
                <c:pt idx="22">
                  <c:v>1.2050086238732369</c:v>
                </c:pt>
                <c:pt idx="23">
                  <c:v>1.1937650233925163</c:v>
                </c:pt>
                <c:pt idx="24">
                  <c:v>1.1840944888961866</c:v>
                </c:pt>
                <c:pt idx="25">
                  <c:v>1.1757006519341555</c:v>
                </c:pt>
                <c:pt idx="26">
                  <c:v>1.1683536361011195</c:v>
                </c:pt>
                <c:pt idx="27">
                  <c:v>1.1618733366511651</c:v>
                </c:pt>
                <c:pt idx="28">
                  <c:v>1.1561174184855922</c:v>
                </c:pt>
                <c:pt idx="29">
                  <c:v>1.1509726068805519</c:v>
                </c:pt>
                <c:pt idx="30">
                  <c:v>1.1463483186546264</c:v>
                </c:pt>
                <c:pt idx="31">
                  <c:v>1.1421719933535268</c:v>
                </c:pt>
                <c:pt idx="32">
                  <c:v>1.1383856969310044</c:v>
                </c:pt>
                <c:pt idx="33">
                  <c:v>1.1349437255710833</c:v>
                </c:pt>
                <c:pt idx="34">
                  <c:v>1.1318110672046182</c:v>
                </c:pt>
                <c:pt idx="35">
                  <c:v>1.1289627204710164</c:v>
                </c:pt>
                <c:pt idx="36">
                  <c:v>1.1263840975746051</c:v>
                </c:pt>
                <c:pt idx="37">
                  <c:v>1.1240732559352924</c:v>
                </c:pt>
                <c:pt idx="38">
                  <c:v>1.1220473245408498</c:v>
                </c:pt>
                <c:pt idx="39">
                  <c:v>1.1203629267615791</c:v>
                </c:pt>
                <c:pt idx="40">
                  <c:v>1.1192595854820007</c:v>
                </c:pt>
                <c:pt idx="41">
                  <c:v>1.1192592463349704</c:v>
                </c:pt>
                <c:pt idx="42">
                  <c:v>1.1192589343152655</c:v>
                </c:pt>
                <c:pt idx="43">
                  <c:v>1.119258655341441</c:v>
                </c:pt>
                <c:pt idx="44">
                  <c:v>1.1192584203497704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'Alpha-Up'!$AA$10</c:f>
              <c:strCache>
                <c:ptCount val="1"/>
                <c:pt idx="0">
                  <c:v>0,08</c:v>
                </c:pt>
              </c:strCache>
            </c:strRef>
          </c:tx>
          <c:xVal>
            <c:numRef>
              <c:f>'Alpha-Up'!$N$11:$N$55</c:f>
              <c:numCache>
                <c:formatCode>General</c:formatCode>
                <c:ptCount val="45"/>
                <c:pt idx="0">
                  <c:v>3.1414926535897929</c:v>
                </c:pt>
                <c:pt idx="1">
                  <c:v>3.0630528372500483</c:v>
                </c:pt>
                <c:pt idx="2">
                  <c:v>2.9845130209103035</c:v>
                </c:pt>
                <c:pt idx="3">
                  <c:v>2.9059732045705586</c:v>
                </c:pt>
                <c:pt idx="4">
                  <c:v>2.8274333882308138</c:v>
                </c:pt>
                <c:pt idx="5">
                  <c:v>2.748893571891069</c:v>
                </c:pt>
                <c:pt idx="6">
                  <c:v>2.6703537555513241</c:v>
                </c:pt>
                <c:pt idx="7">
                  <c:v>2.5918139392115793</c:v>
                </c:pt>
                <c:pt idx="8">
                  <c:v>2.5132741228718345</c:v>
                </c:pt>
                <c:pt idx="9">
                  <c:v>2.4347343065320897</c:v>
                </c:pt>
                <c:pt idx="10">
                  <c:v>2.3561944901923448</c:v>
                </c:pt>
                <c:pt idx="11">
                  <c:v>2.2776546738526</c:v>
                </c:pt>
                <c:pt idx="12">
                  <c:v>2.1991148575128552</c:v>
                </c:pt>
                <c:pt idx="13">
                  <c:v>2.1205750411731104</c:v>
                </c:pt>
                <c:pt idx="14">
                  <c:v>2.0420352248333655</c:v>
                </c:pt>
                <c:pt idx="15">
                  <c:v>1.9634954084936207</c:v>
                </c:pt>
                <c:pt idx="16">
                  <c:v>1.8849555921538759</c:v>
                </c:pt>
                <c:pt idx="17">
                  <c:v>1.806415775814131</c:v>
                </c:pt>
                <c:pt idx="18">
                  <c:v>1.7278759594743862</c:v>
                </c:pt>
                <c:pt idx="19">
                  <c:v>1.6493361431346414</c:v>
                </c:pt>
                <c:pt idx="20">
                  <c:v>1.5707963267948966</c:v>
                </c:pt>
                <c:pt idx="21">
                  <c:v>1.4922565104551517</c:v>
                </c:pt>
                <c:pt idx="22">
                  <c:v>1.4137166941154069</c:v>
                </c:pt>
                <c:pt idx="23">
                  <c:v>1.3351768777756621</c:v>
                </c:pt>
                <c:pt idx="24">
                  <c:v>1.2566370614359172</c:v>
                </c:pt>
                <c:pt idx="25">
                  <c:v>1.1780972450961724</c:v>
                </c:pt>
                <c:pt idx="26">
                  <c:v>1.0995574287564276</c:v>
                </c:pt>
                <c:pt idx="27">
                  <c:v>1.0210176124166828</c:v>
                </c:pt>
                <c:pt idx="28">
                  <c:v>0.94247779607693793</c:v>
                </c:pt>
                <c:pt idx="29">
                  <c:v>0.86393797973719311</c:v>
                </c:pt>
                <c:pt idx="30">
                  <c:v>0.78539816339744828</c:v>
                </c:pt>
                <c:pt idx="31">
                  <c:v>0.70685834705770345</c:v>
                </c:pt>
                <c:pt idx="32">
                  <c:v>0.62831853071795862</c:v>
                </c:pt>
                <c:pt idx="33">
                  <c:v>0.5497787143782138</c:v>
                </c:pt>
                <c:pt idx="34">
                  <c:v>0.47123889803846897</c:v>
                </c:pt>
                <c:pt idx="35">
                  <c:v>0.39269908169872414</c:v>
                </c:pt>
                <c:pt idx="36">
                  <c:v>0.31415926535897931</c:v>
                </c:pt>
                <c:pt idx="37">
                  <c:v>0.23561944901923448</c:v>
                </c:pt>
                <c:pt idx="38">
                  <c:v>0.15707963267948966</c:v>
                </c:pt>
                <c:pt idx="39">
                  <c:v>7.8539816339744828E-2</c:v>
                </c:pt>
                <c:pt idx="40">
                  <c:v>5.0000000000000001E-4</c:v>
                </c:pt>
                <c:pt idx="41">
                  <c:v>4.0000000000000002E-4</c:v>
                </c:pt>
                <c:pt idx="42">
                  <c:v>2.9999999999999997E-4</c:v>
                </c:pt>
                <c:pt idx="43">
                  <c:v>2.0000000000000001E-4</c:v>
                </c:pt>
                <c:pt idx="44">
                  <c:v>1E-4</c:v>
                </c:pt>
              </c:numCache>
            </c:numRef>
          </c:xVal>
          <c:yVal>
            <c:numRef>
              <c:f>'Alpha-Up'!$AA$11:$AA$55</c:f>
              <c:numCache>
                <c:formatCode>General</c:formatCode>
                <c:ptCount val="45"/>
                <c:pt idx="0">
                  <c:v>32305208615.186153</c:v>
                </c:pt>
                <c:pt idx="1">
                  <c:v>364.52740425900066</c:v>
                </c:pt>
                <c:pt idx="2">
                  <c:v>55.939840975557466</c:v>
                </c:pt>
                <c:pt idx="3">
                  <c:v>19.475329017660851</c:v>
                </c:pt>
                <c:pt idx="4">
                  <c:v>9.6686168184645016</c:v>
                </c:pt>
                <c:pt idx="5">
                  <c:v>5.9003600793769166</c:v>
                </c:pt>
                <c:pt idx="6">
                  <c:v>4.1245206192390054</c:v>
                </c:pt>
                <c:pt idx="7">
                  <c:v>3.1681081623037688</c:v>
                </c:pt>
                <c:pt idx="8">
                  <c:v>2.6018378495568699</c:v>
                </c:pt>
                <c:pt idx="9">
                  <c:v>2.2418757711882082</c:v>
                </c:pt>
                <c:pt idx="10">
                  <c:v>2</c:v>
                </c:pt>
                <c:pt idx="11">
                  <c:v>1.8300367449018029</c:v>
                </c:pt>
                <c:pt idx="12">
                  <c:v>1.7061078962081537</c:v>
                </c:pt>
                <c:pt idx="13">
                  <c:v>1.6128828056205569</c:v>
                </c:pt>
                <c:pt idx="14">
                  <c:v>1.5408522822161035</c:v>
                </c:pt>
                <c:pt idx="15">
                  <c:v>1.4838850494164517</c:v>
                </c:pt>
                <c:pt idx="16">
                  <c:v>1.4378945577217199</c:v>
                </c:pt>
                <c:pt idx="17">
                  <c:v>1.4000776521602365</c:v>
                </c:pt>
                <c:pt idx="18">
                  <c:v>1.3684624038678626</c:v>
                </c:pt>
                <c:pt idx="19">
                  <c:v>1.3416302298581417</c:v>
                </c:pt>
                <c:pt idx="20">
                  <c:v>1.3185399157656674</c:v>
                </c:pt>
                <c:pt idx="21">
                  <c:v>1.2984131609846938</c:v>
                </c:pt>
                <c:pt idx="22">
                  <c:v>1.2806583368284743</c:v>
                </c:pt>
                <c:pt idx="23">
                  <c:v>1.264818586847366</c:v>
                </c:pt>
                <c:pt idx="24">
                  <c:v>1.250535786046846</c:v>
                </c:pt>
                <c:pt idx="25">
                  <c:v>1.2375250397441204</c:v>
                </c:pt>
                <c:pt idx="26">
                  <c:v>1.2255563084329515</c:v>
                </c:pt>
                <c:pt idx="27">
                  <c:v>1.214440918153961</c:v>
                </c:pt>
                <c:pt idx="28">
                  <c:v>1.2040214507297557</c:v>
                </c:pt>
                <c:pt idx="29">
                  <c:v>1.1941639728290481</c:v>
                </c:pt>
                <c:pt idx="30">
                  <c:v>1.1847518536146688</c:v>
                </c:pt>
                <c:pt idx="31">
                  <c:v>1.1756805907051306</c:v>
                </c:pt>
                <c:pt idx="32">
                  <c:v>1.1668531352830653</c:v>
                </c:pt>
                <c:pt idx="33">
                  <c:v>1.1581751694306524</c:v>
                </c:pt>
                <c:pt idx="34">
                  <c:v>1.1495495782352423</c:v>
                </c:pt>
                <c:pt idx="35">
                  <c:v>1.1408687796853136</c:v>
                </c:pt>
                <c:pt idx="36">
                  <c:v>1.1320020229865619</c:v>
                </c:pt>
                <c:pt idx="37">
                  <c:v>1.1227700996548244</c:v>
                </c:pt>
                <c:pt idx="38">
                  <c:v>1.1128824602641987</c:v>
                </c:pt>
                <c:pt idx="39">
                  <c:v>1.1017147371453109</c:v>
                </c:pt>
                <c:pt idx="40">
                  <c:v>1.0857038473876808</c:v>
                </c:pt>
                <c:pt idx="41">
                  <c:v>1.0856461600137353</c:v>
                </c:pt>
                <c:pt idx="42">
                  <c:v>1.0855846476721873</c:v>
                </c:pt>
                <c:pt idx="43">
                  <c:v>1.0855175819420864</c:v>
                </c:pt>
                <c:pt idx="44">
                  <c:v>1.085440930783748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'Alpha-Up'!$AC$10</c:f>
              <c:strCache>
                <c:ptCount val="1"/>
                <c:pt idx="0">
                  <c:v>0,1</c:v>
                </c:pt>
              </c:strCache>
            </c:strRef>
          </c:tx>
          <c:xVal>
            <c:numRef>
              <c:f>'Alpha-Up'!$N$11:$N$55</c:f>
              <c:numCache>
                <c:formatCode>General</c:formatCode>
                <c:ptCount val="45"/>
                <c:pt idx="0">
                  <c:v>3.1414926535897929</c:v>
                </c:pt>
                <c:pt idx="1">
                  <c:v>3.0630528372500483</c:v>
                </c:pt>
                <c:pt idx="2">
                  <c:v>2.9845130209103035</c:v>
                </c:pt>
                <c:pt idx="3">
                  <c:v>2.9059732045705586</c:v>
                </c:pt>
                <c:pt idx="4">
                  <c:v>2.8274333882308138</c:v>
                </c:pt>
                <c:pt idx="5">
                  <c:v>2.748893571891069</c:v>
                </c:pt>
                <c:pt idx="6">
                  <c:v>2.6703537555513241</c:v>
                </c:pt>
                <c:pt idx="7">
                  <c:v>2.5918139392115793</c:v>
                </c:pt>
                <c:pt idx="8">
                  <c:v>2.5132741228718345</c:v>
                </c:pt>
                <c:pt idx="9">
                  <c:v>2.4347343065320897</c:v>
                </c:pt>
                <c:pt idx="10">
                  <c:v>2.3561944901923448</c:v>
                </c:pt>
                <c:pt idx="11">
                  <c:v>2.2776546738526</c:v>
                </c:pt>
                <c:pt idx="12">
                  <c:v>2.1991148575128552</c:v>
                </c:pt>
                <c:pt idx="13">
                  <c:v>2.1205750411731104</c:v>
                </c:pt>
                <c:pt idx="14">
                  <c:v>2.0420352248333655</c:v>
                </c:pt>
                <c:pt idx="15">
                  <c:v>1.9634954084936207</c:v>
                </c:pt>
                <c:pt idx="16">
                  <c:v>1.8849555921538759</c:v>
                </c:pt>
                <c:pt idx="17">
                  <c:v>1.806415775814131</c:v>
                </c:pt>
                <c:pt idx="18">
                  <c:v>1.7278759594743862</c:v>
                </c:pt>
                <c:pt idx="19">
                  <c:v>1.6493361431346414</c:v>
                </c:pt>
                <c:pt idx="20">
                  <c:v>1.5707963267948966</c:v>
                </c:pt>
                <c:pt idx="21">
                  <c:v>1.4922565104551517</c:v>
                </c:pt>
                <c:pt idx="22">
                  <c:v>1.4137166941154069</c:v>
                </c:pt>
                <c:pt idx="23">
                  <c:v>1.3351768777756621</c:v>
                </c:pt>
                <c:pt idx="24">
                  <c:v>1.2566370614359172</c:v>
                </c:pt>
                <c:pt idx="25">
                  <c:v>1.1780972450961724</c:v>
                </c:pt>
                <c:pt idx="26">
                  <c:v>1.0995574287564276</c:v>
                </c:pt>
                <c:pt idx="27">
                  <c:v>1.0210176124166828</c:v>
                </c:pt>
                <c:pt idx="28">
                  <c:v>0.94247779607693793</c:v>
                </c:pt>
                <c:pt idx="29">
                  <c:v>0.86393797973719311</c:v>
                </c:pt>
                <c:pt idx="30">
                  <c:v>0.78539816339744828</c:v>
                </c:pt>
                <c:pt idx="31">
                  <c:v>0.70685834705770345</c:v>
                </c:pt>
                <c:pt idx="32">
                  <c:v>0.62831853071795862</c:v>
                </c:pt>
                <c:pt idx="33">
                  <c:v>0.5497787143782138</c:v>
                </c:pt>
                <c:pt idx="34">
                  <c:v>0.47123889803846897</c:v>
                </c:pt>
                <c:pt idx="35">
                  <c:v>0.39269908169872414</c:v>
                </c:pt>
                <c:pt idx="36">
                  <c:v>0.31415926535897931</c:v>
                </c:pt>
                <c:pt idx="37">
                  <c:v>0.23561944901923448</c:v>
                </c:pt>
                <c:pt idx="38">
                  <c:v>0.15707963267948966</c:v>
                </c:pt>
                <c:pt idx="39">
                  <c:v>7.8539816339744828E-2</c:v>
                </c:pt>
                <c:pt idx="40">
                  <c:v>5.0000000000000001E-4</c:v>
                </c:pt>
                <c:pt idx="41">
                  <c:v>4.0000000000000002E-4</c:v>
                </c:pt>
                <c:pt idx="42">
                  <c:v>2.9999999999999997E-4</c:v>
                </c:pt>
                <c:pt idx="43">
                  <c:v>2.0000000000000001E-4</c:v>
                </c:pt>
                <c:pt idx="44">
                  <c:v>1E-4</c:v>
                </c:pt>
              </c:numCache>
            </c:numRef>
          </c:xVal>
          <c:yVal>
            <c:numRef>
              <c:f>'Alpha-Up'!$AC$11:$AC$55</c:f>
              <c:numCache>
                <c:formatCode>General</c:formatCode>
                <c:ptCount val="45"/>
                <c:pt idx="0">
                  <c:v>1250110251.497633</c:v>
                </c:pt>
                <c:pt idx="1">
                  <c:v>147.42445970302904</c:v>
                </c:pt>
                <c:pt idx="2">
                  <c:v>29.46360456172194</c:v>
                </c:pt>
                <c:pt idx="3">
                  <c:v>12.169204213907705</c:v>
                </c:pt>
                <c:pt idx="4">
                  <c:v>6.8792918363169226</c:v>
                </c:pt>
                <c:pt idx="5">
                  <c:v>4.6473221043690751</c:v>
                </c:pt>
                <c:pt idx="6">
                  <c:v>3.5144428810187529</c:v>
                </c:pt>
                <c:pt idx="7">
                  <c:v>2.8653019283266765</c:v>
                </c:pt>
                <c:pt idx="8">
                  <c:v>2.4598210121487321</c:v>
                </c:pt>
                <c:pt idx="9">
                  <c:v>2.1895509887315634</c:v>
                </c:pt>
                <c:pt idx="10">
                  <c:v>2</c:v>
                </c:pt>
                <c:pt idx="11">
                  <c:v>1.8614728732769887</c:v>
                </c:pt>
                <c:pt idx="12">
                  <c:v>1.7567159509701462</c:v>
                </c:pt>
                <c:pt idx="13">
                  <c:v>1.6751689963277023</c:v>
                </c:pt>
                <c:pt idx="14">
                  <c:v>1.6100834031560018</c:v>
                </c:pt>
                <c:pt idx="15">
                  <c:v>1.5569861701990562</c:v>
                </c:pt>
                <c:pt idx="16">
                  <c:v>1.5128181873133055</c:v>
                </c:pt>
                <c:pt idx="17">
                  <c:v>1.4754293275880719</c:v>
                </c:pt>
                <c:pt idx="18">
                  <c:v>1.4432713090989959</c:v>
                </c:pt>
                <c:pt idx="19">
                  <c:v>1.4152046483591962</c:v>
                </c:pt>
                <c:pt idx="20">
                  <c:v>1.3903737615350966</c:v>
                </c:pt>
                <c:pt idx="21">
                  <c:v>1.3681240279783189</c:v>
                </c:pt>
                <c:pt idx="22">
                  <c:v>1.3479453889929121</c:v>
                </c:pt>
                <c:pt idx="23">
                  <c:v>1.3294331170808762</c:v>
                </c:pt>
                <c:pt idx="24">
                  <c:v>1.3122599110035851</c:v>
                </c:pt>
                <c:pt idx="25">
                  <c:v>1.296155568680553</c:v>
                </c:pt>
                <c:pt idx="26">
                  <c:v>1.2808917633202386</c:v>
                </c:pt>
                <c:pt idx="27">
                  <c:v>1.2662702281483948</c:v>
                </c:pt>
                <c:pt idx="28">
                  <c:v>1.2521131246652808</c:v>
                </c:pt>
                <c:pt idx="29">
                  <c:v>1.2382546261839442</c:v>
                </c:pt>
                <c:pt idx="30">
                  <c:v>1.2245328330045522</c:v>
                </c:pt>
                <c:pt idx="31">
                  <c:v>1.2107810365355953</c:v>
                </c:pt>
                <c:pt idx="32">
                  <c:v>1.1968169820872543</c:v>
                </c:pt>
                <c:pt idx="33">
                  <c:v>1.182427910490262</c:v>
                </c:pt>
                <c:pt idx="34">
                  <c:v>1.1673471842899406</c:v>
                </c:pt>
                <c:pt idx="35">
                  <c:v>1.1512135620965687</c:v>
                </c:pt>
                <c:pt idx="36">
                  <c:v>1.1334914899439377</c:v>
                </c:pt>
                <c:pt idx="37">
                  <c:v>1.1132908374561303</c:v>
                </c:pt>
                <c:pt idx="38">
                  <c:v>1.0888638705735811</c:v>
                </c:pt>
                <c:pt idx="39">
                  <c:v>1.0555601812103175</c:v>
                </c:pt>
                <c:pt idx="40">
                  <c:v>0.96474223128833181</c:v>
                </c:pt>
                <c:pt idx="41">
                  <c:v>0.96354136991065831</c:v>
                </c:pt>
                <c:pt idx="42">
                  <c:v>0.96214158024640639</c:v>
                </c:pt>
                <c:pt idx="43">
                  <c:v>0.96042038100502891</c:v>
                </c:pt>
                <c:pt idx="44">
                  <c:v>0.95804744537386255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'Alpha-Up'!$AE$10</c:f>
              <c:strCache>
                <c:ptCount val="1"/>
                <c:pt idx="0">
                  <c:v>0,15</c:v>
                </c:pt>
              </c:strCache>
            </c:strRef>
          </c:tx>
          <c:xVal>
            <c:numRef>
              <c:f>'Alpha-Up'!$N$11:$N$55</c:f>
              <c:numCache>
                <c:formatCode>General</c:formatCode>
                <c:ptCount val="45"/>
                <c:pt idx="0">
                  <c:v>3.1414926535897929</c:v>
                </c:pt>
                <c:pt idx="1">
                  <c:v>3.0630528372500483</c:v>
                </c:pt>
                <c:pt idx="2">
                  <c:v>2.9845130209103035</c:v>
                </c:pt>
                <c:pt idx="3">
                  <c:v>2.9059732045705586</c:v>
                </c:pt>
                <c:pt idx="4">
                  <c:v>2.8274333882308138</c:v>
                </c:pt>
                <c:pt idx="5">
                  <c:v>2.748893571891069</c:v>
                </c:pt>
                <c:pt idx="6">
                  <c:v>2.6703537555513241</c:v>
                </c:pt>
                <c:pt idx="7">
                  <c:v>2.5918139392115793</c:v>
                </c:pt>
                <c:pt idx="8">
                  <c:v>2.5132741228718345</c:v>
                </c:pt>
                <c:pt idx="9">
                  <c:v>2.4347343065320897</c:v>
                </c:pt>
                <c:pt idx="10">
                  <c:v>2.3561944901923448</c:v>
                </c:pt>
                <c:pt idx="11">
                  <c:v>2.2776546738526</c:v>
                </c:pt>
                <c:pt idx="12">
                  <c:v>2.1991148575128552</c:v>
                </c:pt>
                <c:pt idx="13">
                  <c:v>2.1205750411731104</c:v>
                </c:pt>
                <c:pt idx="14">
                  <c:v>2.0420352248333655</c:v>
                </c:pt>
                <c:pt idx="15">
                  <c:v>1.9634954084936207</c:v>
                </c:pt>
                <c:pt idx="16">
                  <c:v>1.8849555921538759</c:v>
                </c:pt>
                <c:pt idx="17">
                  <c:v>1.806415775814131</c:v>
                </c:pt>
                <c:pt idx="18">
                  <c:v>1.7278759594743862</c:v>
                </c:pt>
                <c:pt idx="19">
                  <c:v>1.6493361431346414</c:v>
                </c:pt>
                <c:pt idx="20">
                  <c:v>1.5707963267948966</c:v>
                </c:pt>
                <c:pt idx="21">
                  <c:v>1.4922565104551517</c:v>
                </c:pt>
                <c:pt idx="22">
                  <c:v>1.4137166941154069</c:v>
                </c:pt>
                <c:pt idx="23">
                  <c:v>1.3351768777756621</c:v>
                </c:pt>
                <c:pt idx="24">
                  <c:v>1.2566370614359172</c:v>
                </c:pt>
                <c:pt idx="25">
                  <c:v>1.1780972450961724</c:v>
                </c:pt>
                <c:pt idx="26">
                  <c:v>1.0995574287564276</c:v>
                </c:pt>
                <c:pt idx="27">
                  <c:v>1.0210176124166828</c:v>
                </c:pt>
                <c:pt idx="28">
                  <c:v>0.94247779607693793</c:v>
                </c:pt>
                <c:pt idx="29">
                  <c:v>0.86393797973719311</c:v>
                </c:pt>
                <c:pt idx="30">
                  <c:v>0.78539816339744828</c:v>
                </c:pt>
                <c:pt idx="31">
                  <c:v>0.70685834705770345</c:v>
                </c:pt>
                <c:pt idx="32">
                  <c:v>0.62831853071795862</c:v>
                </c:pt>
                <c:pt idx="33">
                  <c:v>0.5497787143782138</c:v>
                </c:pt>
                <c:pt idx="34">
                  <c:v>0.47123889803846897</c:v>
                </c:pt>
                <c:pt idx="35">
                  <c:v>0.39269908169872414</c:v>
                </c:pt>
                <c:pt idx="36">
                  <c:v>0.31415926535897931</c:v>
                </c:pt>
                <c:pt idx="37">
                  <c:v>0.23561944901923448</c:v>
                </c:pt>
                <c:pt idx="38">
                  <c:v>0.15707963267948966</c:v>
                </c:pt>
                <c:pt idx="39">
                  <c:v>7.8539816339744828E-2</c:v>
                </c:pt>
                <c:pt idx="40">
                  <c:v>5.0000000000000001E-4</c:v>
                </c:pt>
                <c:pt idx="41">
                  <c:v>4.0000000000000002E-4</c:v>
                </c:pt>
                <c:pt idx="42">
                  <c:v>2.9999999999999997E-4</c:v>
                </c:pt>
                <c:pt idx="43">
                  <c:v>2.0000000000000001E-4</c:v>
                </c:pt>
                <c:pt idx="44">
                  <c:v>1E-4</c:v>
                </c:pt>
              </c:numCache>
            </c:numRef>
          </c:xVal>
          <c:yVal>
            <c:numRef>
              <c:f>'Alpha-Up'!$AE$11:$AE$55</c:f>
              <c:numCache>
                <c:formatCode>General</c:formatCode>
                <c:ptCount val="45"/>
                <c:pt idx="0">
                  <c:v>15090683.515864303</c:v>
                </c:pt>
                <c:pt idx="1">
                  <c:v>41.81738254457283</c:v>
                </c:pt>
                <c:pt idx="2">
                  <c:v>12.2701542594583</c:v>
                </c:pt>
                <c:pt idx="3">
                  <c:v>6.5153370280795642</c:v>
                </c:pt>
                <c:pt idx="4">
                  <c:v>4.4272996473787263</c:v>
                </c:pt>
                <c:pt idx="5">
                  <c:v>3.42949048793119</c:v>
                </c:pt>
                <c:pt idx="6">
                  <c:v>2.8703678604170197</c:v>
                </c:pt>
                <c:pt idx="7">
                  <c:v>2.5223777819689359</c:v>
                </c:pt>
                <c:pt idx="8">
                  <c:v>2.2889061935094328</c:v>
                </c:pt>
                <c:pt idx="9">
                  <c:v>2.1231162908894996</c:v>
                </c:pt>
                <c:pt idx="10">
                  <c:v>2</c:v>
                </c:pt>
                <c:pt idx="11">
                  <c:v>1.9051817233517589</c:v>
                </c:pt>
                <c:pt idx="12">
                  <c:v>1.8299004920097308</c:v>
                </c:pt>
                <c:pt idx="13">
                  <c:v>1.7685567772887443</c:v>
                </c:pt>
                <c:pt idx="14">
                  <c:v>1.7174266827211462</c:v>
                </c:pt>
                <c:pt idx="15">
                  <c:v>1.6739483777557063</c:v>
                </c:pt>
                <c:pt idx="16">
                  <c:v>1.6363066818097844</c:v>
                </c:pt>
                <c:pt idx="17">
                  <c:v>1.6031811358566155</c:v>
                </c:pt>
                <c:pt idx="18">
                  <c:v>1.5735876951052152</c:v>
                </c:pt>
                <c:pt idx="19">
                  <c:v>1.5467760604066341</c:v>
                </c:pt>
                <c:pt idx="20">
                  <c:v>1.5221611405674753</c:v>
                </c:pt>
                <c:pt idx="21">
                  <c:v>1.4992760156204588</c:v>
                </c:pt>
                <c:pt idx="22">
                  <c:v>1.4777387305243472</c:v>
                </c:pt>
                <c:pt idx="23">
                  <c:v>1.4572281027145781</c:v>
                </c:pt>
                <c:pt idx="24">
                  <c:v>1.4374654043076398</c:v>
                </c:pt>
                <c:pt idx="25">
                  <c:v>1.4181997707139988</c:v>
                </c:pt>
                <c:pt idx="26">
                  <c:v>1.39919575326405</c:v>
                </c:pt>
                <c:pt idx="27">
                  <c:v>1.3802217073059038</c:v>
                </c:pt>
                <c:pt idx="28">
                  <c:v>1.3610377391582613</c:v>
                </c:pt>
                <c:pt idx="29">
                  <c:v>1.341381703123675</c:v>
                </c:pt>
                <c:pt idx="30">
                  <c:v>1.3209511264995126</c:v>
                </c:pt>
                <c:pt idx="31">
                  <c:v>1.2993776560871162</c:v>
                </c:pt>
                <c:pt idx="32">
                  <c:v>1.276187993869291</c:v>
                </c:pt>
                <c:pt idx="33">
                  <c:v>1.2507397161199698</c:v>
                </c:pt>
                <c:pt idx="34">
                  <c:v>1.2221076919624747</c:v>
                </c:pt>
                <c:pt idx="35">
                  <c:v>1.1888650719276737</c:v>
                </c:pt>
                <c:pt idx="36">
                  <c:v>1.1486124091676064</c:v>
                </c:pt>
                <c:pt idx="37">
                  <c:v>1.0968006244332713</c:v>
                </c:pt>
                <c:pt idx="38">
                  <c:v>1.0230211218142513</c:v>
                </c:pt>
                <c:pt idx="39">
                  <c:v>0.89300316609074493</c:v>
                </c:pt>
                <c:pt idx="40">
                  <c:v>-0.27980571972695989</c:v>
                </c:pt>
                <c:pt idx="41">
                  <c:v>-0.34229631598043397</c:v>
                </c:pt>
                <c:pt idx="42">
                  <c:v>-0.42439173935740815</c:v>
                </c:pt>
                <c:pt idx="43">
                  <c:v>-0.54309350153334757</c:v>
                </c:pt>
                <c:pt idx="44">
                  <c:v>-0.75441158037499267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'Alpha-Up'!$AG$10</c:f>
              <c:strCache>
                <c:ptCount val="1"/>
                <c:pt idx="0">
                  <c:v>0,2</c:v>
                </c:pt>
              </c:strCache>
            </c:strRef>
          </c:tx>
          <c:xVal>
            <c:numRef>
              <c:f>'Alpha-Up'!$N$11:$N$55</c:f>
              <c:numCache>
                <c:formatCode>General</c:formatCode>
                <c:ptCount val="45"/>
                <c:pt idx="0">
                  <c:v>3.1414926535897929</c:v>
                </c:pt>
                <c:pt idx="1">
                  <c:v>3.0630528372500483</c:v>
                </c:pt>
                <c:pt idx="2">
                  <c:v>2.9845130209103035</c:v>
                </c:pt>
                <c:pt idx="3">
                  <c:v>2.9059732045705586</c:v>
                </c:pt>
                <c:pt idx="4">
                  <c:v>2.8274333882308138</c:v>
                </c:pt>
                <c:pt idx="5">
                  <c:v>2.748893571891069</c:v>
                </c:pt>
                <c:pt idx="6">
                  <c:v>2.6703537555513241</c:v>
                </c:pt>
                <c:pt idx="7">
                  <c:v>2.5918139392115793</c:v>
                </c:pt>
                <c:pt idx="8">
                  <c:v>2.5132741228718345</c:v>
                </c:pt>
                <c:pt idx="9">
                  <c:v>2.4347343065320897</c:v>
                </c:pt>
                <c:pt idx="10">
                  <c:v>2.3561944901923448</c:v>
                </c:pt>
                <c:pt idx="11">
                  <c:v>2.2776546738526</c:v>
                </c:pt>
                <c:pt idx="12">
                  <c:v>2.1991148575128552</c:v>
                </c:pt>
                <c:pt idx="13">
                  <c:v>2.1205750411731104</c:v>
                </c:pt>
                <c:pt idx="14">
                  <c:v>2.0420352248333655</c:v>
                </c:pt>
                <c:pt idx="15">
                  <c:v>1.9634954084936207</c:v>
                </c:pt>
                <c:pt idx="16">
                  <c:v>1.8849555921538759</c:v>
                </c:pt>
                <c:pt idx="17">
                  <c:v>1.806415775814131</c:v>
                </c:pt>
                <c:pt idx="18">
                  <c:v>1.7278759594743862</c:v>
                </c:pt>
                <c:pt idx="19">
                  <c:v>1.6493361431346414</c:v>
                </c:pt>
                <c:pt idx="20">
                  <c:v>1.5707963267948966</c:v>
                </c:pt>
                <c:pt idx="21">
                  <c:v>1.4922565104551517</c:v>
                </c:pt>
                <c:pt idx="22">
                  <c:v>1.4137166941154069</c:v>
                </c:pt>
                <c:pt idx="23">
                  <c:v>1.3351768777756621</c:v>
                </c:pt>
                <c:pt idx="24">
                  <c:v>1.2566370614359172</c:v>
                </c:pt>
                <c:pt idx="25">
                  <c:v>1.1780972450961724</c:v>
                </c:pt>
                <c:pt idx="26">
                  <c:v>1.0995574287564276</c:v>
                </c:pt>
                <c:pt idx="27">
                  <c:v>1.0210176124166828</c:v>
                </c:pt>
                <c:pt idx="28">
                  <c:v>0.94247779607693793</c:v>
                </c:pt>
                <c:pt idx="29">
                  <c:v>0.86393797973719311</c:v>
                </c:pt>
                <c:pt idx="30">
                  <c:v>0.78539816339744828</c:v>
                </c:pt>
                <c:pt idx="31">
                  <c:v>0.70685834705770345</c:v>
                </c:pt>
                <c:pt idx="32">
                  <c:v>0.62831853071795862</c:v>
                </c:pt>
                <c:pt idx="33">
                  <c:v>0.5497787143782138</c:v>
                </c:pt>
                <c:pt idx="34">
                  <c:v>0.47123889803846897</c:v>
                </c:pt>
                <c:pt idx="35">
                  <c:v>0.39269908169872414</c:v>
                </c:pt>
                <c:pt idx="36">
                  <c:v>0.31415926535897931</c:v>
                </c:pt>
                <c:pt idx="37">
                  <c:v>0.23561944901923448</c:v>
                </c:pt>
                <c:pt idx="38">
                  <c:v>0.15707963267948966</c:v>
                </c:pt>
                <c:pt idx="39">
                  <c:v>7.8539816339744828E-2</c:v>
                </c:pt>
                <c:pt idx="40">
                  <c:v>5.0000000000000001E-4</c:v>
                </c:pt>
                <c:pt idx="41">
                  <c:v>4.0000000000000002E-4</c:v>
                </c:pt>
                <c:pt idx="42">
                  <c:v>2.9999999999999997E-4</c:v>
                </c:pt>
                <c:pt idx="43">
                  <c:v>2.0000000000000001E-4</c:v>
                </c:pt>
                <c:pt idx="44">
                  <c:v>1E-4</c:v>
                </c:pt>
              </c:numCache>
            </c:numRef>
          </c:xVal>
          <c:yVal>
            <c:numRef>
              <c:f>'Alpha-Up'!$AG$11:$AG$55</c:f>
              <c:numCache>
                <c:formatCode>General</c:formatCode>
                <c:ptCount val="45"/>
                <c:pt idx="0">
                  <c:v>1542619.763991798</c:v>
                </c:pt>
                <c:pt idx="1">
                  <c:v>21.459523873820423</c:v>
                </c:pt>
                <c:pt idx="2">
                  <c:v>7.8425550880859918</c:v>
                </c:pt>
                <c:pt idx="3">
                  <c:v>4.7894452696366709</c:v>
                </c:pt>
                <c:pt idx="4">
                  <c:v>3.5830663134469649</c:v>
                </c:pt>
                <c:pt idx="5">
                  <c:v>2.969492263952374</c:v>
                </c:pt>
                <c:pt idx="6">
                  <c:v>2.6081924692489054</c:v>
                </c:pt>
                <c:pt idx="7">
                  <c:v>2.3738010136358758</c:v>
                </c:pt>
                <c:pt idx="8">
                  <c:v>2.2108011707109063</c:v>
                </c:pt>
                <c:pt idx="9">
                  <c:v>2.0913152152899248</c:v>
                </c:pt>
                <c:pt idx="10">
                  <c:v>2</c:v>
                </c:pt>
                <c:pt idx="11">
                  <c:v>1.9277970619632603</c:v>
                </c:pt>
                <c:pt idx="12">
                  <c:v>1.8690519585443515</c:v>
                </c:pt>
                <c:pt idx="13">
                  <c:v>1.8200706017316737</c:v>
                </c:pt>
                <c:pt idx="14">
                  <c:v>1.7783455535715957</c:v>
                </c:pt>
                <c:pt idx="15">
                  <c:v>1.7421178600132396</c:v>
                </c:pt>
                <c:pt idx="16">
                  <c:v>1.7101171302963796</c:v>
                </c:pt>
                <c:pt idx="17">
                  <c:v>1.6814010853476966</c:v>
                </c:pt>
                <c:pt idx="18">
                  <c:v>1.6552529715652891</c:v>
                </c:pt>
                <c:pt idx="19">
                  <c:v>1.6311138399203049</c:v>
                </c:pt>
                <c:pt idx="20">
                  <c:v>1.6085364506660389</c:v>
                </c:pt>
                <c:pt idx="21">
                  <c:v>1.5871528937977049</c:v>
                </c:pt>
                <c:pt idx="22">
                  <c:v>1.5666510227075796</c:v>
                </c:pt>
                <c:pt idx="23">
                  <c:v>1.5467565348336199</c:v>
                </c:pt>
                <c:pt idx="24">
                  <c:v>1.5272185408465846</c:v>
                </c:pt>
                <c:pt idx="25">
                  <c:v>1.5077970266661502</c:v>
                </c:pt>
                <c:pt idx="26">
                  <c:v>1.4882508726342603</c:v>
                </c:pt>
                <c:pt idx="27">
                  <c:v>1.4683251051004187</c:v>
                </c:pt>
                <c:pt idx="28">
                  <c:v>1.4477357973295164</c:v>
                </c:pt>
                <c:pt idx="29">
                  <c:v>1.4261503972598002</c:v>
                </c:pt>
                <c:pt idx="30">
                  <c:v>1.4031599688805936</c:v>
                </c:pt>
                <c:pt idx="31">
                  <c:v>1.3782372909676384</c:v>
                </c:pt>
                <c:pt idx="32">
                  <c:v>1.3506695927076997</c:v>
                </c:pt>
                <c:pt idx="33">
                  <c:v>1.3194436003306358</c:v>
                </c:pt>
                <c:pt idx="34">
                  <c:v>1.2830347437688419</c:v>
                </c:pt>
                <c:pt idx="35">
                  <c:v>1.2389858891851593</c:v>
                </c:pt>
                <c:pt idx="36">
                  <c:v>1.1829652219444107</c:v>
                </c:pt>
                <c:pt idx="37">
                  <c:v>1.1062987841577718</c:v>
                </c:pt>
                <c:pt idx="38">
                  <c:v>0.98771165465068012</c:v>
                </c:pt>
                <c:pt idx="39">
                  <c:v>0.74944851858887884</c:v>
                </c:pt>
                <c:pt idx="40">
                  <c:v>-3.893338894355832</c:v>
                </c:pt>
                <c:pt idx="41">
                  <c:v>-4.312901819692887</c:v>
                </c:pt>
                <c:pt idx="42">
                  <c:v>-4.8983628800799508</c:v>
                </c:pt>
                <c:pt idx="43">
                  <c:v>-5.817209702114071</c:v>
                </c:pt>
                <c:pt idx="44">
                  <c:v>-7.6812824332729726</c:v>
                </c:pt>
              </c:numCache>
            </c:numRef>
          </c:yVal>
          <c:smooth val="1"/>
        </c:ser>
        <c:axId val="156335104"/>
        <c:axId val="156345088"/>
      </c:scatterChart>
      <c:valAx>
        <c:axId val="156335104"/>
        <c:scaling>
          <c:orientation val="minMax"/>
          <c:min val="0"/>
        </c:scaling>
        <c:axPos val="b"/>
        <c:numFmt formatCode="General" sourceLinked="1"/>
        <c:tickLblPos val="nextTo"/>
        <c:crossAx val="156345088"/>
        <c:crosses val="autoZero"/>
        <c:crossBetween val="midCat"/>
      </c:valAx>
      <c:valAx>
        <c:axId val="156345088"/>
        <c:scaling>
          <c:orientation val="minMax"/>
          <c:max val="4"/>
          <c:min val="0"/>
        </c:scaling>
        <c:axPos val="l"/>
        <c:majorGridlines/>
        <c:numFmt formatCode="General" sourceLinked="1"/>
        <c:tickLblPos val="nextTo"/>
        <c:crossAx val="15633510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/>
            </a:pPr>
            <a:r>
              <a:rPr lang="de-DE"/>
              <a:t>Y-Achse</a:t>
            </a:r>
          </a:p>
        </c:rich>
      </c:tx>
      <c:layout>
        <c:manualLayout>
          <c:xMode val="edge"/>
          <c:yMode val="edge"/>
          <c:x val="0.71300567928228964"/>
          <c:y val="0.16456759026028547"/>
        </c:manualLayout>
      </c:layout>
      <c:overlay val="1"/>
    </c:title>
    <c:plotArea>
      <c:layout/>
      <c:scatterChart>
        <c:scatterStyle val="smoothMarker"/>
        <c:ser>
          <c:idx val="0"/>
          <c:order val="0"/>
          <c:tx>
            <c:strRef>
              <c:f>'Alpha-Up'!$P$10</c:f>
              <c:strCache>
                <c:ptCount val="1"/>
                <c:pt idx="0">
                  <c:v>0,01</c:v>
                </c:pt>
              </c:strCache>
            </c:strRef>
          </c:tx>
          <c:xVal>
            <c:numRef>
              <c:f>'Alpha-Up'!$N$11:$N$55</c:f>
              <c:numCache>
                <c:formatCode>General</c:formatCode>
                <c:ptCount val="45"/>
                <c:pt idx="0">
                  <c:v>3.1414926535897929</c:v>
                </c:pt>
                <c:pt idx="1">
                  <c:v>3.0630528372500483</c:v>
                </c:pt>
                <c:pt idx="2">
                  <c:v>2.9845130209103035</c:v>
                </c:pt>
                <c:pt idx="3">
                  <c:v>2.9059732045705586</c:v>
                </c:pt>
                <c:pt idx="4">
                  <c:v>2.8274333882308138</c:v>
                </c:pt>
                <c:pt idx="5">
                  <c:v>2.748893571891069</c:v>
                </c:pt>
                <c:pt idx="6">
                  <c:v>2.6703537555513241</c:v>
                </c:pt>
                <c:pt idx="7">
                  <c:v>2.5918139392115793</c:v>
                </c:pt>
                <c:pt idx="8">
                  <c:v>2.5132741228718345</c:v>
                </c:pt>
                <c:pt idx="9">
                  <c:v>2.4347343065320897</c:v>
                </c:pt>
                <c:pt idx="10">
                  <c:v>2.3561944901923448</c:v>
                </c:pt>
                <c:pt idx="11">
                  <c:v>2.2776546738526</c:v>
                </c:pt>
                <c:pt idx="12">
                  <c:v>2.1991148575128552</c:v>
                </c:pt>
                <c:pt idx="13">
                  <c:v>2.1205750411731104</c:v>
                </c:pt>
                <c:pt idx="14">
                  <c:v>2.0420352248333655</c:v>
                </c:pt>
                <c:pt idx="15">
                  <c:v>1.9634954084936207</c:v>
                </c:pt>
                <c:pt idx="16">
                  <c:v>1.8849555921538759</c:v>
                </c:pt>
                <c:pt idx="17">
                  <c:v>1.806415775814131</c:v>
                </c:pt>
                <c:pt idx="18">
                  <c:v>1.7278759594743862</c:v>
                </c:pt>
                <c:pt idx="19">
                  <c:v>1.6493361431346414</c:v>
                </c:pt>
                <c:pt idx="20">
                  <c:v>1.5707963267948966</c:v>
                </c:pt>
                <c:pt idx="21">
                  <c:v>1.4922565104551517</c:v>
                </c:pt>
                <c:pt idx="22">
                  <c:v>1.4137166941154069</c:v>
                </c:pt>
                <c:pt idx="23">
                  <c:v>1.3351768777756621</c:v>
                </c:pt>
                <c:pt idx="24">
                  <c:v>1.2566370614359172</c:v>
                </c:pt>
                <c:pt idx="25">
                  <c:v>1.1780972450961724</c:v>
                </c:pt>
                <c:pt idx="26">
                  <c:v>1.0995574287564276</c:v>
                </c:pt>
                <c:pt idx="27">
                  <c:v>1.0210176124166828</c:v>
                </c:pt>
                <c:pt idx="28">
                  <c:v>0.94247779607693793</c:v>
                </c:pt>
                <c:pt idx="29">
                  <c:v>0.86393797973719311</c:v>
                </c:pt>
                <c:pt idx="30">
                  <c:v>0.78539816339744828</c:v>
                </c:pt>
                <c:pt idx="31">
                  <c:v>0.70685834705770345</c:v>
                </c:pt>
                <c:pt idx="32">
                  <c:v>0.62831853071795862</c:v>
                </c:pt>
                <c:pt idx="33">
                  <c:v>0.5497787143782138</c:v>
                </c:pt>
                <c:pt idx="34">
                  <c:v>0.47123889803846897</c:v>
                </c:pt>
                <c:pt idx="35">
                  <c:v>0.39269908169872414</c:v>
                </c:pt>
                <c:pt idx="36">
                  <c:v>0.31415926535897931</c:v>
                </c:pt>
                <c:pt idx="37">
                  <c:v>0.23561944901923448</c:v>
                </c:pt>
                <c:pt idx="38">
                  <c:v>0.15707963267948966</c:v>
                </c:pt>
                <c:pt idx="39">
                  <c:v>7.8539816339744828E-2</c:v>
                </c:pt>
                <c:pt idx="40">
                  <c:v>5.0000000000000001E-4</c:v>
                </c:pt>
                <c:pt idx="41">
                  <c:v>4.0000000000000002E-4</c:v>
                </c:pt>
                <c:pt idx="42">
                  <c:v>2.9999999999999997E-4</c:v>
                </c:pt>
                <c:pt idx="43">
                  <c:v>2.0000000000000001E-4</c:v>
                </c:pt>
                <c:pt idx="44">
                  <c:v>1E-4</c:v>
                </c:pt>
              </c:numCache>
            </c:numRef>
          </c:xVal>
          <c:yVal>
            <c:numRef>
              <c:f>'Alpha-Up'!$P$11:$P$55</c:f>
              <c:numCache>
                <c:formatCode>General</c:formatCode>
                <c:ptCount val="45"/>
                <c:pt idx="0">
                  <c:v>-4.54949008943866E+62</c:v>
                </c:pt>
                <c:pt idx="1">
                  <c:v>-2.1592413461779064E+16</c:v>
                </c:pt>
                <c:pt idx="2">
                  <c:v>-321518608787.27777</c:v>
                </c:pt>
                <c:pt idx="3">
                  <c:v>-469670924.28924716</c:v>
                </c:pt>
                <c:pt idx="4">
                  <c:v>-4439681.5167838093</c:v>
                </c:pt>
                <c:pt idx="5">
                  <c:v>-115789.92723879844</c:v>
                </c:pt>
                <c:pt idx="6">
                  <c:v>-5697.6722103614884</c:v>
                </c:pt>
                <c:pt idx="7">
                  <c:v>-432.47802879499449</c:v>
                </c:pt>
                <c:pt idx="8">
                  <c:v>-45.606326134616609</c:v>
                </c:pt>
                <c:pt idx="9">
                  <c:v>-6.8826598178466156</c:v>
                </c:pt>
                <c:pt idx="10">
                  <c:v>-2</c:v>
                </c:pt>
                <c:pt idx="11">
                  <c:v>-1.2654815529196717</c:v>
                </c:pt>
                <c:pt idx="12">
                  <c:v>-1.1388131612522314</c:v>
                </c:pt>
                <c:pt idx="13">
                  <c:v>-1.1145371409599178</c:v>
                </c:pt>
                <c:pt idx="14">
                  <c:v>-1.1094977163129762</c:v>
                </c:pt>
                <c:pt idx="15">
                  <c:v>-1.108390418158296</c:v>
                </c:pt>
                <c:pt idx="16">
                  <c:v>-1.1081388116151274</c:v>
                </c:pt>
                <c:pt idx="17">
                  <c:v>-1.108081310228457</c:v>
                </c:pt>
                <c:pt idx="18">
                  <c:v>-1.1080686384552152</c:v>
                </c:pt>
                <c:pt idx="19">
                  <c:v>-1.1080661760216581</c:v>
                </c:pt>
                <c:pt idx="20">
                  <c:v>-1.1080658786826889</c:v>
                </c:pt>
                <c:pt idx="21">
                  <c:v>-1.1080659473987218</c:v>
                </c:pt>
                <c:pt idx="22">
                  <c:v>-1.1080660269702245</c:v>
                </c:pt>
                <c:pt idx="23">
                  <c:v>-1.1080660731016609</c:v>
                </c:pt>
                <c:pt idx="24">
                  <c:v>-1.108066095247251</c:v>
                </c:pt>
                <c:pt idx="25">
                  <c:v>-1.1080661048979563</c:v>
                </c:pt>
                <c:pt idx="26">
                  <c:v>-1.1080661088302148</c:v>
                </c:pt>
                <c:pt idx="27">
                  <c:v>-1.1080661103427607</c:v>
                </c:pt>
                <c:pt idx="28">
                  <c:v>-1.1080661108922714</c:v>
                </c:pt>
                <c:pt idx="29">
                  <c:v>-1.1080661110798731</c:v>
                </c:pt>
                <c:pt idx="30">
                  <c:v>-1.1080661111394809</c:v>
                </c:pt>
                <c:pt idx="31">
                  <c:v>-1.1080661111568562</c:v>
                </c:pt>
                <c:pt idx="32">
                  <c:v>-1.1080661111614099</c:v>
                </c:pt>
                <c:pt idx="33">
                  <c:v>-1.108066111162453</c:v>
                </c:pt>
                <c:pt idx="34">
                  <c:v>-1.1080661111626533</c:v>
                </c:pt>
                <c:pt idx="35">
                  <c:v>-1.1080661111626839</c:v>
                </c:pt>
                <c:pt idx="36">
                  <c:v>-1.1080661111626871</c:v>
                </c:pt>
                <c:pt idx="37">
                  <c:v>-1.1080661111626875</c:v>
                </c:pt>
                <c:pt idx="38">
                  <c:v>-1.1080661111626875</c:v>
                </c:pt>
                <c:pt idx="39">
                  <c:v>-1.1080661111626875</c:v>
                </c:pt>
                <c:pt idx="40">
                  <c:v>-1.1080661111626875</c:v>
                </c:pt>
                <c:pt idx="41">
                  <c:v>-1.1080661111626875</c:v>
                </c:pt>
                <c:pt idx="42">
                  <c:v>-1.1080661111626875</c:v>
                </c:pt>
                <c:pt idx="43">
                  <c:v>-1.1080661111626875</c:v>
                </c:pt>
                <c:pt idx="44">
                  <c:v>-1.1080661111626875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'Alpha-Up'!$R$10</c:f>
              <c:strCache>
                <c:ptCount val="1"/>
                <c:pt idx="0">
                  <c:v>0,02</c:v>
                </c:pt>
              </c:strCache>
            </c:strRef>
          </c:tx>
          <c:xVal>
            <c:numRef>
              <c:f>'Alpha-Up'!$N$11:$N$55</c:f>
              <c:numCache>
                <c:formatCode>General</c:formatCode>
                <c:ptCount val="45"/>
                <c:pt idx="0">
                  <c:v>3.1414926535897929</c:v>
                </c:pt>
                <c:pt idx="1">
                  <c:v>3.0630528372500483</c:v>
                </c:pt>
                <c:pt idx="2">
                  <c:v>2.9845130209103035</c:v>
                </c:pt>
                <c:pt idx="3">
                  <c:v>2.9059732045705586</c:v>
                </c:pt>
                <c:pt idx="4">
                  <c:v>2.8274333882308138</c:v>
                </c:pt>
                <c:pt idx="5">
                  <c:v>2.748893571891069</c:v>
                </c:pt>
                <c:pt idx="6">
                  <c:v>2.6703537555513241</c:v>
                </c:pt>
                <c:pt idx="7">
                  <c:v>2.5918139392115793</c:v>
                </c:pt>
                <c:pt idx="8">
                  <c:v>2.5132741228718345</c:v>
                </c:pt>
                <c:pt idx="9">
                  <c:v>2.4347343065320897</c:v>
                </c:pt>
                <c:pt idx="10">
                  <c:v>2.3561944901923448</c:v>
                </c:pt>
                <c:pt idx="11">
                  <c:v>2.2776546738526</c:v>
                </c:pt>
                <c:pt idx="12">
                  <c:v>2.1991148575128552</c:v>
                </c:pt>
                <c:pt idx="13">
                  <c:v>2.1205750411731104</c:v>
                </c:pt>
                <c:pt idx="14">
                  <c:v>2.0420352248333655</c:v>
                </c:pt>
                <c:pt idx="15">
                  <c:v>1.9634954084936207</c:v>
                </c:pt>
                <c:pt idx="16">
                  <c:v>1.8849555921538759</c:v>
                </c:pt>
                <c:pt idx="17">
                  <c:v>1.806415775814131</c:v>
                </c:pt>
                <c:pt idx="18">
                  <c:v>1.7278759594743862</c:v>
                </c:pt>
                <c:pt idx="19">
                  <c:v>1.6493361431346414</c:v>
                </c:pt>
                <c:pt idx="20">
                  <c:v>1.5707963267948966</c:v>
                </c:pt>
                <c:pt idx="21">
                  <c:v>1.4922565104551517</c:v>
                </c:pt>
                <c:pt idx="22">
                  <c:v>1.4137166941154069</c:v>
                </c:pt>
                <c:pt idx="23">
                  <c:v>1.3351768777756621</c:v>
                </c:pt>
                <c:pt idx="24">
                  <c:v>1.2566370614359172</c:v>
                </c:pt>
                <c:pt idx="25">
                  <c:v>1.1780972450961724</c:v>
                </c:pt>
                <c:pt idx="26">
                  <c:v>1.0995574287564276</c:v>
                </c:pt>
                <c:pt idx="27">
                  <c:v>1.0210176124166828</c:v>
                </c:pt>
                <c:pt idx="28">
                  <c:v>0.94247779607693793</c:v>
                </c:pt>
                <c:pt idx="29">
                  <c:v>0.86393797973719311</c:v>
                </c:pt>
                <c:pt idx="30">
                  <c:v>0.78539816339744828</c:v>
                </c:pt>
                <c:pt idx="31">
                  <c:v>0.70685834705770345</c:v>
                </c:pt>
                <c:pt idx="32">
                  <c:v>0.62831853071795862</c:v>
                </c:pt>
                <c:pt idx="33">
                  <c:v>0.5497787143782138</c:v>
                </c:pt>
                <c:pt idx="34">
                  <c:v>0.47123889803846897</c:v>
                </c:pt>
                <c:pt idx="35">
                  <c:v>0.39269908169872414</c:v>
                </c:pt>
                <c:pt idx="36">
                  <c:v>0.31415926535897931</c:v>
                </c:pt>
                <c:pt idx="37">
                  <c:v>0.23561944901923448</c:v>
                </c:pt>
                <c:pt idx="38">
                  <c:v>0.15707963267948966</c:v>
                </c:pt>
                <c:pt idx="39">
                  <c:v>7.8539816339744828E-2</c:v>
                </c:pt>
                <c:pt idx="40">
                  <c:v>5.0000000000000001E-4</c:v>
                </c:pt>
                <c:pt idx="41">
                  <c:v>4.0000000000000002E-4</c:v>
                </c:pt>
                <c:pt idx="42">
                  <c:v>2.9999999999999997E-4</c:v>
                </c:pt>
                <c:pt idx="43">
                  <c:v>2.0000000000000001E-4</c:v>
                </c:pt>
                <c:pt idx="44">
                  <c:v>1E-4</c:v>
                </c:pt>
              </c:numCache>
            </c:numRef>
          </c:xVal>
          <c:yVal>
            <c:numRef>
              <c:f>'Alpha-Up'!$R$11:$R$55</c:f>
              <c:numCache>
                <c:formatCode>General</c:formatCode>
                <c:ptCount val="45"/>
                <c:pt idx="0">
                  <c:v>-1.5040265975385904E+35</c:v>
                </c:pt>
                <c:pt idx="1">
                  <c:v>-1324759845.6075308</c:v>
                </c:pt>
                <c:pt idx="2">
                  <c:v>-2553185.5080488743</c:v>
                </c:pt>
                <c:pt idx="3">
                  <c:v>-64895.963417562947</c:v>
                </c:pt>
                <c:pt idx="4">
                  <c:v>-4714.7684655781095</c:v>
                </c:pt>
                <c:pt idx="5">
                  <c:v>-606.78746623473444</c:v>
                </c:pt>
                <c:pt idx="6">
                  <c:v>-112.29766719476314</c:v>
                </c:pt>
                <c:pt idx="7">
                  <c:v>-27.152208624412275</c:v>
                </c:pt>
                <c:pt idx="8">
                  <c:v>-8.408889809731221</c:v>
                </c:pt>
                <c:pt idx="9">
                  <c:v>-3.4803614382310162</c:v>
                </c:pt>
                <c:pt idx="10">
                  <c:v>-2</c:v>
                </c:pt>
                <c:pt idx="11">
                  <c:v>-1.507809136657257</c:v>
                </c:pt>
                <c:pt idx="12">
                  <c:v>-1.3308879888163194</c:v>
                </c:pt>
                <c:pt idx="13">
                  <c:v>-1.2634158925927563</c:v>
                </c:pt>
                <c:pt idx="14">
                  <c:v>-1.2365569608044733</c:v>
                </c:pt>
                <c:pt idx="15">
                  <c:v>-1.2255700571710828</c:v>
                </c:pt>
                <c:pt idx="16">
                  <c:v>-1.2210310277538221</c:v>
                </c:pt>
                <c:pt idx="17">
                  <c:v>-1.2191803059363604</c:v>
                </c:pt>
                <c:pt idx="18">
                  <c:v>-1.2184638704088839</c:v>
                </c:pt>
                <c:pt idx="19">
                  <c:v>-1.2182230864679706</c:v>
                </c:pt>
                <c:pt idx="20">
                  <c:v>-1.2181749869905816</c:v>
                </c:pt>
                <c:pt idx="21">
                  <c:v>-1.2181980835730282</c:v>
                </c:pt>
                <c:pt idx="22">
                  <c:v>-1.2182413368429228</c:v>
                </c:pt>
                <c:pt idx="23">
                  <c:v>-1.2182845506931759</c:v>
                </c:pt>
                <c:pt idx="24">
                  <c:v>-1.2183208676367641</c:v>
                </c:pt>
                <c:pt idx="25">
                  <c:v>-1.2183489811004418</c:v>
                </c:pt>
                <c:pt idx="26">
                  <c:v>-1.2183696897029623</c:v>
                </c:pt>
                <c:pt idx="27">
                  <c:v>-1.2183844088353308</c:v>
                </c:pt>
                <c:pt idx="28">
                  <c:v>-1.218394563960818</c:v>
                </c:pt>
                <c:pt idx="29">
                  <c:v>-1.2184013754796896</c:v>
                </c:pt>
                <c:pt idx="30">
                  <c:v>-1.2184058111769698</c:v>
                </c:pt>
                <c:pt idx="31">
                  <c:v>-1.2184086046762079</c:v>
                </c:pt>
                <c:pt idx="32">
                  <c:v>-1.218410294906966</c:v>
                </c:pt>
                <c:pt idx="33">
                  <c:v>-1.2184112676789525</c:v>
                </c:pt>
                <c:pt idx="34">
                  <c:v>-1.2184117923097251</c:v>
                </c:pt>
                <c:pt idx="35">
                  <c:v>-1.218412051463682</c:v>
                </c:pt>
                <c:pt idx="36">
                  <c:v>-1.218412051463682</c:v>
                </c:pt>
                <c:pt idx="37">
                  <c:v>-1.218412051463682</c:v>
                </c:pt>
                <c:pt idx="38">
                  <c:v>-1.218412051463682</c:v>
                </c:pt>
                <c:pt idx="39">
                  <c:v>-1.218412051463682</c:v>
                </c:pt>
                <c:pt idx="40">
                  <c:v>-1.2184121644964505</c:v>
                </c:pt>
                <c:pt idx="41">
                  <c:v>-1.2184122053447393</c:v>
                </c:pt>
                <c:pt idx="42">
                  <c:v>-1.2184122161491353</c:v>
                </c:pt>
                <c:pt idx="43">
                  <c:v>-1.2184122177143022</c:v>
                </c:pt>
                <c:pt idx="44">
                  <c:v>-1.218412217764425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'Alpha-Up'!$T$10</c:f>
              <c:strCache>
                <c:ptCount val="1"/>
                <c:pt idx="0">
                  <c:v>0,03</c:v>
                </c:pt>
              </c:strCache>
            </c:strRef>
          </c:tx>
          <c:xVal>
            <c:numRef>
              <c:f>'Alpha-Up'!$N$11:$N$55</c:f>
              <c:numCache>
                <c:formatCode>General</c:formatCode>
                <c:ptCount val="45"/>
                <c:pt idx="0">
                  <c:v>3.1414926535897929</c:v>
                </c:pt>
                <c:pt idx="1">
                  <c:v>3.0630528372500483</c:v>
                </c:pt>
                <c:pt idx="2">
                  <c:v>2.9845130209103035</c:v>
                </c:pt>
                <c:pt idx="3">
                  <c:v>2.9059732045705586</c:v>
                </c:pt>
                <c:pt idx="4">
                  <c:v>2.8274333882308138</c:v>
                </c:pt>
                <c:pt idx="5">
                  <c:v>2.748893571891069</c:v>
                </c:pt>
                <c:pt idx="6">
                  <c:v>2.6703537555513241</c:v>
                </c:pt>
                <c:pt idx="7">
                  <c:v>2.5918139392115793</c:v>
                </c:pt>
                <c:pt idx="8">
                  <c:v>2.5132741228718345</c:v>
                </c:pt>
                <c:pt idx="9">
                  <c:v>2.4347343065320897</c:v>
                </c:pt>
                <c:pt idx="10">
                  <c:v>2.3561944901923448</c:v>
                </c:pt>
                <c:pt idx="11">
                  <c:v>2.2776546738526</c:v>
                </c:pt>
                <c:pt idx="12">
                  <c:v>2.1991148575128552</c:v>
                </c:pt>
                <c:pt idx="13">
                  <c:v>2.1205750411731104</c:v>
                </c:pt>
                <c:pt idx="14">
                  <c:v>2.0420352248333655</c:v>
                </c:pt>
                <c:pt idx="15">
                  <c:v>1.9634954084936207</c:v>
                </c:pt>
                <c:pt idx="16">
                  <c:v>1.8849555921538759</c:v>
                </c:pt>
                <c:pt idx="17">
                  <c:v>1.806415775814131</c:v>
                </c:pt>
                <c:pt idx="18">
                  <c:v>1.7278759594743862</c:v>
                </c:pt>
                <c:pt idx="19">
                  <c:v>1.6493361431346414</c:v>
                </c:pt>
                <c:pt idx="20">
                  <c:v>1.5707963267948966</c:v>
                </c:pt>
                <c:pt idx="21">
                  <c:v>1.4922565104551517</c:v>
                </c:pt>
                <c:pt idx="22">
                  <c:v>1.4137166941154069</c:v>
                </c:pt>
                <c:pt idx="23">
                  <c:v>1.3351768777756621</c:v>
                </c:pt>
                <c:pt idx="24">
                  <c:v>1.2566370614359172</c:v>
                </c:pt>
                <c:pt idx="25">
                  <c:v>1.1780972450961724</c:v>
                </c:pt>
                <c:pt idx="26">
                  <c:v>1.0995574287564276</c:v>
                </c:pt>
                <c:pt idx="27">
                  <c:v>1.0210176124166828</c:v>
                </c:pt>
                <c:pt idx="28">
                  <c:v>0.94247779607693793</c:v>
                </c:pt>
                <c:pt idx="29">
                  <c:v>0.86393797973719311</c:v>
                </c:pt>
                <c:pt idx="30">
                  <c:v>0.78539816339744828</c:v>
                </c:pt>
                <c:pt idx="31">
                  <c:v>0.70685834705770345</c:v>
                </c:pt>
                <c:pt idx="32">
                  <c:v>0.62831853071795862</c:v>
                </c:pt>
                <c:pt idx="33">
                  <c:v>0.5497787143782138</c:v>
                </c:pt>
                <c:pt idx="34">
                  <c:v>0.47123889803846897</c:v>
                </c:pt>
                <c:pt idx="35">
                  <c:v>0.39269908169872414</c:v>
                </c:pt>
                <c:pt idx="36">
                  <c:v>0.31415926535897931</c:v>
                </c:pt>
                <c:pt idx="37">
                  <c:v>0.23561944901923448</c:v>
                </c:pt>
                <c:pt idx="38">
                  <c:v>0.15707963267948966</c:v>
                </c:pt>
                <c:pt idx="39">
                  <c:v>7.8539816339744828E-2</c:v>
                </c:pt>
                <c:pt idx="40">
                  <c:v>5.0000000000000001E-4</c:v>
                </c:pt>
                <c:pt idx="41">
                  <c:v>4.0000000000000002E-4</c:v>
                </c:pt>
                <c:pt idx="42">
                  <c:v>2.9999999999999997E-4</c:v>
                </c:pt>
                <c:pt idx="43">
                  <c:v>2.0000000000000001E-4</c:v>
                </c:pt>
                <c:pt idx="44">
                  <c:v>1E-4</c:v>
                </c:pt>
              </c:numCache>
            </c:numRef>
          </c:xVal>
          <c:yVal>
            <c:numRef>
              <c:f>'Alpha-Up'!$T$11:$T$55</c:f>
              <c:numCache>
                <c:formatCode>General</c:formatCode>
                <c:ptCount val="45"/>
                <c:pt idx="0">
                  <c:v>-9.7086367874758602E+25</c:v>
                </c:pt>
                <c:pt idx="1">
                  <c:v>-4887889.9331689151</c:v>
                </c:pt>
                <c:pt idx="2">
                  <c:v>-47662.518041262811</c:v>
                </c:pt>
                <c:pt idx="3">
                  <c:v>-3140.5437930041635</c:v>
                </c:pt>
                <c:pt idx="4">
                  <c:v>-451.187107581259</c:v>
                </c:pt>
                <c:pt idx="5">
                  <c:v>-99.610815983657034</c:v>
                </c:pt>
                <c:pt idx="6">
                  <c:v>-29.245631852529396</c:v>
                </c:pt>
                <c:pt idx="7">
                  <c:v>-10.788466215197829</c:v>
                </c:pt>
                <c:pt idx="8">
                  <c:v>-4.9552094237951039</c:v>
                </c:pt>
                <c:pt idx="9">
                  <c:v>-2.8448382050723744</c:v>
                </c:pt>
                <c:pt idx="10">
                  <c:v>-2</c:v>
                </c:pt>
                <c:pt idx="11">
                  <c:v>-1.6346662655475983</c:v>
                </c:pt>
                <c:pt idx="12">
                  <c:v>-1.4671056978055064</c:v>
                </c:pt>
                <c:pt idx="13">
                  <c:v>-1.3867982805316905</c:v>
                </c:pt>
                <c:pt idx="14">
                  <c:v>-1.3471075390269092</c:v>
                </c:pt>
                <c:pt idx="15">
                  <c:v>-1.3271445752845821</c:v>
                </c:pt>
                <c:pt idx="16">
                  <c:v>-1.3170824831611778</c:v>
                </c:pt>
                <c:pt idx="17">
                  <c:v>-1.3121080535071703</c:v>
                </c:pt>
                <c:pt idx="18">
                  <c:v>-1.3097851614891243</c:v>
                </c:pt>
                <c:pt idx="19">
                  <c:v>-1.3088483494532741</c:v>
                </c:pt>
                <c:pt idx="20">
                  <c:v>-1.308627397887097</c:v>
                </c:pt>
                <c:pt idx="21">
                  <c:v>-1.3087628767199031</c:v>
                </c:pt>
                <c:pt idx="22">
                  <c:v>-1.3090611504158691</c:v>
                </c:pt>
                <c:pt idx="23">
                  <c:v>-1.3094185022828866</c:v>
                </c:pt>
                <c:pt idx="24">
                  <c:v>-1.3097805386583223</c:v>
                </c:pt>
                <c:pt idx="25">
                  <c:v>-1.3101200680535334</c:v>
                </c:pt>
                <c:pt idx="26">
                  <c:v>-1.3104248724200143</c:v>
                </c:pt>
                <c:pt idx="27">
                  <c:v>-1.3106908768730927</c:v>
                </c:pt>
                <c:pt idx="28">
                  <c:v>-1.3109183131026749</c:v>
                </c:pt>
                <c:pt idx="29">
                  <c:v>-1.311109564662793</c:v>
                </c:pt>
                <c:pt idx="30">
                  <c:v>-1.3112679665928226</c:v>
                </c:pt>
                <c:pt idx="31">
                  <c:v>-1.3113971501934492</c:v>
                </c:pt>
                <c:pt idx="32">
                  <c:v>-1.3115007002623784</c:v>
                </c:pt>
                <c:pt idx="33">
                  <c:v>-1.3115819914511588</c:v>
                </c:pt>
                <c:pt idx="34">
                  <c:v>-1.3116441271733219</c:v>
                </c:pt>
                <c:pt idx="35">
                  <c:v>-1.3116899374872375</c:v>
                </c:pt>
                <c:pt idx="36">
                  <c:v>-1.3116899374872375</c:v>
                </c:pt>
                <c:pt idx="37">
                  <c:v>-1.3116899374872375</c:v>
                </c:pt>
                <c:pt idx="38">
                  <c:v>-1.3116899374872375</c:v>
                </c:pt>
                <c:pt idx="39">
                  <c:v>-1.3116899374872375</c:v>
                </c:pt>
                <c:pt idx="40">
                  <c:v>-1.3117220121348852</c:v>
                </c:pt>
                <c:pt idx="41">
                  <c:v>-1.3117427577717811</c:v>
                </c:pt>
                <c:pt idx="42">
                  <c:v>-1.3117544793439826</c:v>
                </c:pt>
                <c:pt idx="43">
                  <c:v>-1.3117595033397103</c:v>
                </c:pt>
                <c:pt idx="44">
                  <c:v>-1.3117604389892799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'Alpha-Up'!$V$10</c:f>
              <c:strCache>
                <c:ptCount val="1"/>
                <c:pt idx="0">
                  <c:v>0,04</c:v>
                </c:pt>
              </c:strCache>
            </c:strRef>
          </c:tx>
          <c:xVal>
            <c:numRef>
              <c:f>'Alpha-Up'!$N$11:$N$55</c:f>
              <c:numCache>
                <c:formatCode>General</c:formatCode>
                <c:ptCount val="45"/>
                <c:pt idx="0">
                  <c:v>3.1414926535897929</c:v>
                </c:pt>
                <c:pt idx="1">
                  <c:v>3.0630528372500483</c:v>
                </c:pt>
                <c:pt idx="2">
                  <c:v>2.9845130209103035</c:v>
                </c:pt>
                <c:pt idx="3">
                  <c:v>2.9059732045705586</c:v>
                </c:pt>
                <c:pt idx="4">
                  <c:v>2.8274333882308138</c:v>
                </c:pt>
                <c:pt idx="5">
                  <c:v>2.748893571891069</c:v>
                </c:pt>
                <c:pt idx="6">
                  <c:v>2.6703537555513241</c:v>
                </c:pt>
                <c:pt idx="7">
                  <c:v>2.5918139392115793</c:v>
                </c:pt>
                <c:pt idx="8">
                  <c:v>2.5132741228718345</c:v>
                </c:pt>
                <c:pt idx="9">
                  <c:v>2.4347343065320897</c:v>
                </c:pt>
                <c:pt idx="10">
                  <c:v>2.3561944901923448</c:v>
                </c:pt>
                <c:pt idx="11">
                  <c:v>2.2776546738526</c:v>
                </c:pt>
                <c:pt idx="12">
                  <c:v>2.1991148575128552</c:v>
                </c:pt>
                <c:pt idx="13">
                  <c:v>2.1205750411731104</c:v>
                </c:pt>
                <c:pt idx="14">
                  <c:v>2.0420352248333655</c:v>
                </c:pt>
                <c:pt idx="15">
                  <c:v>1.9634954084936207</c:v>
                </c:pt>
                <c:pt idx="16">
                  <c:v>1.8849555921538759</c:v>
                </c:pt>
                <c:pt idx="17">
                  <c:v>1.806415775814131</c:v>
                </c:pt>
                <c:pt idx="18">
                  <c:v>1.7278759594743862</c:v>
                </c:pt>
                <c:pt idx="19">
                  <c:v>1.6493361431346414</c:v>
                </c:pt>
                <c:pt idx="20">
                  <c:v>1.5707963267948966</c:v>
                </c:pt>
                <c:pt idx="21">
                  <c:v>1.4922565104551517</c:v>
                </c:pt>
                <c:pt idx="22">
                  <c:v>1.4137166941154069</c:v>
                </c:pt>
                <c:pt idx="23">
                  <c:v>1.3351768777756621</c:v>
                </c:pt>
                <c:pt idx="24">
                  <c:v>1.2566370614359172</c:v>
                </c:pt>
                <c:pt idx="25">
                  <c:v>1.1780972450961724</c:v>
                </c:pt>
                <c:pt idx="26">
                  <c:v>1.0995574287564276</c:v>
                </c:pt>
                <c:pt idx="27">
                  <c:v>1.0210176124166828</c:v>
                </c:pt>
                <c:pt idx="28">
                  <c:v>0.94247779607693793</c:v>
                </c:pt>
                <c:pt idx="29">
                  <c:v>0.86393797973719311</c:v>
                </c:pt>
                <c:pt idx="30">
                  <c:v>0.78539816339744828</c:v>
                </c:pt>
                <c:pt idx="31">
                  <c:v>0.70685834705770345</c:v>
                </c:pt>
                <c:pt idx="32">
                  <c:v>0.62831853071795862</c:v>
                </c:pt>
                <c:pt idx="33">
                  <c:v>0.5497787143782138</c:v>
                </c:pt>
                <c:pt idx="34">
                  <c:v>0.47123889803846897</c:v>
                </c:pt>
                <c:pt idx="35">
                  <c:v>0.39269908169872414</c:v>
                </c:pt>
                <c:pt idx="36">
                  <c:v>0.31415926535897931</c:v>
                </c:pt>
                <c:pt idx="37">
                  <c:v>0.23561944901923448</c:v>
                </c:pt>
                <c:pt idx="38">
                  <c:v>0.15707963267948966</c:v>
                </c:pt>
                <c:pt idx="39">
                  <c:v>7.8539816339744828E-2</c:v>
                </c:pt>
                <c:pt idx="40">
                  <c:v>5.0000000000000001E-4</c:v>
                </c:pt>
                <c:pt idx="41">
                  <c:v>4.0000000000000002E-4</c:v>
                </c:pt>
                <c:pt idx="42">
                  <c:v>2.9999999999999997E-4</c:v>
                </c:pt>
                <c:pt idx="43">
                  <c:v>2.0000000000000001E-4</c:v>
                </c:pt>
                <c:pt idx="44">
                  <c:v>1E-4</c:v>
                </c:pt>
              </c:numCache>
            </c:numRef>
          </c:xVal>
          <c:yVal>
            <c:numRef>
              <c:f>'Alpha-Up'!$V$11:$V$55</c:f>
              <c:numCache>
                <c:formatCode>General</c:formatCode>
                <c:ptCount val="45"/>
                <c:pt idx="0">
                  <c:v>-2.3591024229023844E+21</c:v>
                </c:pt>
                <c:pt idx="1">
                  <c:v>-284398.73182736832</c:v>
                </c:pt>
                <c:pt idx="2">
                  <c:v>-6239.840764034695</c:v>
                </c:pt>
                <c:pt idx="3">
                  <c:v>-662.82958218725923</c:v>
                </c:pt>
                <c:pt idx="4">
                  <c:v>-134.5023897192869</c:v>
                </c:pt>
                <c:pt idx="5">
                  <c:v>-39.29922167772677</c:v>
                </c:pt>
                <c:pt idx="6">
                  <c:v>-14.784367469662032</c:v>
                </c:pt>
                <c:pt idx="7">
                  <c:v>-6.8583368383172827</c:v>
                </c:pt>
                <c:pt idx="8">
                  <c:v>-3.8594562744012562</c:v>
                </c:pt>
                <c:pt idx="9">
                  <c:v>-2.5875802196538809</c:v>
                </c:pt>
                <c:pt idx="10">
                  <c:v>-2</c:v>
                </c:pt>
                <c:pt idx="11">
                  <c:v>-1.7103096603115642</c:v>
                </c:pt>
                <c:pt idx="12">
                  <c:v>-1.5602571395161262</c:v>
                </c:pt>
                <c:pt idx="13">
                  <c:v>-1.4796487778743281</c:v>
                </c:pt>
                <c:pt idx="14">
                  <c:v>-1.4352624824047997</c:v>
                </c:pt>
                <c:pt idx="15">
                  <c:v>-1.4105097500021277</c:v>
                </c:pt>
                <c:pt idx="16">
                  <c:v>-1.3967297881749903</c:v>
                </c:pt>
                <c:pt idx="17">
                  <c:v>-1.3892287265940713</c:v>
                </c:pt>
                <c:pt idx="18">
                  <c:v>-1.3853817530867385</c:v>
                </c:pt>
                <c:pt idx="19">
                  <c:v>-1.383682291525123</c:v>
                </c:pt>
                <c:pt idx="20">
                  <c:v>-1.3832468935180642</c:v>
                </c:pt>
                <c:pt idx="21">
                  <c:v>-1.3835486016697547</c:v>
                </c:pt>
                <c:pt idx="22">
                  <c:v>-1.3842690578660493</c:v>
                </c:pt>
                <c:pt idx="23">
                  <c:v>-1.3852143221545741</c:v>
                </c:pt>
                <c:pt idx="24">
                  <c:v>-1.3862658523046596</c:v>
                </c:pt>
                <c:pt idx="25">
                  <c:v>-1.3873513807698679</c:v>
                </c:pt>
                <c:pt idx="26">
                  <c:v>-1.3884273058056738</c:v>
                </c:pt>
                <c:pt idx="27">
                  <c:v>-1.38946787901661</c:v>
                </c:pt>
                <c:pt idx="28">
                  <c:v>-1.3904584753431948</c:v>
                </c:pt>
                <c:pt idx="29">
                  <c:v>-1.3913913525142418</c:v>
                </c:pt>
                <c:pt idx="30">
                  <c:v>-1.392262947301969</c:v>
                </c:pt>
                <c:pt idx="31">
                  <c:v>-1.3930721282824368</c:v>
                </c:pt>
                <c:pt idx="32">
                  <c:v>-1.3938190443010281</c:v>
                </c:pt>
                <c:pt idx="33">
                  <c:v>-1.3945043376548689</c:v>
                </c:pt>
                <c:pt idx="34">
                  <c:v>-1.3951285655514565</c:v>
                </c:pt>
                <c:pt idx="35">
                  <c:v>-1.3956917093317809</c:v>
                </c:pt>
                <c:pt idx="36">
                  <c:v>-1.3961926492461703</c:v>
                </c:pt>
                <c:pt idx="37">
                  <c:v>-1.3966284154837481</c:v>
                </c:pt>
                <c:pt idx="38">
                  <c:v>-1.3969927619169282</c:v>
                </c:pt>
                <c:pt idx="39">
                  <c:v>-1.3972723903801918</c:v>
                </c:pt>
                <c:pt idx="40">
                  <c:v>-1.3974250071837124</c:v>
                </c:pt>
                <c:pt idx="41">
                  <c:v>-1.3974250294154711</c:v>
                </c:pt>
                <c:pt idx="42">
                  <c:v>-1.3974250490246058</c:v>
                </c:pt>
                <c:pt idx="43">
                  <c:v>-1.3974250655940574</c:v>
                </c:pt>
                <c:pt idx="44">
                  <c:v>-1.3974250784016817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'Alpha-Up'!$X$10</c:f>
              <c:strCache>
                <c:ptCount val="1"/>
                <c:pt idx="0">
                  <c:v>0,05</c:v>
                </c:pt>
              </c:strCache>
            </c:strRef>
          </c:tx>
          <c:xVal>
            <c:numRef>
              <c:f>'Alpha-Up'!$N$11:$N$55</c:f>
              <c:numCache>
                <c:formatCode>General</c:formatCode>
                <c:ptCount val="45"/>
                <c:pt idx="0">
                  <c:v>3.1414926535897929</c:v>
                </c:pt>
                <c:pt idx="1">
                  <c:v>3.0630528372500483</c:v>
                </c:pt>
                <c:pt idx="2">
                  <c:v>2.9845130209103035</c:v>
                </c:pt>
                <c:pt idx="3">
                  <c:v>2.9059732045705586</c:v>
                </c:pt>
                <c:pt idx="4">
                  <c:v>2.8274333882308138</c:v>
                </c:pt>
                <c:pt idx="5">
                  <c:v>2.748893571891069</c:v>
                </c:pt>
                <c:pt idx="6">
                  <c:v>2.6703537555513241</c:v>
                </c:pt>
                <c:pt idx="7">
                  <c:v>2.5918139392115793</c:v>
                </c:pt>
                <c:pt idx="8">
                  <c:v>2.5132741228718345</c:v>
                </c:pt>
                <c:pt idx="9">
                  <c:v>2.4347343065320897</c:v>
                </c:pt>
                <c:pt idx="10">
                  <c:v>2.3561944901923448</c:v>
                </c:pt>
                <c:pt idx="11">
                  <c:v>2.2776546738526</c:v>
                </c:pt>
                <c:pt idx="12">
                  <c:v>2.1991148575128552</c:v>
                </c:pt>
                <c:pt idx="13">
                  <c:v>2.1205750411731104</c:v>
                </c:pt>
                <c:pt idx="14">
                  <c:v>2.0420352248333655</c:v>
                </c:pt>
                <c:pt idx="15">
                  <c:v>1.9634954084936207</c:v>
                </c:pt>
                <c:pt idx="16">
                  <c:v>1.8849555921538759</c:v>
                </c:pt>
                <c:pt idx="17">
                  <c:v>1.806415775814131</c:v>
                </c:pt>
                <c:pt idx="18">
                  <c:v>1.7278759594743862</c:v>
                </c:pt>
                <c:pt idx="19">
                  <c:v>1.6493361431346414</c:v>
                </c:pt>
                <c:pt idx="20">
                  <c:v>1.5707963267948966</c:v>
                </c:pt>
                <c:pt idx="21">
                  <c:v>1.4922565104551517</c:v>
                </c:pt>
                <c:pt idx="22">
                  <c:v>1.4137166941154069</c:v>
                </c:pt>
                <c:pt idx="23">
                  <c:v>1.3351768777756621</c:v>
                </c:pt>
                <c:pt idx="24">
                  <c:v>1.2566370614359172</c:v>
                </c:pt>
                <c:pt idx="25">
                  <c:v>1.1780972450961724</c:v>
                </c:pt>
                <c:pt idx="26">
                  <c:v>1.0995574287564276</c:v>
                </c:pt>
                <c:pt idx="27">
                  <c:v>1.0210176124166828</c:v>
                </c:pt>
                <c:pt idx="28">
                  <c:v>0.94247779607693793</c:v>
                </c:pt>
                <c:pt idx="29">
                  <c:v>0.86393797973719311</c:v>
                </c:pt>
                <c:pt idx="30">
                  <c:v>0.78539816339744828</c:v>
                </c:pt>
                <c:pt idx="31">
                  <c:v>0.70685834705770345</c:v>
                </c:pt>
                <c:pt idx="32">
                  <c:v>0.62831853071795862</c:v>
                </c:pt>
                <c:pt idx="33">
                  <c:v>0.5497787143782138</c:v>
                </c:pt>
                <c:pt idx="34">
                  <c:v>0.47123889803846897</c:v>
                </c:pt>
                <c:pt idx="35">
                  <c:v>0.39269908169872414</c:v>
                </c:pt>
                <c:pt idx="36">
                  <c:v>0.31415926535897931</c:v>
                </c:pt>
                <c:pt idx="37">
                  <c:v>0.23561944901923448</c:v>
                </c:pt>
                <c:pt idx="38">
                  <c:v>0.15707963267948966</c:v>
                </c:pt>
                <c:pt idx="39">
                  <c:v>7.8539816339744828E-2</c:v>
                </c:pt>
                <c:pt idx="40">
                  <c:v>5.0000000000000001E-4</c:v>
                </c:pt>
                <c:pt idx="41">
                  <c:v>4.0000000000000002E-4</c:v>
                </c:pt>
                <c:pt idx="42">
                  <c:v>2.9999999999999997E-4</c:v>
                </c:pt>
                <c:pt idx="43">
                  <c:v>2.0000000000000001E-4</c:v>
                </c:pt>
                <c:pt idx="44">
                  <c:v>1E-4</c:v>
                </c:pt>
              </c:numCache>
            </c:numRef>
          </c:xVal>
          <c:yVal>
            <c:numRef>
              <c:f>'Alpha-Up'!$X$11:$X$55</c:f>
              <c:numCache>
                <c:formatCode>General</c:formatCode>
                <c:ptCount val="45"/>
                <c:pt idx="0">
                  <c:v>-3.8947525792176804E+18</c:v>
                </c:pt>
                <c:pt idx="1">
                  <c:v>-50088.731553472477</c:v>
                </c:pt>
                <c:pt idx="2">
                  <c:v>-1788.6883053274405</c:v>
                </c:pt>
                <c:pt idx="3">
                  <c:v>-253.57839789190623</c:v>
                </c:pt>
                <c:pt idx="4">
                  <c:v>-63.639880296599017</c:v>
                </c:pt>
                <c:pt idx="5">
                  <c:v>-22.203630604512462</c:v>
                </c:pt>
                <c:pt idx="6">
                  <c:v>-9.8014279635697683</c:v>
                </c:pt>
                <c:pt idx="7">
                  <c:v>-5.2575315003336236</c:v>
                </c:pt>
                <c:pt idx="8">
                  <c:v>-3.3427947480447022</c:v>
                </c:pt>
                <c:pt idx="9">
                  <c:v>-2.4496105873263145</c:v>
                </c:pt>
                <c:pt idx="10">
                  <c:v>-2</c:v>
                </c:pt>
                <c:pt idx="11">
                  <c:v>-1.7602059867426758</c:v>
                </c:pt>
                <c:pt idx="12">
                  <c:v>-1.6266020138546167</c:v>
                </c:pt>
                <c:pt idx="13">
                  <c:v>-1.5497472251590871</c:v>
                </c:pt>
                <c:pt idx="14">
                  <c:v>-1.5045939398683661</c:v>
                </c:pt>
                <c:pt idx="15">
                  <c:v>-1.4778047724525343</c:v>
                </c:pt>
                <c:pt idx="16">
                  <c:v>-1.4619749260804569</c:v>
                </c:pt>
                <c:pt idx="17">
                  <c:v>-1.4528455470036397</c:v>
                </c:pt>
                <c:pt idx="18">
                  <c:v>-1.4478926009641993</c:v>
                </c:pt>
                <c:pt idx="19">
                  <c:v>-1.4455816255593177</c:v>
                </c:pt>
                <c:pt idx="20">
                  <c:v>-1.4449594845857168</c:v>
                </c:pt>
                <c:pt idx="21">
                  <c:v>-1.4454234452076249</c:v>
                </c:pt>
                <c:pt idx="22">
                  <c:v>-1.4465868132714745</c:v>
                </c:pt>
                <c:pt idx="23">
                  <c:v>-1.448198772612642</c:v>
                </c:pt>
                <c:pt idx="24">
                  <c:v>-1.450095490878738</c:v>
                </c:pt>
                <c:pt idx="25">
                  <c:v>-1.4521697069844857</c:v>
                </c:pt>
                <c:pt idx="26">
                  <c:v>-1.4543514877003139</c:v>
                </c:pt>
                <c:pt idx="27">
                  <c:v>-1.4565958729173767</c:v>
                </c:pt>
                <c:pt idx="28">
                  <c:v>-1.4588748520244708</c:v>
                </c:pt>
                <c:pt idx="29">
                  <c:v>-1.4611721163778886</c:v>
                </c:pt>
                <c:pt idx="30">
                  <c:v>-1.4634796303673521</c:v>
                </c:pt>
                <c:pt idx="31">
                  <c:v>-1.4657954300062666</c:v>
                </c:pt>
                <c:pt idx="32">
                  <c:v>-1.4681222931560163</c:v>
                </c:pt>
                <c:pt idx="33">
                  <c:v>-1.4704670918068303</c:v>
                </c:pt>
                <c:pt idx="34">
                  <c:v>-1.4728407832367201</c:v>
                </c:pt>
                <c:pt idx="35">
                  <c:v>-1.4752591859055175</c:v>
                </c:pt>
                <c:pt idx="36">
                  <c:v>-1.4777450570360364</c:v>
                </c:pt>
                <c:pt idx="37">
                  <c:v>-1.4803329952212612</c:v>
                </c:pt>
                <c:pt idx="38">
                  <c:v>-1.4830823299505735</c:v>
                </c:pt>
                <c:pt idx="39">
                  <c:v>-1.4861229853561786</c:v>
                </c:pt>
                <c:pt idx="40">
                  <c:v>-1.490156947305521</c:v>
                </c:pt>
                <c:pt idx="41">
                  <c:v>-1.4901688013934451</c:v>
                </c:pt>
                <c:pt idx="42">
                  <c:v>-1.4901812779654673</c:v>
                </c:pt>
                <c:pt idx="43">
                  <c:v>-1.4901946443510172</c:v>
                </c:pt>
                <c:pt idx="44">
                  <c:v>-1.4902095112616722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'Alpha-Up'!$Z$10</c:f>
              <c:strCache>
                <c:ptCount val="1"/>
                <c:pt idx="0">
                  <c:v>0,06</c:v>
                </c:pt>
              </c:strCache>
            </c:strRef>
          </c:tx>
          <c:xVal>
            <c:numRef>
              <c:f>'Alpha-Up'!$N$11:$N$55</c:f>
              <c:numCache>
                <c:formatCode>General</c:formatCode>
                <c:ptCount val="45"/>
                <c:pt idx="0">
                  <c:v>3.1414926535897929</c:v>
                </c:pt>
                <c:pt idx="1">
                  <c:v>3.0630528372500483</c:v>
                </c:pt>
                <c:pt idx="2">
                  <c:v>2.9845130209103035</c:v>
                </c:pt>
                <c:pt idx="3">
                  <c:v>2.9059732045705586</c:v>
                </c:pt>
                <c:pt idx="4">
                  <c:v>2.8274333882308138</c:v>
                </c:pt>
                <c:pt idx="5">
                  <c:v>2.748893571891069</c:v>
                </c:pt>
                <c:pt idx="6">
                  <c:v>2.6703537555513241</c:v>
                </c:pt>
                <c:pt idx="7">
                  <c:v>2.5918139392115793</c:v>
                </c:pt>
                <c:pt idx="8">
                  <c:v>2.5132741228718345</c:v>
                </c:pt>
                <c:pt idx="9">
                  <c:v>2.4347343065320897</c:v>
                </c:pt>
                <c:pt idx="10">
                  <c:v>2.3561944901923448</c:v>
                </c:pt>
                <c:pt idx="11">
                  <c:v>2.2776546738526</c:v>
                </c:pt>
                <c:pt idx="12">
                  <c:v>2.1991148575128552</c:v>
                </c:pt>
                <c:pt idx="13">
                  <c:v>2.1205750411731104</c:v>
                </c:pt>
                <c:pt idx="14">
                  <c:v>2.0420352248333655</c:v>
                </c:pt>
                <c:pt idx="15">
                  <c:v>1.9634954084936207</c:v>
                </c:pt>
                <c:pt idx="16">
                  <c:v>1.8849555921538759</c:v>
                </c:pt>
                <c:pt idx="17">
                  <c:v>1.806415775814131</c:v>
                </c:pt>
                <c:pt idx="18">
                  <c:v>1.7278759594743862</c:v>
                </c:pt>
                <c:pt idx="19">
                  <c:v>1.6493361431346414</c:v>
                </c:pt>
                <c:pt idx="20">
                  <c:v>1.5707963267948966</c:v>
                </c:pt>
                <c:pt idx="21">
                  <c:v>1.4922565104551517</c:v>
                </c:pt>
                <c:pt idx="22">
                  <c:v>1.4137166941154069</c:v>
                </c:pt>
                <c:pt idx="23">
                  <c:v>1.3351768777756621</c:v>
                </c:pt>
                <c:pt idx="24">
                  <c:v>1.2566370614359172</c:v>
                </c:pt>
                <c:pt idx="25">
                  <c:v>1.1780972450961724</c:v>
                </c:pt>
                <c:pt idx="26">
                  <c:v>1.0995574287564276</c:v>
                </c:pt>
                <c:pt idx="27">
                  <c:v>1.0210176124166828</c:v>
                </c:pt>
                <c:pt idx="28">
                  <c:v>0.94247779607693793</c:v>
                </c:pt>
                <c:pt idx="29">
                  <c:v>0.86393797973719311</c:v>
                </c:pt>
                <c:pt idx="30">
                  <c:v>0.78539816339744828</c:v>
                </c:pt>
                <c:pt idx="31">
                  <c:v>0.70685834705770345</c:v>
                </c:pt>
                <c:pt idx="32">
                  <c:v>0.62831853071795862</c:v>
                </c:pt>
                <c:pt idx="33">
                  <c:v>0.5497787143782138</c:v>
                </c:pt>
                <c:pt idx="34">
                  <c:v>0.47123889803846897</c:v>
                </c:pt>
                <c:pt idx="35">
                  <c:v>0.39269908169872414</c:v>
                </c:pt>
                <c:pt idx="36">
                  <c:v>0.31415926535897931</c:v>
                </c:pt>
                <c:pt idx="37">
                  <c:v>0.23561944901923448</c:v>
                </c:pt>
                <c:pt idx="38">
                  <c:v>0.15707963267948966</c:v>
                </c:pt>
                <c:pt idx="39">
                  <c:v>7.8539816339744828E-2</c:v>
                </c:pt>
                <c:pt idx="40">
                  <c:v>5.0000000000000001E-4</c:v>
                </c:pt>
                <c:pt idx="41">
                  <c:v>4.0000000000000002E-4</c:v>
                </c:pt>
                <c:pt idx="42">
                  <c:v>2.9999999999999997E-4</c:v>
                </c:pt>
                <c:pt idx="43">
                  <c:v>2.0000000000000001E-4</c:v>
                </c:pt>
                <c:pt idx="44">
                  <c:v>1E-4</c:v>
                </c:pt>
              </c:numCache>
            </c:numRef>
          </c:xVal>
          <c:yVal>
            <c:numRef>
              <c:f>'Alpha-Up'!$Z$11:$Z$55</c:f>
              <c:numCache>
                <c:formatCode>General</c:formatCode>
                <c:ptCount val="45"/>
                <c:pt idx="0">
                  <c:v>-5.3151885465317248E+16</c:v>
                </c:pt>
                <c:pt idx="1">
                  <c:v>-15392.289629132534</c:v>
                </c:pt>
                <c:pt idx="2">
                  <c:v>-761.14575398330328</c:v>
                </c:pt>
                <c:pt idx="3">
                  <c:v>-131.12808793659079</c:v>
                </c:pt>
                <c:pt idx="4">
                  <c:v>-38.110857560019085</c:v>
                </c:pt>
                <c:pt idx="5">
                  <c:v>-15.074272966196796</c:v>
                </c:pt>
                <c:pt idx="6">
                  <c:v>-7.454112470133043</c:v>
                </c:pt>
                <c:pt idx="7">
                  <c:v>-4.4200733460259798</c:v>
                </c:pt>
                <c:pt idx="8">
                  <c:v>-3.046531346836491</c:v>
                </c:pt>
                <c:pt idx="9">
                  <c:v>-2.3638621864881695</c:v>
                </c:pt>
                <c:pt idx="10">
                  <c:v>-2</c:v>
                </c:pt>
                <c:pt idx="11">
                  <c:v>-1.7955042862485646</c:v>
                </c:pt>
                <c:pt idx="12">
                  <c:v>-1.675892798179287</c:v>
                </c:pt>
                <c:pt idx="13">
                  <c:v>-1.6038765616889137</c:v>
                </c:pt>
                <c:pt idx="14">
                  <c:v>-1.5596978019092611</c:v>
                </c:pt>
                <c:pt idx="15">
                  <c:v>-1.5323820197337561</c:v>
                </c:pt>
                <c:pt idx="16">
                  <c:v>-1.5155864818092648</c:v>
                </c:pt>
                <c:pt idx="17">
                  <c:v>-1.5055197856976825</c:v>
                </c:pt>
                <c:pt idx="18">
                  <c:v>-1.4998496200558122</c:v>
                </c:pt>
                <c:pt idx="19">
                  <c:v>-1.4971057984573988</c:v>
                </c:pt>
                <c:pt idx="20">
                  <c:v>-1.496342348233884</c:v>
                </c:pt>
                <c:pt idx="21">
                  <c:v>-1.4969402691205578</c:v>
                </c:pt>
                <c:pt idx="22">
                  <c:v>-1.4984892513962065</c:v>
                </c:pt>
                <c:pt idx="23">
                  <c:v>-1.5007150482694089</c:v>
                </c:pt>
                <c:pt idx="24">
                  <c:v>-1.5034339649405595</c:v>
                </c:pt>
                <c:pt idx="25">
                  <c:v>-1.5065238616972336</c:v>
                </c:pt>
                <c:pt idx="26">
                  <c:v>-1.5099054627383905</c:v>
                </c:pt>
                <c:pt idx="27">
                  <c:v>-1.5135302672626247</c:v>
                </c:pt>
                <c:pt idx="28">
                  <c:v>-1.5173728313774293</c:v>
                </c:pt>
                <c:pt idx="29">
                  <c:v>-1.5214260894155434</c:v>
                </c:pt>
                <c:pt idx="30">
                  <c:v>-1.5256989721361991</c:v>
                </c:pt>
                <c:pt idx="31">
                  <c:v>-1.5302160211948226</c:v>
                </c:pt>
                <c:pt idx="32">
                  <c:v>-1.5350191270830731</c:v>
                </c:pt>
                <c:pt idx="33">
                  <c:v>-1.5401720992622943</c:v>
                </c:pt>
                <c:pt idx="34">
                  <c:v>-1.5457698401502613</c:v>
                </c:pt>
                <c:pt idx="35">
                  <c:v>-1.5519562789429036</c:v>
                </c:pt>
                <c:pt idx="36">
                  <c:v>-1.5589615184185472</c:v>
                </c:pt>
                <c:pt idx="37">
                  <c:v>-1.5671885643888031</c:v>
                </c:pt>
                <c:pt idx="38">
                  <c:v>-1.5774611579194522</c:v>
                </c:pt>
                <c:pt idx="39">
                  <c:v>-1.5920585388794417</c:v>
                </c:pt>
                <c:pt idx="40">
                  <c:v>-1.6379829266784229</c:v>
                </c:pt>
                <c:pt idx="41">
                  <c:v>-1.6387386754998858</c:v>
                </c:pt>
                <c:pt idx="42">
                  <c:v>-1.6396342608281218</c:v>
                </c:pt>
                <c:pt idx="43">
                  <c:v>-1.6407603139971965</c:v>
                </c:pt>
                <c:pt idx="44">
                  <c:v>-1.6423680074677856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'Alpha-Up'!$AB$10</c:f>
              <c:strCache>
                <c:ptCount val="1"/>
                <c:pt idx="0">
                  <c:v>0,08</c:v>
                </c:pt>
              </c:strCache>
            </c:strRef>
          </c:tx>
          <c:xVal>
            <c:numRef>
              <c:f>'Alpha-Up'!$N$11:$N$55</c:f>
              <c:numCache>
                <c:formatCode>General</c:formatCode>
                <c:ptCount val="45"/>
                <c:pt idx="0">
                  <c:v>3.1414926535897929</c:v>
                </c:pt>
                <c:pt idx="1">
                  <c:v>3.0630528372500483</c:v>
                </c:pt>
                <c:pt idx="2">
                  <c:v>2.9845130209103035</c:v>
                </c:pt>
                <c:pt idx="3">
                  <c:v>2.9059732045705586</c:v>
                </c:pt>
                <c:pt idx="4">
                  <c:v>2.8274333882308138</c:v>
                </c:pt>
                <c:pt idx="5">
                  <c:v>2.748893571891069</c:v>
                </c:pt>
                <c:pt idx="6">
                  <c:v>2.6703537555513241</c:v>
                </c:pt>
                <c:pt idx="7">
                  <c:v>2.5918139392115793</c:v>
                </c:pt>
                <c:pt idx="8">
                  <c:v>2.5132741228718345</c:v>
                </c:pt>
                <c:pt idx="9">
                  <c:v>2.4347343065320897</c:v>
                </c:pt>
                <c:pt idx="10">
                  <c:v>2.3561944901923448</c:v>
                </c:pt>
                <c:pt idx="11">
                  <c:v>2.2776546738526</c:v>
                </c:pt>
                <c:pt idx="12">
                  <c:v>2.1991148575128552</c:v>
                </c:pt>
                <c:pt idx="13">
                  <c:v>2.1205750411731104</c:v>
                </c:pt>
                <c:pt idx="14">
                  <c:v>2.0420352248333655</c:v>
                </c:pt>
                <c:pt idx="15">
                  <c:v>1.9634954084936207</c:v>
                </c:pt>
                <c:pt idx="16">
                  <c:v>1.8849555921538759</c:v>
                </c:pt>
                <c:pt idx="17">
                  <c:v>1.806415775814131</c:v>
                </c:pt>
                <c:pt idx="18">
                  <c:v>1.7278759594743862</c:v>
                </c:pt>
                <c:pt idx="19">
                  <c:v>1.6493361431346414</c:v>
                </c:pt>
                <c:pt idx="20">
                  <c:v>1.5707963267948966</c:v>
                </c:pt>
                <c:pt idx="21">
                  <c:v>1.4922565104551517</c:v>
                </c:pt>
                <c:pt idx="22">
                  <c:v>1.4137166941154069</c:v>
                </c:pt>
                <c:pt idx="23">
                  <c:v>1.3351768777756621</c:v>
                </c:pt>
                <c:pt idx="24">
                  <c:v>1.2566370614359172</c:v>
                </c:pt>
                <c:pt idx="25">
                  <c:v>1.1780972450961724</c:v>
                </c:pt>
                <c:pt idx="26">
                  <c:v>1.0995574287564276</c:v>
                </c:pt>
                <c:pt idx="27">
                  <c:v>1.0210176124166828</c:v>
                </c:pt>
                <c:pt idx="28">
                  <c:v>0.94247779607693793</c:v>
                </c:pt>
                <c:pt idx="29">
                  <c:v>0.86393797973719311</c:v>
                </c:pt>
                <c:pt idx="30">
                  <c:v>0.78539816339744828</c:v>
                </c:pt>
                <c:pt idx="31">
                  <c:v>0.70685834705770345</c:v>
                </c:pt>
                <c:pt idx="32">
                  <c:v>0.62831853071795862</c:v>
                </c:pt>
                <c:pt idx="33">
                  <c:v>0.5497787143782138</c:v>
                </c:pt>
                <c:pt idx="34">
                  <c:v>0.47123889803846897</c:v>
                </c:pt>
                <c:pt idx="35">
                  <c:v>0.39269908169872414</c:v>
                </c:pt>
                <c:pt idx="36">
                  <c:v>0.31415926535897931</c:v>
                </c:pt>
                <c:pt idx="37">
                  <c:v>0.23561944901923448</c:v>
                </c:pt>
                <c:pt idx="38">
                  <c:v>0.15707963267948966</c:v>
                </c:pt>
                <c:pt idx="39">
                  <c:v>7.8539816339744828E-2</c:v>
                </c:pt>
                <c:pt idx="40">
                  <c:v>5.0000000000000001E-4</c:v>
                </c:pt>
                <c:pt idx="41">
                  <c:v>4.0000000000000002E-4</c:v>
                </c:pt>
                <c:pt idx="42">
                  <c:v>2.9999999999999997E-4</c:v>
                </c:pt>
                <c:pt idx="43">
                  <c:v>2.0000000000000001E-4</c:v>
                </c:pt>
                <c:pt idx="44">
                  <c:v>1E-4</c:v>
                </c:pt>
              </c:numCache>
            </c:numRef>
          </c:xVal>
          <c:yVal>
            <c:numRef>
              <c:f>'Alpha-Up'!$AB$11:$AB$55</c:f>
              <c:numCache>
                <c:formatCode>General</c:formatCode>
                <c:ptCount val="45"/>
                <c:pt idx="0">
                  <c:v>-236818974290373.72</c:v>
                </c:pt>
                <c:pt idx="1">
                  <c:v>-3372.7717004849142</c:v>
                </c:pt>
                <c:pt idx="2">
                  <c:v>-251.20765055602428</c:v>
                </c:pt>
                <c:pt idx="3">
                  <c:v>-55.603850167316345</c:v>
                </c:pt>
                <c:pt idx="4">
                  <c:v>-19.641933245789584</c:v>
                </c:pt>
                <c:pt idx="5">
                  <c:v>-9.2121676980516884</c:v>
                </c:pt>
                <c:pt idx="6">
                  <c:v>-5.3040458510716206</c:v>
                </c:pt>
                <c:pt idx="7">
                  <c:v>-3.577761622879513</c:v>
                </c:pt>
                <c:pt idx="8">
                  <c:v>-2.7230516373264111</c:v>
                </c:pt>
                <c:pt idx="9">
                  <c:v>-2.2632333832068361</c:v>
                </c:pt>
                <c:pt idx="10">
                  <c:v>-2</c:v>
                </c:pt>
                <c:pt idx="11">
                  <c:v>-1.8420513531578551</c:v>
                </c:pt>
                <c:pt idx="12">
                  <c:v>-1.7438789877123182</c:v>
                </c:pt>
                <c:pt idx="13">
                  <c:v>-1.6813030668723816</c:v>
                </c:pt>
                <c:pt idx="14">
                  <c:v>-1.6407847648255411</c:v>
                </c:pt>
                <c:pt idx="15">
                  <c:v>-1.6144050125689082</c:v>
                </c:pt>
                <c:pt idx="16">
                  <c:v>-1.5973584379143546</c:v>
                </c:pt>
                <c:pt idx="17">
                  <c:v>-1.5866370931525253</c:v>
                </c:pt>
                <c:pt idx="18">
                  <c:v>-1.5803082397682506</c:v>
                </c:pt>
                <c:pt idx="19">
                  <c:v>-1.5771028642500897</c:v>
                </c:pt>
                <c:pt idx="20">
                  <c:v>-1.576173454169729</c:v>
                </c:pt>
                <c:pt idx="21">
                  <c:v>-1.5769473399943827</c:v>
                </c:pt>
                <c:pt idx="22">
                  <c:v>-1.5790357675041804</c:v>
                </c:pt>
                <c:pt idx="23">
                  <c:v>-1.5821764650044825</c:v>
                </c:pt>
                <c:pt idx="24">
                  <c:v>-1.5861969531468898</c:v>
                </c:pt>
                <c:pt idx="25">
                  <c:v>-1.5909911350696007</c:v>
                </c:pt>
                <c:pt idx="26">
                  <c:v>-1.5965047669528243</c:v>
                </c:pt>
                <c:pt idx="27">
                  <c:v>-1.6027272723518482</c:v>
                </c:pt>
                <c:pt idx="28">
                  <c:v>-1.6096885983293507</c:v>
                </c:pt>
                <c:pt idx="29">
                  <c:v>-1.6174607731414186</c:v>
                </c:pt>
                <c:pt idx="30">
                  <c:v>-1.6261648005134288</c:v>
                </c:pt>
                <c:pt idx="31">
                  <c:v>-1.6359848630358169</c:v>
                </c:pt>
                <c:pt idx="32">
                  <c:v>-1.6471941284329081</c:v>
                </c:pt>
                <c:pt idx="33">
                  <c:v>-1.6602011492949571</c:v>
                </c:pt>
                <c:pt idx="34">
                  <c:v>-1.6756365062718992</c:v>
                </c:pt>
                <c:pt idx="35">
                  <c:v>-1.6945264457777589</c:v>
                </c:pt>
                <c:pt idx="36">
                  <c:v>-1.718679293096417</c:v>
                </c:pt>
                <c:pt idx="37">
                  <c:v>-1.7516878544861185</c:v>
                </c:pt>
                <c:pt idx="38">
                  <c:v>-1.802238246506584</c:v>
                </c:pt>
                <c:pt idx="39">
                  <c:v>-1.9013143652664581</c:v>
                </c:pt>
                <c:pt idx="40">
                  <c:v>-3.5003360917250124</c:v>
                </c:pt>
                <c:pt idx="41">
                  <c:v>-3.6291972614915622</c:v>
                </c:pt>
                <c:pt idx="42">
                  <c:v>-3.8064668825271024</c:v>
                </c:pt>
                <c:pt idx="43">
                  <c:v>-4.0793401642453428</c:v>
                </c:pt>
                <c:pt idx="44">
                  <c:v>-4.6160409451316884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'Alpha-Up'!$AD$10</c:f>
              <c:strCache>
                <c:ptCount val="1"/>
                <c:pt idx="0">
                  <c:v>0,1</c:v>
                </c:pt>
              </c:strCache>
            </c:strRef>
          </c:tx>
          <c:xVal>
            <c:numRef>
              <c:f>'Alpha-Up'!$N$11:$N$55</c:f>
              <c:numCache>
                <c:formatCode>General</c:formatCode>
                <c:ptCount val="45"/>
                <c:pt idx="0">
                  <c:v>3.1414926535897929</c:v>
                </c:pt>
                <c:pt idx="1">
                  <c:v>3.0630528372500483</c:v>
                </c:pt>
                <c:pt idx="2">
                  <c:v>2.9845130209103035</c:v>
                </c:pt>
                <c:pt idx="3">
                  <c:v>2.9059732045705586</c:v>
                </c:pt>
                <c:pt idx="4">
                  <c:v>2.8274333882308138</c:v>
                </c:pt>
                <c:pt idx="5">
                  <c:v>2.748893571891069</c:v>
                </c:pt>
                <c:pt idx="6">
                  <c:v>2.6703537555513241</c:v>
                </c:pt>
                <c:pt idx="7">
                  <c:v>2.5918139392115793</c:v>
                </c:pt>
                <c:pt idx="8">
                  <c:v>2.5132741228718345</c:v>
                </c:pt>
                <c:pt idx="9">
                  <c:v>2.4347343065320897</c:v>
                </c:pt>
                <c:pt idx="10">
                  <c:v>2.3561944901923448</c:v>
                </c:pt>
                <c:pt idx="11">
                  <c:v>2.2776546738526</c:v>
                </c:pt>
                <c:pt idx="12">
                  <c:v>2.1991148575128552</c:v>
                </c:pt>
                <c:pt idx="13">
                  <c:v>2.1205750411731104</c:v>
                </c:pt>
                <c:pt idx="14">
                  <c:v>2.0420352248333655</c:v>
                </c:pt>
                <c:pt idx="15">
                  <c:v>1.9634954084936207</c:v>
                </c:pt>
                <c:pt idx="16">
                  <c:v>1.8849555921538759</c:v>
                </c:pt>
                <c:pt idx="17">
                  <c:v>1.806415775814131</c:v>
                </c:pt>
                <c:pt idx="18">
                  <c:v>1.7278759594743862</c:v>
                </c:pt>
                <c:pt idx="19">
                  <c:v>1.6493361431346414</c:v>
                </c:pt>
                <c:pt idx="20">
                  <c:v>1.5707963267948966</c:v>
                </c:pt>
                <c:pt idx="21">
                  <c:v>1.4922565104551517</c:v>
                </c:pt>
                <c:pt idx="22">
                  <c:v>1.4137166941154069</c:v>
                </c:pt>
                <c:pt idx="23">
                  <c:v>1.3351768777756621</c:v>
                </c:pt>
                <c:pt idx="24">
                  <c:v>1.2566370614359172</c:v>
                </c:pt>
                <c:pt idx="25">
                  <c:v>1.1780972450961724</c:v>
                </c:pt>
                <c:pt idx="26">
                  <c:v>1.0995574287564276</c:v>
                </c:pt>
                <c:pt idx="27">
                  <c:v>1.0210176124166828</c:v>
                </c:pt>
                <c:pt idx="28">
                  <c:v>0.94247779607693793</c:v>
                </c:pt>
                <c:pt idx="29">
                  <c:v>0.86393797973719311</c:v>
                </c:pt>
                <c:pt idx="30">
                  <c:v>0.78539816339744828</c:v>
                </c:pt>
                <c:pt idx="31">
                  <c:v>0.70685834705770345</c:v>
                </c:pt>
                <c:pt idx="32">
                  <c:v>0.62831853071795862</c:v>
                </c:pt>
                <c:pt idx="33">
                  <c:v>0.5497787143782138</c:v>
                </c:pt>
                <c:pt idx="34">
                  <c:v>0.47123889803846897</c:v>
                </c:pt>
                <c:pt idx="35">
                  <c:v>0.39269908169872414</c:v>
                </c:pt>
                <c:pt idx="36">
                  <c:v>0.31415926535897931</c:v>
                </c:pt>
                <c:pt idx="37">
                  <c:v>0.23561944901923448</c:v>
                </c:pt>
                <c:pt idx="38">
                  <c:v>0.15707963267948966</c:v>
                </c:pt>
                <c:pt idx="39">
                  <c:v>7.8539816339744828E-2</c:v>
                </c:pt>
                <c:pt idx="40">
                  <c:v>5.0000000000000001E-4</c:v>
                </c:pt>
                <c:pt idx="41">
                  <c:v>4.0000000000000002E-4</c:v>
                </c:pt>
                <c:pt idx="42">
                  <c:v>2.9999999999999997E-4</c:v>
                </c:pt>
                <c:pt idx="43">
                  <c:v>2.0000000000000001E-4</c:v>
                </c:pt>
                <c:pt idx="44">
                  <c:v>1E-4</c:v>
                </c:pt>
              </c:numCache>
            </c:numRef>
          </c:xVal>
          <c:yVal>
            <c:numRef>
              <c:f>'Alpha-Up'!$AD$11:$AD$55</c:f>
              <c:numCache>
                <c:formatCode>General</c:formatCode>
                <c:ptCount val="45"/>
                <c:pt idx="0">
                  <c:v>-8819250615717.9609</c:v>
                </c:pt>
                <c:pt idx="1">
                  <c:v>-1304.3353343106769</c:v>
                </c:pt>
                <c:pt idx="2">
                  <c:v>-124.68818038805368</c:v>
                </c:pt>
                <c:pt idx="3">
                  <c:v>-32.34224153554544</c:v>
                </c:pt>
                <c:pt idx="4">
                  <c:v>-12.991731592298837</c:v>
                </c:pt>
                <c:pt idx="5">
                  <c:v>-6.8238355860239031</c:v>
                </c:pt>
                <c:pt idx="6">
                  <c:v>-4.3334781954496684</c:v>
                </c:pt>
                <c:pt idx="7">
                  <c:v>-3.1628111288876228</c:v>
                </c:pt>
                <c:pt idx="8">
                  <c:v>-2.5512183305613059</c:v>
                </c:pt>
                <c:pt idx="9">
                  <c:v>-2.2061789616933876</c:v>
                </c:pt>
                <c:pt idx="10">
                  <c:v>-2</c:v>
                </c:pt>
                <c:pt idx="11">
                  <c:v>-1.8713284034525595</c:v>
                </c:pt>
                <c:pt idx="12">
                  <c:v>-1.788382432730329</c:v>
                </c:pt>
                <c:pt idx="13">
                  <c:v>-1.733670875920742</c:v>
                </c:pt>
                <c:pt idx="14">
                  <c:v>-1.6970768844113999</c:v>
                </c:pt>
                <c:pt idx="15">
                  <c:v>-1.6725019976993551</c:v>
                </c:pt>
                <c:pt idx="16">
                  <c:v>-1.6561405923162218</c:v>
                </c:pt>
                <c:pt idx="17">
                  <c:v>-1.6455481667419787</c:v>
                </c:pt>
                <c:pt idx="18">
                  <c:v>-1.639116808641649</c:v>
                </c:pt>
                <c:pt idx="19">
                  <c:v>-1.6357691312537759</c:v>
                </c:pt>
                <c:pt idx="20">
                  <c:v>-1.6347741513756808</c:v>
                </c:pt>
                <c:pt idx="21">
                  <c:v>-1.6356336906037212</c:v>
                </c:pt>
                <c:pt idx="22">
                  <c:v>-1.6380109391973436</c:v>
                </c:pt>
                <c:pt idx="23">
                  <c:v>-1.6416850836503996</c:v>
                </c:pt>
                <c:pt idx="24">
                  <c:v>-1.6465226727159379</c:v>
                </c:pt>
                <c:pt idx="25">
                  <c:v>-1.6524602984339229</c:v>
                </c:pt>
                <c:pt idx="26">
                  <c:v>-1.6594955499741162</c:v>
                </c:pt>
                <c:pt idx="27">
                  <c:v>-1.6676848046494903</c:v>
                </c:pt>
                <c:pt idx="28">
                  <c:v>-1.6771477216916868</c:v>
                </c:pt>
                <c:pt idx="29">
                  <c:v>-1.6880796892700558</c:v>
                </c:pt>
                <c:pt idx="30">
                  <c:v>-1.7007754285094865</c:v>
                </c:pt>
                <c:pt idx="31">
                  <c:v>-1.7156703362465118</c:v>
                </c:pt>
                <c:pt idx="32">
                  <c:v>-1.7334127996773729</c:v>
                </c:pt>
                <c:pt idx="33">
                  <c:v>-1.7549951475921763</c:v>
                </c:pt>
                <c:pt idx="34">
                  <c:v>-1.7820053243270146</c:v>
                </c:pt>
                <c:pt idx="35">
                  <c:v>-1.8171530606596398</c:v>
                </c:pt>
                <c:pt idx="36">
                  <c:v>-1.8655057191425961</c:v>
                </c:pt>
                <c:pt idx="37">
                  <c:v>-1.9379190960237076</c:v>
                </c:pt>
                <c:pt idx="38">
                  <c:v>-2.0634223581897011</c:v>
                </c:pt>
                <c:pt idx="39">
                  <c:v>-2.3630982569975538</c:v>
                </c:pt>
                <c:pt idx="40">
                  <c:v>-20.086045002089634</c:v>
                </c:pt>
                <c:pt idx="41">
                  <c:v>-22.772418729631898</c:v>
                </c:pt>
                <c:pt idx="42">
                  <c:v>-26.816180273623644</c:v>
                </c:pt>
                <c:pt idx="43">
                  <c:v>-33.853022959415917</c:v>
                </c:pt>
                <c:pt idx="44">
                  <c:v>-50.702529310532796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'Alpha-Up'!$AF$10</c:f>
              <c:strCache>
                <c:ptCount val="1"/>
                <c:pt idx="0">
                  <c:v>0,15</c:v>
                </c:pt>
              </c:strCache>
            </c:strRef>
          </c:tx>
          <c:xVal>
            <c:numRef>
              <c:f>'Alpha-Up'!$N$11:$N$55</c:f>
              <c:numCache>
                <c:formatCode>General</c:formatCode>
                <c:ptCount val="45"/>
                <c:pt idx="0">
                  <c:v>3.1414926535897929</c:v>
                </c:pt>
                <c:pt idx="1">
                  <c:v>3.0630528372500483</c:v>
                </c:pt>
                <c:pt idx="2">
                  <c:v>2.9845130209103035</c:v>
                </c:pt>
                <c:pt idx="3">
                  <c:v>2.9059732045705586</c:v>
                </c:pt>
                <c:pt idx="4">
                  <c:v>2.8274333882308138</c:v>
                </c:pt>
                <c:pt idx="5">
                  <c:v>2.748893571891069</c:v>
                </c:pt>
                <c:pt idx="6">
                  <c:v>2.6703537555513241</c:v>
                </c:pt>
                <c:pt idx="7">
                  <c:v>2.5918139392115793</c:v>
                </c:pt>
                <c:pt idx="8">
                  <c:v>2.5132741228718345</c:v>
                </c:pt>
                <c:pt idx="9">
                  <c:v>2.4347343065320897</c:v>
                </c:pt>
                <c:pt idx="10">
                  <c:v>2.3561944901923448</c:v>
                </c:pt>
                <c:pt idx="11">
                  <c:v>2.2776546738526</c:v>
                </c:pt>
                <c:pt idx="12">
                  <c:v>2.1991148575128552</c:v>
                </c:pt>
                <c:pt idx="13">
                  <c:v>2.1205750411731104</c:v>
                </c:pt>
                <c:pt idx="14">
                  <c:v>2.0420352248333655</c:v>
                </c:pt>
                <c:pt idx="15">
                  <c:v>1.9634954084936207</c:v>
                </c:pt>
                <c:pt idx="16">
                  <c:v>1.8849555921538759</c:v>
                </c:pt>
                <c:pt idx="17">
                  <c:v>1.806415775814131</c:v>
                </c:pt>
                <c:pt idx="18">
                  <c:v>1.7278759594743862</c:v>
                </c:pt>
                <c:pt idx="19">
                  <c:v>1.6493361431346414</c:v>
                </c:pt>
                <c:pt idx="20">
                  <c:v>1.5707963267948966</c:v>
                </c:pt>
                <c:pt idx="21">
                  <c:v>1.4922565104551517</c:v>
                </c:pt>
                <c:pt idx="22">
                  <c:v>1.4137166941154069</c:v>
                </c:pt>
                <c:pt idx="23">
                  <c:v>1.3351768777756621</c:v>
                </c:pt>
                <c:pt idx="24">
                  <c:v>1.2566370614359172</c:v>
                </c:pt>
                <c:pt idx="25">
                  <c:v>1.1780972450961724</c:v>
                </c:pt>
                <c:pt idx="26">
                  <c:v>1.0995574287564276</c:v>
                </c:pt>
                <c:pt idx="27">
                  <c:v>1.0210176124166828</c:v>
                </c:pt>
                <c:pt idx="28">
                  <c:v>0.94247779607693793</c:v>
                </c:pt>
                <c:pt idx="29">
                  <c:v>0.86393797973719311</c:v>
                </c:pt>
                <c:pt idx="30">
                  <c:v>0.78539816339744828</c:v>
                </c:pt>
                <c:pt idx="31">
                  <c:v>0.70685834705770345</c:v>
                </c:pt>
                <c:pt idx="32">
                  <c:v>0.62831853071795862</c:v>
                </c:pt>
                <c:pt idx="33">
                  <c:v>0.5497787143782138</c:v>
                </c:pt>
                <c:pt idx="34">
                  <c:v>0.47123889803846897</c:v>
                </c:pt>
                <c:pt idx="35">
                  <c:v>0.39269908169872414</c:v>
                </c:pt>
                <c:pt idx="36">
                  <c:v>0.31415926535897931</c:v>
                </c:pt>
                <c:pt idx="37">
                  <c:v>0.23561944901923448</c:v>
                </c:pt>
                <c:pt idx="38">
                  <c:v>0.15707963267948966</c:v>
                </c:pt>
                <c:pt idx="39">
                  <c:v>7.8539816339744828E-2</c:v>
                </c:pt>
                <c:pt idx="40">
                  <c:v>5.0000000000000001E-4</c:v>
                </c:pt>
                <c:pt idx="41">
                  <c:v>4.0000000000000002E-4</c:v>
                </c:pt>
                <c:pt idx="42">
                  <c:v>2.9999999999999997E-4</c:v>
                </c:pt>
                <c:pt idx="43">
                  <c:v>2.0000000000000001E-4</c:v>
                </c:pt>
                <c:pt idx="44">
                  <c:v>1E-4</c:v>
                </c:pt>
              </c:numCache>
            </c:numRef>
          </c:xVal>
          <c:yVal>
            <c:numRef>
              <c:f>'Alpha-Up'!$AF$11:$AF$55</c:f>
              <c:numCache>
                <c:formatCode>General</c:formatCode>
                <c:ptCount val="45"/>
                <c:pt idx="0">
                  <c:v>-99338059810.492264</c:v>
                </c:pt>
                <c:pt idx="1">
                  <c:v>-336.2111177104976</c:v>
                </c:pt>
                <c:pt idx="2">
                  <c:v>-45.452415962869004</c:v>
                </c:pt>
                <c:pt idx="3">
                  <c:v>-14.915317752532824</c:v>
                </c:pt>
                <c:pt idx="4">
                  <c:v>-7.3027563736200047</c:v>
                </c:pt>
                <c:pt idx="5">
                  <c:v>-4.5512229482533488</c:v>
                </c:pt>
                <c:pt idx="6">
                  <c:v>-3.3239745264754901</c:v>
                </c:pt>
                <c:pt idx="7">
                  <c:v>-2.6971273813191101</c:v>
                </c:pt>
                <c:pt idx="8">
                  <c:v>-2.3453077917031422</c:v>
                </c:pt>
                <c:pt idx="9">
                  <c:v>-2.1338213859264026</c:v>
                </c:pt>
                <c:pt idx="10">
                  <c:v>-2</c:v>
                </c:pt>
                <c:pt idx="11">
                  <c:v>-1.9119853749138462</c:v>
                </c:pt>
                <c:pt idx="12">
                  <c:v>-1.8524156049505496</c:v>
                </c:pt>
                <c:pt idx="13">
                  <c:v>-1.8112845705926668</c:v>
                </c:pt>
                <c:pt idx="14">
                  <c:v>-1.7825555464583069</c:v>
                </c:pt>
                <c:pt idx="15">
                  <c:v>-1.7624465717329694</c:v>
                </c:pt>
                <c:pt idx="16">
                  <c:v>-1.748513731590424</c:v>
                </c:pt>
                <c:pt idx="17">
                  <c:v>-1.7391380828204004</c:v>
                </c:pt>
                <c:pt idx="18">
                  <c:v>-1.7332271860641626</c:v>
                </c:pt>
                <c:pt idx="19">
                  <c:v>-1.7300358061373824</c:v>
                </c:pt>
                <c:pt idx="20">
                  <c:v>-1.7290554308491217</c:v>
                </c:pt>
                <c:pt idx="21">
                  <c:v>-1.7299450489237238</c:v>
                </c:pt>
                <c:pt idx="22">
                  <c:v>-1.7324876645362517</c:v>
                </c:pt>
                <c:pt idx="23">
                  <c:v>-1.7365636686125712</c:v>
                </c:pt>
                <c:pt idx="24">
                  <c:v>-1.7421360501015863</c:v>
                </c:pt>
                <c:pt idx="25">
                  <c:v>-1.7492448642622949</c:v>
                </c:pt>
                <c:pt idx="26">
                  <c:v>-1.7580101430834074</c:v>
                </c:pt>
                <c:pt idx="27">
                  <c:v>-1.7686440551252238</c:v>
                </c:pt>
                <c:pt idx="28">
                  <c:v>-1.7814750960890136</c:v>
                </c:pt>
                <c:pt idx="29">
                  <c:v>-1.7969901242781621</c:v>
                </c:pt>
                <c:pt idx="30">
                  <c:v>-1.8159054620606501</c:v>
                </c:pt>
                <c:pt idx="31">
                  <c:v>-1.8392888938416045</c:v>
                </c:pt>
                <c:pt idx="32">
                  <c:v>-1.868776889708214</c:v>
                </c:pt>
                <c:pt idx="33">
                  <c:v>-1.9069830347159971</c:v>
                </c:pt>
                <c:pt idx="34">
                  <c:v>-1.9583236955501282</c:v>
                </c:pt>
                <c:pt idx="35">
                  <c:v>-2.0308543432177162</c:v>
                </c:pt>
                <c:pt idx="36">
                  <c:v>-2.1409166886734878</c:v>
                </c:pt>
                <c:pt idx="37">
                  <c:v>-2.3272869664118074</c:v>
                </c:pt>
                <c:pt idx="38">
                  <c:v>-2.7088764876627121</c:v>
                </c:pt>
                <c:pt idx="39">
                  <c:v>-3.9011213946777294</c:v>
                </c:pt>
                <c:pt idx="40">
                  <c:v>-519.01547032360986</c:v>
                </c:pt>
                <c:pt idx="41">
                  <c:v>-659.08154303755998</c:v>
                </c:pt>
                <c:pt idx="42">
                  <c:v>-897.00936275678714</c:v>
                </c:pt>
                <c:pt idx="43">
                  <c:v>-1385.4248842408067</c:v>
                </c:pt>
                <c:pt idx="44">
                  <c:v>-2914.226021373398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'Alpha-Up'!$AH$10</c:f>
              <c:strCache>
                <c:ptCount val="1"/>
                <c:pt idx="0">
                  <c:v>0,2</c:v>
                </c:pt>
              </c:strCache>
            </c:strRef>
          </c:tx>
          <c:xVal>
            <c:numRef>
              <c:f>'Alpha-Up'!$N$11:$N$55</c:f>
              <c:numCache>
                <c:formatCode>General</c:formatCode>
                <c:ptCount val="45"/>
                <c:pt idx="0">
                  <c:v>3.1414926535897929</c:v>
                </c:pt>
                <c:pt idx="1">
                  <c:v>3.0630528372500483</c:v>
                </c:pt>
                <c:pt idx="2">
                  <c:v>2.9845130209103035</c:v>
                </c:pt>
                <c:pt idx="3">
                  <c:v>2.9059732045705586</c:v>
                </c:pt>
                <c:pt idx="4">
                  <c:v>2.8274333882308138</c:v>
                </c:pt>
                <c:pt idx="5">
                  <c:v>2.748893571891069</c:v>
                </c:pt>
                <c:pt idx="6">
                  <c:v>2.6703537555513241</c:v>
                </c:pt>
                <c:pt idx="7">
                  <c:v>2.5918139392115793</c:v>
                </c:pt>
                <c:pt idx="8">
                  <c:v>2.5132741228718345</c:v>
                </c:pt>
                <c:pt idx="9">
                  <c:v>2.4347343065320897</c:v>
                </c:pt>
                <c:pt idx="10">
                  <c:v>2.3561944901923448</c:v>
                </c:pt>
                <c:pt idx="11">
                  <c:v>2.2776546738526</c:v>
                </c:pt>
                <c:pt idx="12">
                  <c:v>2.1991148575128552</c:v>
                </c:pt>
                <c:pt idx="13">
                  <c:v>2.1205750411731104</c:v>
                </c:pt>
                <c:pt idx="14">
                  <c:v>2.0420352248333655</c:v>
                </c:pt>
                <c:pt idx="15">
                  <c:v>1.9634954084936207</c:v>
                </c:pt>
                <c:pt idx="16">
                  <c:v>1.8849555921538759</c:v>
                </c:pt>
                <c:pt idx="17">
                  <c:v>1.806415775814131</c:v>
                </c:pt>
                <c:pt idx="18">
                  <c:v>1.7278759594743862</c:v>
                </c:pt>
                <c:pt idx="19">
                  <c:v>1.6493361431346414</c:v>
                </c:pt>
                <c:pt idx="20">
                  <c:v>1.5707963267948966</c:v>
                </c:pt>
                <c:pt idx="21">
                  <c:v>1.4922565104551517</c:v>
                </c:pt>
                <c:pt idx="22">
                  <c:v>1.4137166941154069</c:v>
                </c:pt>
                <c:pt idx="23">
                  <c:v>1.3351768777756621</c:v>
                </c:pt>
                <c:pt idx="24">
                  <c:v>1.2566370614359172</c:v>
                </c:pt>
                <c:pt idx="25">
                  <c:v>1.1780972450961724</c:v>
                </c:pt>
                <c:pt idx="26">
                  <c:v>1.0995574287564276</c:v>
                </c:pt>
                <c:pt idx="27">
                  <c:v>1.0210176124166828</c:v>
                </c:pt>
                <c:pt idx="28">
                  <c:v>0.94247779607693793</c:v>
                </c:pt>
                <c:pt idx="29">
                  <c:v>0.86393797973719311</c:v>
                </c:pt>
                <c:pt idx="30">
                  <c:v>0.78539816339744828</c:v>
                </c:pt>
                <c:pt idx="31">
                  <c:v>0.70685834705770345</c:v>
                </c:pt>
                <c:pt idx="32">
                  <c:v>0.62831853071795862</c:v>
                </c:pt>
                <c:pt idx="33">
                  <c:v>0.5497787143782138</c:v>
                </c:pt>
                <c:pt idx="34">
                  <c:v>0.47123889803846897</c:v>
                </c:pt>
                <c:pt idx="35">
                  <c:v>0.39269908169872414</c:v>
                </c:pt>
                <c:pt idx="36">
                  <c:v>0.31415926535897931</c:v>
                </c:pt>
                <c:pt idx="37">
                  <c:v>0.23561944901923448</c:v>
                </c:pt>
                <c:pt idx="38">
                  <c:v>0.15707963267948966</c:v>
                </c:pt>
                <c:pt idx="39">
                  <c:v>7.8539816339744828E-2</c:v>
                </c:pt>
                <c:pt idx="40">
                  <c:v>5.0000000000000001E-4</c:v>
                </c:pt>
                <c:pt idx="41">
                  <c:v>4.0000000000000002E-4</c:v>
                </c:pt>
                <c:pt idx="42">
                  <c:v>2.9999999999999997E-4</c:v>
                </c:pt>
                <c:pt idx="43">
                  <c:v>2.0000000000000001E-4</c:v>
                </c:pt>
                <c:pt idx="44">
                  <c:v>1E-4</c:v>
                </c:pt>
              </c:numCache>
            </c:numRef>
          </c:xVal>
          <c:yVal>
            <c:numRef>
              <c:f>'Alpha-Up'!$AH$11:$AH$55</c:f>
              <c:numCache>
                <c:formatCode>General</c:formatCode>
                <c:ptCount val="45"/>
                <c:pt idx="0">
                  <c:v>-9692907017.3424625</c:v>
                </c:pt>
                <c:pt idx="1">
                  <c:v>-158.81602925569541</c:v>
                </c:pt>
                <c:pt idx="2">
                  <c:v>-25.941761567845298</c:v>
                </c:pt>
                <c:pt idx="3">
                  <c:v>-9.7924410478714954</c:v>
                </c:pt>
                <c:pt idx="4">
                  <c:v>-5.4016623950547338</c:v>
                </c:pt>
                <c:pt idx="5">
                  <c:v>-3.7114972394110906</c:v>
                </c:pt>
                <c:pt idx="6">
                  <c:v>-2.9190613490048909</c:v>
                </c:pt>
                <c:pt idx="7">
                  <c:v>-2.4970880894226095</c:v>
                </c:pt>
                <c:pt idx="8">
                  <c:v>-2.2515783097909212</c:v>
                </c:pt>
                <c:pt idx="9">
                  <c:v>-2.0992197286026837</c:v>
                </c:pt>
                <c:pt idx="10">
                  <c:v>-2</c:v>
                </c:pt>
                <c:pt idx="11">
                  <c:v>-1.9330000858360776</c:v>
                </c:pt>
                <c:pt idx="12">
                  <c:v>-1.8865300096476316</c:v>
                </c:pt>
                <c:pt idx="13">
                  <c:v>-1.8536982860952569</c:v>
                </c:pt>
                <c:pt idx="14">
                  <c:v>-1.8302613962196672</c:v>
                </c:pt>
                <c:pt idx="15">
                  <c:v>-1.8135117374519791</c:v>
                </c:pt>
                <c:pt idx="16">
                  <c:v>-1.8016715642524948</c:v>
                </c:pt>
                <c:pt idx="17">
                  <c:v>-1.7935478581791131</c:v>
                </c:pt>
                <c:pt idx="18">
                  <c:v>-1.7883284796729961</c:v>
                </c:pt>
                <c:pt idx="19">
                  <c:v>-1.7854581949681612</c:v>
                </c:pt>
                <c:pt idx="20">
                  <c:v>-1.7845617148603523</c:v>
                </c:pt>
                <c:pt idx="21">
                  <c:v>-1.7853955605782514</c:v>
                </c:pt>
                <c:pt idx="22">
                  <c:v>-1.7878184769165713</c:v>
                </c:pt>
                <c:pt idx="23">
                  <c:v>-1.7917745944169234</c:v>
                </c:pt>
                <c:pt idx="24">
                  <c:v>-1.7972862745847891</c:v>
                </c:pt>
                <c:pt idx="25">
                  <c:v>-1.8044554592125384</c:v>
                </c:pt>
                <c:pt idx="26">
                  <c:v>-1.8134739547562002</c:v>
                </c:pt>
                <c:pt idx="27">
                  <c:v>-1.8246448941668534</c:v>
                </c:pt>
                <c:pt idx="28">
                  <c:v>-1.8384202317369205</c:v>
                </c:pt>
                <c:pt idx="29">
                  <c:v>-1.8554635683094123</c:v>
                </c:pt>
                <c:pt idx="30">
                  <c:v>-1.8767559575289441</c:v>
                </c:pt>
                <c:pt idx="31">
                  <c:v>-1.9037792710575692</c:v>
                </c:pt>
                <c:pt idx="32">
                  <c:v>-1.9388485133371911</c:v>
                </c:pt>
                <c:pt idx="33">
                  <c:v>-1.9857510653023378</c:v>
                </c:pt>
                <c:pt idx="34">
                  <c:v>-2.0510746036796084</c:v>
                </c:pt>
                <c:pt idx="35">
                  <c:v>-2.1472563793552175</c:v>
                </c:pt>
                <c:pt idx="36">
                  <c:v>-2.3005992146205325</c:v>
                </c:pt>
                <c:pt idx="37">
                  <c:v>-2.5768498963590352</c:v>
                </c:pt>
                <c:pt idx="38">
                  <c:v>-3.1922235605514593</c:v>
                </c:pt>
                <c:pt idx="39">
                  <c:v>-5.3977214327661871</c:v>
                </c:pt>
                <c:pt idx="40">
                  <c:v>-2775.7152807111343</c:v>
                </c:pt>
                <c:pt idx="41">
                  <c:v>-3717.0400888492477</c:v>
                </c:pt>
                <c:pt idx="42">
                  <c:v>-5416.5690149627389</c:v>
                </c:pt>
                <c:pt idx="43">
                  <c:v>-9209.4673307401536</c:v>
                </c:pt>
                <c:pt idx="44">
                  <c:v>-22821.420293612602</c:v>
                </c:pt>
              </c:numCache>
            </c:numRef>
          </c:yVal>
          <c:smooth val="1"/>
        </c:ser>
        <c:axId val="156609920"/>
        <c:axId val="156619904"/>
      </c:scatterChart>
      <c:valAx>
        <c:axId val="156609920"/>
        <c:scaling>
          <c:orientation val="minMax"/>
          <c:min val="0"/>
        </c:scaling>
        <c:axPos val="b"/>
        <c:numFmt formatCode="General" sourceLinked="1"/>
        <c:tickLblPos val="nextTo"/>
        <c:crossAx val="156619904"/>
        <c:crosses val="autoZero"/>
        <c:crossBetween val="midCat"/>
      </c:valAx>
      <c:valAx>
        <c:axId val="156619904"/>
        <c:scaling>
          <c:orientation val="minMax"/>
          <c:max val="0"/>
          <c:min val="-4"/>
        </c:scaling>
        <c:axPos val="l"/>
        <c:majorGridlines/>
        <c:numFmt formatCode="General" sourceLinked="1"/>
        <c:tickLblPos val="nextTo"/>
        <c:crossAx val="15660992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Stufengrün!$C$83</c:f>
              <c:strCache>
                <c:ptCount val="1"/>
                <c:pt idx="0">
                  <c:v>Zref</c:v>
                </c:pt>
              </c:strCache>
            </c:strRef>
          </c:tx>
          <c:marker>
            <c:symbol val="none"/>
          </c:marker>
          <c:xVal>
            <c:numRef>
              <c:f>Stufengrün!$B$84:$B$114</c:f>
              <c:numCache>
                <c:formatCode>General</c:formatCode>
                <c:ptCount val="31"/>
                <c:pt idx="0">
                  <c:v>-3</c:v>
                </c:pt>
                <c:pt idx="1">
                  <c:v>-2.8</c:v>
                </c:pt>
                <c:pt idx="2">
                  <c:v>-2.5999999999999996</c:v>
                </c:pt>
                <c:pt idx="3">
                  <c:v>-2.3999999999999995</c:v>
                </c:pt>
                <c:pt idx="4">
                  <c:v>-2.1999999999999993</c:v>
                </c:pt>
                <c:pt idx="5">
                  <c:v>-1.9999999999999993</c:v>
                </c:pt>
                <c:pt idx="6">
                  <c:v>-1.7999999999999994</c:v>
                </c:pt>
                <c:pt idx="7">
                  <c:v>-1.5999999999999994</c:v>
                </c:pt>
                <c:pt idx="8">
                  <c:v>-1.3999999999999995</c:v>
                </c:pt>
                <c:pt idx="9">
                  <c:v>-1.1999999999999995</c:v>
                </c:pt>
                <c:pt idx="10">
                  <c:v>-0.99999999999999956</c:v>
                </c:pt>
                <c:pt idx="11">
                  <c:v>-0.7999999999999996</c:v>
                </c:pt>
                <c:pt idx="12">
                  <c:v>-0.59999999999999964</c:v>
                </c:pt>
                <c:pt idx="13">
                  <c:v>-0.39999999999999963</c:v>
                </c:pt>
                <c:pt idx="14">
                  <c:v>-0.19999999999999962</c:v>
                </c:pt>
                <c:pt idx="15">
                  <c:v>3.8857805861880479E-16</c:v>
                </c:pt>
                <c:pt idx="16">
                  <c:v>0.19999999999999962</c:v>
                </c:pt>
                <c:pt idx="17">
                  <c:v>0.39999999999999963</c:v>
                </c:pt>
                <c:pt idx="18">
                  <c:v>0.59999999999999964</c:v>
                </c:pt>
                <c:pt idx="19">
                  <c:v>0.7999999999999996</c:v>
                </c:pt>
                <c:pt idx="20">
                  <c:v>0.99999999999999956</c:v>
                </c:pt>
                <c:pt idx="21">
                  <c:v>1.1999999999999995</c:v>
                </c:pt>
                <c:pt idx="22">
                  <c:v>1.3999999999999995</c:v>
                </c:pt>
                <c:pt idx="23">
                  <c:v>1.5999999999999994</c:v>
                </c:pt>
                <c:pt idx="24">
                  <c:v>1.7999999999999994</c:v>
                </c:pt>
                <c:pt idx="25">
                  <c:v>1.9999999999999993</c:v>
                </c:pt>
                <c:pt idx="26">
                  <c:v>2.1999999999999993</c:v>
                </c:pt>
                <c:pt idx="27">
                  <c:v>2.3999999999999995</c:v>
                </c:pt>
                <c:pt idx="28">
                  <c:v>2.5999999999999996</c:v>
                </c:pt>
                <c:pt idx="29">
                  <c:v>2.8</c:v>
                </c:pt>
                <c:pt idx="30">
                  <c:v>3</c:v>
                </c:pt>
              </c:numCache>
            </c:numRef>
          </c:xVal>
          <c:yVal>
            <c:numRef>
              <c:f>Stufengrün!$C$84:$C$114</c:f>
              <c:numCache>
                <c:formatCode>General</c:formatCode>
                <c:ptCount val="31"/>
                <c:pt idx="0">
                  <c:v>-0.18591068500908908</c:v>
                </c:pt>
                <c:pt idx="1">
                  <c:v>-0.18491338983458047</c:v>
                </c:pt>
                <c:pt idx="2">
                  <c:v>-0.18376497881486484</c:v>
                </c:pt>
                <c:pt idx="3">
                  <c:v>-0.18242852732675899</c:v>
                </c:pt>
                <c:pt idx="4">
                  <c:v>-0.18085411514630198</c:v>
                </c:pt>
                <c:pt idx="5">
                  <c:v>-0.17897261731549863</c:v>
                </c:pt>
                <c:pt idx="6">
                  <c:v>-0.17668560663926314</c:v>
                </c:pt>
                <c:pt idx="7">
                  <c:v>-0.17384824681773189</c:v>
                </c:pt>
                <c:pt idx="8">
                  <c:v>-0.1702388938805531</c:v>
                </c:pt>
                <c:pt idx="9">
                  <c:v>-0.16550197556276833</c:v>
                </c:pt>
                <c:pt idx="10">
                  <c:v>-0.15903344706017328</c:v>
                </c:pt>
                <c:pt idx="11">
                  <c:v>-0.149733633448799</c:v>
                </c:pt>
                <c:pt idx="12">
                  <c:v>-0.13543421311316189</c:v>
                </c:pt>
                <c:pt idx="13">
                  <c:v>-0.11154317535052173</c:v>
                </c:pt>
                <c:pt idx="14">
                  <c:v>-6.8808347849052154E-2</c:v>
                </c:pt>
                <c:pt idx="15">
                  <c:v>1.4842588513496412E-16</c:v>
                </c:pt>
                <c:pt idx="16">
                  <c:v>6.8808347849052154E-2</c:v>
                </c:pt>
                <c:pt idx="17">
                  <c:v>0.11154317535052173</c:v>
                </c:pt>
                <c:pt idx="18">
                  <c:v>0.13543421311316189</c:v>
                </c:pt>
                <c:pt idx="19">
                  <c:v>0.149733633448799</c:v>
                </c:pt>
                <c:pt idx="20">
                  <c:v>0.15903344706017328</c:v>
                </c:pt>
                <c:pt idx="21">
                  <c:v>0.16550197556276833</c:v>
                </c:pt>
                <c:pt idx="22">
                  <c:v>0.1702388938805531</c:v>
                </c:pt>
                <c:pt idx="23">
                  <c:v>0.17384824681773189</c:v>
                </c:pt>
                <c:pt idx="24">
                  <c:v>0.17668560663926314</c:v>
                </c:pt>
                <c:pt idx="25">
                  <c:v>0.17897261731549863</c:v>
                </c:pt>
                <c:pt idx="26">
                  <c:v>0.18085411514630198</c:v>
                </c:pt>
                <c:pt idx="27">
                  <c:v>0.18242852732675899</c:v>
                </c:pt>
                <c:pt idx="28">
                  <c:v>0.18376497881486484</c:v>
                </c:pt>
                <c:pt idx="29">
                  <c:v>0.18491338983458047</c:v>
                </c:pt>
                <c:pt idx="30">
                  <c:v>0.18591068500908908</c:v>
                </c:pt>
              </c:numCache>
            </c:numRef>
          </c:yVal>
          <c:smooth val="1"/>
        </c:ser>
        <c:ser>
          <c:idx val="1"/>
          <c:order val="1"/>
          <c:tx>
            <c:v>#5 G-2</c:v>
          </c:tx>
          <c:marker>
            <c:symbol val="none"/>
          </c:marker>
          <c:xVal>
            <c:numRef>
              <c:f>Stufengrün!$M$84:$M$85</c:f>
              <c:numCache>
                <c:formatCode>0.000</c:formatCode>
                <c:ptCount val="2"/>
                <c:pt idx="0" formatCode="General">
                  <c:v>-2</c:v>
                </c:pt>
                <c:pt idx="1">
                  <c:v>-0.77679246641748789</c:v>
                </c:pt>
              </c:numCache>
            </c:numRef>
          </c:xVal>
          <c:yVal>
            <c:numRef>
              <c:f>Stufengrün!$N$84:$N$85</c:f>
              <c:numCache>
                <c:formatCode>General</c:formatCode>
                <c:ptCount val="2"/>
                <c:pt idx="0">
                  <c:v>-0.17897261731549866</c:v>
                </c:pt>
                <c:pt idx="1">
                  <c:v>-0.16634475620867253</c:v>
                </c:pt>
              </c:numCache>
            </c:numRef>
          </c:yVal>
          <c:smooth val="1"/>
        </c:ser>
        <c:ser>
          <c:idx val="2"/>
          <c:order val="2"/>
          <c:tx>
            <c:v>#5 G-1</c:v>
          </c:tx>
          <c:marker>
            <c:symbol val="none"/>
          </c:marker>
          <c:xVal>
            <c:numRef>
              <c:f>Stufengrün!$M$85:$M$86</c:f>
              <c:numCache>
                <c:formatCode>0.000</c:formatCode>
                <c:ptCount val="2"/>
                <c:pt idx="0">
                  <c:v>-0.77679246641748789</c:v>
                </c:pt>
                <c:pt idx="1">
                  <c:v>-0.22653102238502199</c:v>
                </c:pt>
              </c:numCache>
            </c:numRef>
          </c:xVal>
          <c:yVal>
            <c:numRef>
              <c:f>Stufengrün!$O$85:$O$86</c:f>
              <c:numCache>
                <c:formatCode>General</c:formatCode>
                <c:ptCount val="2"/>
                <c:pt idx="0">
                  <c:v>-0.16634475620867253</c:v>
                </c:pt>
                <c:pt idx="1">
                  <c:v>-8.6528476742968902E-2</c:v>
                </c:pt>
              </c:numCache>
            </c:numRef>
          </c:yVal>
          <c:smooth val="1"/>
        </c:ser>
        <c:ser>
          <c:idx val="3"/>
          <c:order val="3"/>
          <c:tx>
            <c:v>#5 G0</c:v>
          </c:tx>
          <c:marker>
            <c:symbol val="none"/>
          </c:marker>
          <c:xVal>
            <c:numRef>
              <c:f>Stufengrün!$M$86:$M$87</c:f>
              <c:numCache>
                <c:formatCode>0.000</c:formatCode>
                <c:ptCount val="2"/>
                <c:pt idx="0">
                  <c:v>-0.22653102238502199</c:v>
                </c:pt>
                <c:pt idx="1">
                  <c:v>0.22653102238502199</c:v>
                </c:pt>
              </c:numCache>
            </c:numRef>
          </c:xVal>
          <c:yVal>
            <c:numRef>
              <c:f>Stufengrün!$P$86:$P$87</c:f>
              <c:numCache>
                <c:formatCode>General</c:formatCode>
                <c:ptCount val="2"/>
                <c:pt idx="0">
                  <c:v>-8.6528476742968902E-2</c:v>
                </c:pt>
                <c:pt idx="1">
                  <c:v>8.6528476742968902E-2</c:v>
                </c:pt>
              </c:numCache>
            </c:numRef>
          </c:yVal>
          <c:smooth val="1"/>
        </c:ser>
        <c:ser>
          <c:idx val="4"/>
          <c:order val="4"/>
          <c:tx>
            <c:v>#5 G+1</c:v>
          </c:tx>
          <c:marker>
            <c:symbol val="none"/>
          </c:marker>
          <c:xVal>
            <c:numRef>
              <c:f>Stufengrün!$M$87:$M$88</c:f>
              <c:numCache>
                <c:formatCode>0.000</c:formatCode>
                <c:ptCount val="2"/>
                <c:pt idx="0">
                  <c:v>0.22653102238502199</c:v>
                </c:pt>
                <c:pt idx="1">
                  <c:v>0.77679246641748789</c:v>
                </c:pt>
              </c:numCache>
            </c:numRef>
          </c:xVal>
          <c:yVal>
            <c:numRef>
              <c:f>Stufengrün!$Q$87:$Q$88</c:f>
              <c:numCache>
                <c:formatCode>General</c:formatCode>
                <c:ptCount val="2"/>
                <c:pt idx="0">
                  <c:v>8.6528476742968902E-2</c:v>
                </c:pt>
                <c:pt idx="1">
                  <c:v>0.16634475620867253</c:v>
                </c:pt>
              </c:numCache>
            </c:numRef>
          </c:yVal>
          <c:smooth val="1"/>
        </c:ser>
        <c:ser>
          <c:idx val="5"/>
          <c:order val="5"/>
          <c:tx>
            <c:v>#5 G+2</c:v>
          </c:tx>
          <c:marker>
            <c:symbol val="none"/>
          </c:marker>
          <c:xVal>
            <c:numRef>
              <c:f>Stufengrün!$M$88:$M$89</c:f>
              <c:numCache>
                <c:formatCode>General</c:formatCode>
                <c:ptCount val="2"/>
                <c:pt idx="0" formatCode="0.000">
                  <c:v>0.77679246641748789</c:v>
                </c:pt>
                <c:pt idx="1">
                  <c:v>2</c:v>
                </c:pt>
              </c:numCache>
            </c:numRef>
          </c:xVal>
          <c:yVal>
            <c:numRef>
              <c:f>Stufengrün!$R$88:$R$89</c:f>
              <c:numCache>
                <c:formatCode>General</c:formatCode>
                <c:ptCount val="2"/>
                <c:pt idx="0">
                  <c:v>0.16634475620867253</c:v>
                </c:pt>
                <c:pt idx="1">
                  <c:v>0.17897261731549866</c:v>
                </c:pt>
              </c:numCache>
            </c:numRef>
          </c:yVal>
          <c:smooth val="1"/>
        </c:ser>
        <c:axId val="158791552"/>
        <c:axId val="158793088"/>
      </c:scatterChart>
      <c:valAx>
        <c:axId val="158791552"/>
        <c:scaling>
          <c:orientation val="minMax"/>
        </c:scaling>
        <c:axPos val="b"/>
        <c:minorGridlines/>
        <c:numFmt formatCode="General" sourceLinked="1"/>
        <c:tickLblPos val="nextTo"/>
        <c:crossAx val="158793088"/>
        <c:crosses val="autoZero"/>
        <c:crossBetween val="midCat"/>
      </c:valAx>
      <c:valAx>
        <c:axId val="158793088"/>
        <c:scaling>
          <c:orientation val="minMax"/>
        </c:scaling>
        <c:axPos val="l"/>
        <c:majorGridlines/>
        <c:numFmt formatCode="General" sourceLinked="1"/>
        <c:tickLblPos val="nextTo"/>
        <c:crossAx val="15879155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/>
            </a:pPr>
            <a:r>
              <a:rPr lang="en-US"/>
              <a:t>X-Achse</a:t>
            </a:r>
          </a:p>
        </c:rich>
      </c:tx>
      <c:layout>
        <c:manualLayout>
          <c:xMode val="edge"/>
          <c:yMode val="edge"/>
          <c:x val="5.296482412060341E-2"/>
          <c:y val="4.0506329113924072E-2"/>
        </c:manualLayout>
      </c:layout>
      <c:overlay val="1"/>
    </c:title>
    <c:plotArea>
      <c:layout/>
      <c:scatterChart>
        <c:scatterStyle val="smoothMarker"/>
        <c:ser>
          <c:idx val="0"/>
          <c:order val="0"/>
          <c:tx>
            <c:strRef>
              <c:f>'Alpha-Down'!$Y$10</c:f>
              <c:strCache>
                <c:ptCount val="1"/>
                <c:pt idx="0">
                  <c:v>0,01</c:v>
                </c:pt>
              </c:strCache>
            </c:strRef>
          </c:tx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'Alpha-Down'!$Y$11:$Y$35</c:f>
              <c:numCache>
                <c:formatCode>General</c:formatCode>
                <c:ptCount val="25"/>
                <c:pt idx="0">
                  <c:v>167158.94311789706</c:v>
                </c:pt>
                <c:pt idx="1">
                  <c:v>56169.19644475932</c:v>
                </c:pt>
                <c:pt idx="2">
                  <c:v>18861.760681467233</c:v>
                </c:pt>
                <c:pt idx="3">
                  <c:v>6286.1854709916834</c:v>
                </c:pt>
                <c:pt idx="4">
                  <c:v>2064.4451761733771</c:v>
                </c:pt>
                <c:pt idx="5">
                  <c:v>663.11142570090408</c:v>
                </c:pt>
                <c:pt idx="6">
                  <c:v>206.79593124475201</c:v>
                </c:pt>
                <c:pt idx="7">
                  <c:v>62.30353260973277</c:v>
                </c:pt>
                <c:pt idx="8">
                  <c:v>18.259871759774697</c:v>
                </c:pt>
                <c:pt idx="9">
                  <c:v>5.4905909631728163</c:v>
                </c:pt>
                <c:pt idx="10">
                  <c:v>2.0205701599840062</c:v>
                </c:pt>
                <c:pt idx="11">
                  <c:v>1.1528353937025981</c:v>
                </c:pt>
                <c:pt idx="12">
                  <c:v>0.95786283635374248</c:v>
                </c:pt>
                <c:pt idx="13">
                  <c:v>0.91973791633285562</c:v>
                </c:pt>
                <c:pt idx="14">
                  <c:v>0.91353271477463327</c:v>
                </c:pt>
                <c:pt idx="15">
                  <c:v>0.91274491155363768</c:v>
                </c:pt>
                <c:pt idx="16">
                  <c:v>0.91267433263759479</c:v>
                </c:pt>
                <c:pt idx="17">
                  <c:v>0.91267055554642673</c:v>
                </c:pt>
                <c:pt idx="18">
                  <c:v>0.91267046681676733</c:v>
                </c:pt>
                <c:pt idx="19">
                  <c:v>0.91267046635194937</c:v>
                </c:pt>
                <c:pt idx="20">
                  <c:v>0.91267046635188409</c:v>
                </c:pt>
                <c:pt idx="21">
                  <c:v>0.91267046635188409</c:v>
                </c:pt>
                <c:pt idx="22">
                  <c:v>0.91267046635188409</c:v>
                </c:pt>
                <c:pt idx="23">
                  <c:v>0.91267046635188409</c:v>
                </c:pt>
                <c:pt idx="24">
                  <c:v>0.91267046635188409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'Alpha-Down'!$AA$10</c:f>
              <c:strCache>
                <c:ptCount val="1"/>
                <c:pt idx="0">
                  <c:v>0,02</c:v>
                </c:pt>
              </c:strCache>
            </c:strRef>
          </c:tx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'Alpha-Down'!$AA$11:$AA$35</c:f>
              <c:numCache>
                <c:formatCode>General</c:formatCode>
                <c:ptCount val="25"/>
                <c:pt idx="0">
                  <c:v>355.67363472148463</c:v>
                </c:pt>
                <c:pt idx="1">
                  <c:v>208.58326414042949</c:v>
                </c:pt>
                <c:pt idx="2">
                  <c:v>122.70089926978467</c:v>
                </c:pt>
                <c:pt idx="3">
                  <c:v>72.261551801505689</c:v>
                </c:pt>
                <c:pt idx="4">
                  <c:v>42.513347903323378</c:v>
                </c:pt>
                <c:pt idx="5">
                  <c:v>24.954493032870705</c:v>
                </c:pt>
                <c:pt idx="6">
                  <c:v>14.619778012761881</c:v>
                </c:pt>
                <c:pt idx="7">
                  <c:v>8.5784427639578524</c:v>
                </c:pt>
                <c:pt idx="8">
                  <c:v>5.0868099471207486</c:v>
                </c:pt>
                <c:pt idx="9">
                  <c:v>3.1022100645491157</c:v>
                </c:pt>
                <c:pt idx="10">
                  <c:v>2</c:v>
                </c:pt>
                <c:pt idx="11">
                  <c:v>1.406671400470739</c:v>
                </c:pt>
                <c:pt idx="12">
                  <c:v>1.1003189803187563</c:v>
                </c:pt>
                <c:pt idx="13">
                  <c:v>0.95071937015399666</c:v>
                </c:pt>
                <c:pt idx="14">
                  <c:v>0.88297937066892906</c:v>
                </c:pt>
                <c:pt idx="15">
                  <c:v>0.85535437481987708</c:v>
                </c:pt>
                <c:pt idx="16">
                  <c:v>0.84566304669062453</c:v>
                </c:pt>
                <c:pt idx="17">
                  <c:v>0.84295889054414364</c:v>
                </c:pt>
                <c:pt idx="18">
                  <c:v>0.84244267272698825</c:v>
                </c:pt>
                <c:pt idx="19">
                  <c:v>0.84239486695163057</c:v>
                </c:pt>
                <c:pt idx="20">
                  <c:v>0.84239411739816794</c:v>
                </c:pt>
                <c:pt idx="21">
                  <c:v>0.84239411739816794</c:v>
                </c:pt>
                <c:pt idx="22">
                  <c:v>0.84239411739816794</c:v>
                </c:pt>
                <c:pt idx="23">
                  <c:v>0.84239411739816794</c:v>
                </c:pt>
                <c:pt idx="24">
                  <c:v>0.84239411739816794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'Alpha-Down'!$AC$10</c:f>
              <c:strCache>
                <c:ptCount val="1"/>
                <c:pt idx="0">
                  <c:v>0,03</c:v>
                </c:pt>
              </c:strCache>
            </c:strRef>
          </c:tx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'Alpha-Down'!$AC$11:$AC$35</c:f>
              <c:numCache>
                <c:formatCode>General</c:formatCode>
                <c:ptCount val="25"/>
                <c:pt idx="0">
                  <c:v>47.356204559750871</c:v>
                </c:pt>
                <c:pt idx="1">
                  <c:v>33.707397829315298</c:v>
                </c:pt>
                <c:pt idx="2">
                  <c:v>24.12898419898271</c:v>
                </c:pt>
                <c:pt idx="3">
                  <c:v>17.355549185603465</c:v>
                </c:pt>
                <c:pt idx="4">
                  <c:v>12.531779247304776</c:v>
                </c:pt>
                <c:pt idx="5">
                  <c:v>9.0794800381001295</c:v>
                </c:pt>
                <c:pt idx="6">
                  <c:v>6.6019354672730142</c:v>
                </c:pt>
                <c:pt idx="7">
                  <c:v>4.8232385498505046</c:v>
                </c:pt>
                <c:pt idx="8">
                  <c:v>3.5491168493338687</c:v>
                </c:pt>
                <c:pt idx="9">
                  <c:v>2.6412217815492225</c:v>
                </c:pt>
                <c:pt idx="10">
                  <c:v>2</c:v>
                </c:pt>
                <c:pt idx="11">
                  <c:v>1.5531242950411948</c:v>
                </c:pt>
                <c:pt idx="12">
                  <c:v>1.2475806853454201</c:v>
                </c:pt>
                <c:pt idx="13">
                  <c:v>1.044194477222975</c:v>
                </c:pt>
                <c:pt idx="14">
                  <c:v>0.91380590863862787</c:v>
                </c:pt>
                <c:pt idx="15">
                  <c:v>0.83457729962896199</c:v>
                </c:pt>
                <c:pt idx="16">
                  <c:v>0.79008877533838673</c:v>
                </c:pt>
                <c:pt idx="17">
                  <c:v>0.76799536426818626</c:v>
                </c:pt>
                <c:pt idx="18">
                  <c:v>0.75909815026754668</c:v>
                </c:pt>
                <c:pt idx="19">
                  <c:v>0.75674430108526658</c:v>
                </c:pt>
                <c:pt idx="20">
                  <c:v>0.75656156582775136</c:v>
                </c:pt>
                <c:pt idx="21">
                  <c:v>0.75654477637275064</c:v>
                </c:pt>
                <c:pt idx="22">
                  <c:v>0.75654477637223971</c:v>
                </c:pt>
                <c:pt idx="23">
                  <c:v>0.75654477637202855</c:v>
                </c:pt>
                <c:pt idx="24">
                  <c:v>0.75654477637197171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'Alpha-Down'!$AE$10</c:f>
              <c:strCache>
                <c:ptCount val="1"/>
                <c:pt idx="0">
                  <c:v>0,04</c:v>
                </c:pt>
              </c:strCache>
            </c:strRef>
          </c:tx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'Alpha-Down'!$AE$11:$AE$35</c:f>
              <c:numCache>
                <c:formatCode>General</c:formatCode>
                <c:ptCount val="25"/>
                <c:pt idx="0">
                  <c:v>17.966439483374238</c:v>
                </c:pt>
                <c:pt idx="1">
                  <c:v>14.143863755078739</c:v>
                </c:pt>
                <c:pt idx="2">
                  <c:v>11.202766223955805</c:v>
                </c:pt>
                <c:pt idx="3">
                  <c:v>8.9204835073189805</c:v>
                </c:pt>
                <c:pt idx="4">
                  <c:v>7.1343393225019058</c:v>
                </c:pt>
                <c:pt idx="5">
                  <c:v>5.7266218751720279</c:v>
                </c:pt>
                <c:pt idx="6">
                  <c:v>4.6109743162474368</c:v>
                </c:pt>
                <c:pt idx="7">
                  <c:v>3.7232358619889041</c:v>
                </c:pt>
                <c:pt idx="8">
                  <c:v>3.0151762842022052</c:v>
                </c:pt>
                <c:pt idx="9">
                  <c:v>2.4501440264179952</c:v>
                </c:pt>
                <c:pt idx="10">
                  <c:v>2</c:v>
                </c:pt>
                <c:pt idx="11">
                  <c:v>1.6429275174629951</c:v>
                </c:pt>
                <c:pt idx="12">
                  <c:v>1.3618467488215371</c:v>
                </c:pt>
                <c:pt idx="13">
                  <c:v>1.1432504732384134</c:v>
                </c:pt>
                <c:pt idx="14">
                  <c:v>0.97633510699795889</c:v>
                </c:pt>
                <c:pt idx="15">
                  <c:v>0.85233796125138261</c:v>
                </c:pt>
                <c:pt idx="16">
                  <c:v>0.76401464944618303</c:v>
                </c:pt>
                <c:pt idx="17">
                  <c:v>0.70520196997452533</c:v>
                </c:pt>
                <c:pt idx="18">
                  <c:v>0.67040810575935872</c:v>
                </c:pt>
                <c:pt idx="19">
                  <c:v>0.65432943630716189</c:v>
                </c:pt>
                <c:pt idx="20">
                  <c:v>0.65153317151618384</c:v>
                </c:pt>
                <c:pt idx="21">
                  <c:v>0.6508982426457941</c:v>
                </c:pt>
                <c:pt idx="22">
                  <c:v>0.65089823936484259</c:v>
                </c:pt>
                <c:pt idx="23">
                  <c:v>0.65089823737811958</c:v>
                </c:pt>
                <c:pt idx="24">
                  <c:v>0.65089823644571188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'Alpha-Down'!$AG$10</c:f>
              <c:strCache>
                <c:ptCount val="1"/>
                <c:pt idx="0">
                  <c:v>0,05</c:v>
                </c:pt>
              </c:strCache>
            </c:strRef>
          </c:tx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'Alpha-Down'!$AG$11:$AG$35</c:f>
              <c:numCache>
                <c:formatCode>General</c:formatCode>
                <c:ptCount val="25"/>
                <c:pt idx="0">
                  <c:v>10.356716278111412</c:v>
                </c:pt>
                <c:pt idx="1">
                  <c:v>8.6628549920946405</c:v>
                </c:pt>
                <c:pt idx="2">
                  <c:v>7.2856061253646738</c:v>
                </c:pt>
                <c:pt idx="3">
                  <c:v>6.1555775888172937</c:v>
                </c:pt>
                <c:pt idx="4">
                  <c:v>5.2196752296322355</c:v>
                </c:pt>
                <c:pt idx="5">
                  <c:v>4.4381000755300679</c:v>
                </c:pt>
                <c:pt idx="6">
                  <c:v>3.7806551446243262</c:v>
                </c:pt>
                <c:pt idx="7">
                  <c:v>3.2241799926093071</c:v>
                </c:pt>
                <c:pt idx="8">
                  <c:v>2.7507423133867839</c:v>
                </c:pt>
                <c:pt idx="9">
                  <c:v>2.3463463727369804</c:v>
                </c:pt>
                <c:pt idx="10">
                  <c:v>2</c:v>
                </c:pt>
                <c:pt idx="11">
                  <c:v>1.703034344431184</c:v>
                </c:pt>
                <c:pt idx="12">
                  <c:v>1.4486048913887319</c:v>
                </c:pt>
                <c:pt idx="13">
                  <c:v>1.2313251739014865</c:v>
                </c:pt>
                <c:pt idx="14">
                  <c:v>1.047000539180182</c:v>
                </c:pt>
                <c:pt idx="15">
                  <c:v>0.89244125850647982</c:v>
                </c:pt>
                <c:pt idx="16">
                  <c:v>0.7653449639314327</c:v>
                </c:pt>
                <c:pt idx="17">
                  <c:v>0.66425224497245838</c:v>
                </c:pt>
                <c:pt idx="18">
                  <c:v>0.58860911522977521</c:v>
                </c:pt>
                <c:pt idx="19">
                  <c:v>0.53907891864896795</c:v>
                </c:pt>
                <c:pt idx="20">
                  <c:v>0.52511622419896864</c:v>
                </c:pt>
                <c:pt idx="21">
                  <c:v>0.51921996521924974</c:v>
                </c:pt>
                <c:pt idx="22">
                  <c:v>0.51921936082594478</c:v>
                </c:pt>
                <c:pt idx="23">
                  <c:v>0.51921889894791717</c:v>
                </c:pt>
                <c:pt idx="24">
                  <c:v>0.51921859224617495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'Alpha-Down'!$AI$10</c:f>
              <c:strCache>
                <c:ptCount val="1"/>
                <c:pt idx="0">
                  <c:v>0,06</c:v>
                </c:pt>
              </c:strCache>
            </c:strRef>
          </c:tx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'Alpha-Down'!$AI$11:$AI$35</c:f>
              <c:numCache>
                <c:formatCode>General</c:formatCode>
                <c:ptCount val="25"/>
                <c:pt idx="0">
                  <c:v>7.3251449881892841</c:v>
                </c:pt>
                <c:pt idx="1">
                  <c:v>6.3728116984895697</c:v>
                </c:pt>
                <c:pt idx="2">
                  <c:v>5.5703915088427518</c:v>
                </c:pt>
                <c:pt idx="3">
                  <c:v>4.8869394728756381</c:v>
                </c:pt>
                <c:pt idx="4">
                  <c:v>4.2990158891196266</c:v>
                </c:pt>
                <c:pt idx="5">
                  <c:v>3.7886400830073823</c:v>
                </c:pt>
                <c:pt idx="6">
                  <c:v>3.3418616694944405</c:v>
                </c:pt>
                <c:pt idx="7">
                  <c:v>2.9477479632144723</c:v>
                </c:pt>
                <c:pt idx="8">
                  <c:v>2.5976568791511268</c:v>
                </c:pt>
                <c:pt idx="9">
                  <c:v>2.2847091324278077</c:v>
                </c:pt>
                <c:pt idx="10">
                  <c:v>2.0034021371873116</c:v>
                </c:pt>
                <c:pt idx="11">
                  <c:v>1.7493268490624045</c:v>
                </c:pt>
                <c:pt idx="12">
                  <c:v>1.5189616606090626</c:v>
                </c:pt>
                <c:pt idx="13">
                  <c:v>1.3095268294587044</c:v>
                </c:pt>
                <c:pt idx="14">
                  <c:v>1.1188907467383906</c:v>
                </c:pt>
                <c:pt idx="15">
                  <c:v>0.94552788073757155</c:v>
                </c:pt>
                <c:pt idx="16">
                  <c:v>0.78854173698436791</c:v>
                </c:pt>
                <c:pt idx="17">
                  <c:v>0.64779685948201826</c:v>
                </c:pt>
                <c:pt idx="18">
                  <c:v>0.52429911704101495</c:v>
                </c:pt>
                <c:pt idx="19">
                  <c:v>0.42139491130373297</c:v>
                </c:pt>
                <c:pt idx="20">
                  <c:v>0.37937542541117764</c:v>
                </c:pt>
                <c:pt idx="21">
                  <c:v>0.35207817428428334</c:v>
                </c:pt>
                <c:pt idx="22">
                  <c:v>0.35205919304802236</c:v>
                </c:pt>
                <c:pt idx="23">
                  <c:v>0.35204222210680158</c:v>
                </c:pt>
                <c:pt idx="24">
                  <c:v>0.35202792675191263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'Alpha-Down'!$AK$10</c:f>
              <c:strCache>
                <c:ptCount val="1"/>
                <c:pt idx="0">
                  <c:v>0,08</c:v>
                </c:pt>
              </c:strCache>
            </c:strRef>
          </c:tx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'Alpha-Down'!$AK$11:$AK$35</c:f>
              <c:numCache>
                <c:formatCode>General</c:formatCode>
                <c:ptCount val="25"/>
                <c:pt idx="0">
                  <c:v>4.9052541807990604</c:v>
                </c:pt>
                <c:pt idx="1">
                  <c:v>4.4686997165911162</c:v>
                </c:pt>
                <c:pt idx="2">
                  <c:v>4.0830686660886695</c:v>
                </c:pt>
                <c:pt idx="3">
                  <c:v>3.7390326243252727</c:v>
                </c:pt>
                <c:pt idx="4">
                  <c:v>3.4288131916595672</c:v>
                </c:pt>
                <c:pt idx="5">
                  <c:v>3.1462225154357593</c:v>
                </c:pt>
                <c:pt idx="6">
                  <c:v>2.8862641859081326</c:v>
                </c:pt>
                <c:pt idx="7">
                  <c:v>2.6448402443181354</c:v>
                </c:pt>
                <c:pt idx="8">
                  <c:v>2.4185316009253039</c:v>
                </c:pt>
                <c:pt idx="9">
                  <c:v>2.204429251912579</c:v>
                </c:pt>
                <c:pt idx="10">
                  <c:v>2</c:v>
                </c:pt>
                <c:pt idx="11">
                  <c:v>1.8029740754169206</c:v>
                </c:pt>
                <c:pt idx="12">
                  <c:v>1.6112435982394226</c:v>
                </c:pt>
                <c:pt idx="13">
                  <c:v>1.4227600031080048</c:v>
                </c:pt>
                <c:pt idx="14">
                  <c:v>1.2354139745231238</c:v>
                </c:pt>
                <c:pt idx="15">
                  <c:v>1.0468688537967972</c:v>
                </c:pt>
                <c:pt idx="16">
                  <c:v>0.85428476114660712</c:v>
                </c:pt>
                <c:pt idx="17">
                  <c:v>0.65376932594704829</c:v>
                </c:pt>
                <c:pt idx="18">
                  <c:v>0.4390118757100272</c:v>
                </c:pt>
                <c:pt idx="19">
                  <c:v>0.19645127583224675</c:v>
                </c:pt>
                <c:pt idx="20">
                  <c:v>5.5519709271541151E-2</c:v>
                </c:pt>
                <c:pt idx="21">
                  <c:v>-0.15255484356423921</c:v>
                </c:pt>
                <c:pt idx="22">
                  <c:v>-0.15389087869932805</c:v>
                </c:pt>
                <c:pt idx="23">
                  <c:v>-0.15534753226705611</c:v>
                </c:pt>
                <c:pt idx="24">
                  <c:v>-0.15701237932226109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'Alpha-Down'!$AM$10</c:f>
              <c:strCache>
                <c:ptCount val="1"/>
                <c:pt idx="0">
                  <c:v>0,1</c:v>
                </c:pt>
              </c:strCache>
            </c:strRef>
          </c:tx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'Alpha-Down'!$AM$11:$AM$35</c:f>
              <c:numCache>
                <c:formatCode>General</c:formatCode>
                <c:ptCount val="25"/>
                <c:pt idx="0">
                  <c:v>3.9400392182363291</c:v>
                </c:pt>
                <c:pt idx="1">
                  <c:v>3.6800599213658334</c:v>
                </c:pt>
                <c:pt idx="2">
                  <c:v>3.4439638109233659</c:v>
                </c:pt>
                <c:pt idx="3">
                  <c:v>3.2273646935574289</c:v>
                </c:pt>
                <c:pt idx="4">
                  <c:v>3.0264330468984246</c:v>
                </c:pt>
                <c:pt idx="5">
                  <c:v>2.838007425802199</c:v>
                </c:pt>
                <c:pt idx="6">
                  <c:v>2.6594163385278127</c:v>
                </c:pt>
                <c:pt idx="7">
                  <c:v>2.4883400045259734</c:v>
                </c:pt>
                <c:pt idx="8">
                  <c:v>2.32269766016806</c:v>
                </c:pt>
                <c:pt idx="9">
                  <c:v>2.1605490836271621</c:v>
                </c:pt>
                <c:pt idx="10">
                  <c:v>1.9999999999999998</c:v>
                </c:pt>
                <c:pt idx="11">
                  <c:v>1.8390998689126057</c:v>
                </c:pt>
                <c:pt idx="12">
                  <c:v>1.6757162559918133</c:v>
                </c:pt>
                <c:pt idx="13">
                  <c:v>1.5073598153327108</c:v>
                </c:pt>
                <c:pt idx="14">
                  <c:v>1.3309108089790831</c:v>
                </c:pt>
                <c:pt idx="15">
                  <c:v>1.1421426046438894</c:v>
                </c:pt>
                <c:pt idx="16">
                  <c:v>0.93478906076796786</c:v>
                </c:pt>
                <c:pt idx="17">
                  <c:v>0.69843538576439923</c:v>
                </c:pt>
                <c:pt idx="18">
                  <c:v>0.41263256848581076</c:v>
                </c:pt>
                <c:pt idx="19">
                  <c:v>2.2969443646860155E-2</c:v>
                </c:pt>
                <c:pt idx="20">
                  <c:v>-0.26509262662319255</c:v>
                </c:pt>
                <c:pt idx="21">
                  <c:v>-1.0536781662886026</c:v>
                </c:pt>
                <c:pt idx="22">
                  <c:v>-1.0700561239599029</c:v>
                </c:pt>
                <c:pt idx="23">
                  <c:v>-1.0901946697993714</c:v>
                </c:pt>
                <c:pt idx="24">
                  <c:v>-1.1179587262976272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'Alpha-Down'!$AO$10</c:f>
              <c:strCache>
                <c:ptCount val="1"/>
                <c:pt idx="0">
                  <c:v>0,15</c:v>
                </c:pt>
              </c:strCache>
            </c:strRef>
          </c:tx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'Alpha-Down'!$AO$11:$AO$35</c:f>
              <c:numCache>
                <c:formatCode>General</c:formatCode>
                <c:ptCount val="25"/>
                <c:pt idx="0">
                  <c:v>3.0297509697308507</c:v>
                </c:pt>
                <c:pt idx="1">
                  <c:v>2.9127664322057676</c:v>
                </c:pt>
                <c:pt idx="2">
                  <c:v>2.8025265718392021</c:v>
                </c:pt>
                <c:pt idx="3">
                  <c:v>2.6975417171702292</c:v>
                </c:pt>
                <c:pt idx="4">
                  <c:v>2.5963851831351779</c:v>
                </c:pt>
                <c:pt idx="5">
                  <c:v>2.4977729045792416</c:v>
                </c:pt>
                <c:pt idx="6">
                  <c:v>2.4004997236403707</c:v>
                </c:pt>
                <c:pt idx="7">
                  <c:v>2.3033799535449058</c:v>
                </c:pt>
                <c:pt idx="8">
                  <c:v>2.205185684377037</c:v>
                </c:pt>
                <c:pt idx="9">
                  <c:v>2.1045751079676562</c:v>
                </c:pt>
                <c:pt idx="10">
                  <c:v>1.9999999999999998</c:v>
                </c:pt>
                <c:pt idx="11">
                  <c:v>1.889574922963982</c:v>
                </c:pt>
                <c:pt idx="12">
                  <c:v>1.7708772731240596</c:v>
                </c:pt>
                <c:pt idx="13">
                  <c:v>1.6406187668575836</c:v>
                </c:pt>
                <c:pt idx="14">
                  <c:v>1.494064067365573</c:v>
                </c:pt>
                <c:pt idx="15">
                  <c:v>1.3239097617276328</c:v>
                </c:pt>
                <c:pt idx="16">
                  <c:v>1.1178741401416339</c:v>
                </c:pt>
                <c:pt idx="17">
                  <c:v>0.85267247294139592</c:v>
                </c:pt>
                <c:pt idx="18">
                  <c:v>0.47502774983264229</c:v>
                </c:pt>
                <c:pt idx="19">
                  <c:v>-0.19047680286017998</c:v>
                </c:pt>
                <c:pt idx="20">
                  <c:v>-0.86900318163812873</c:v>
                </c:pt>
                <c:pt idx="21">
                  <c:v>-6.5134298494817688</c:v>
                </c:pt>
                <c:pt idx="22">
                  <c:v>-6.9336401020472405</c:v>
                </c:pt>
                <c:pt idx="23">
                  <c:v>-7.5412220525644518</c:v>
                </c:pt>
                <c:pt idx="24">
                  <c:v>-8.6228660666764956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'Alpha-Down'!$AQ$10</c:f>
              <c:strCache>
                <c:ptCount val="1"/>
                <c:pt idx="0">
                  <c:v>0,2</c:v>
                </c:pt>
              </c:strCache>
            </c:strRef>
          </c:tx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'Alpha-Down'!$AQ$11:$AQ$35</c:f>
              <c:numCache>
                <c:formatCode>General</c:formatCode>
                <c:ptCount val="25"/>
                <c:pt idx="0">
                  <c:v>2.6937665630305849</c:v>
                </c:pt>
                <c:pt idx="1">
                  <c:v>2.6216168956434207</c:v>
                </c:pt>
                <c:pt idx="2">
                  <c:v>2.5523516808659146</c:v>
                </c:pt>
                <c:pt idx="3">
                  <c:v>2.4851384997167063</c:v>
                </c:pt>
                <c:pt idx="4">
                  <c:v>2.4191297269620358</c:v>
                </c:pt>
                <c:pt idx="5">
                  <c:v>2.353514479207401</c:v>
                </c:pt>
                <c:pt idx="6">
                  <c:v>2.2874781378831615</c:v>
                </c:pt>
                <c:pt idx="7">
                  <c:v>2.2201592789472584</c:v>
                </c:pt>
                <c:pt idx="8">
                  <c:v>2.1505986608650094</c:v>
                </c:pt>
                <c:pt idx="9">
                  <c:v>2.0776727622816642</c:v>
                </c:pt>
                <c:pt idx="10">
                  <c:v>1.9999999999999998</c:v>
                </c:pt>
                <c:pt idx="11">
                  <c:v>1.9157991662866851</c:v>
                </c:pt>
                <c:pt idx="12">
                  <c:v>1.8226621773503027</c:v>
                </c:pt>
                <c:pt idx="13">
                  <c:v>1.7171657053878073</c:v>
                </c:pt>
                <c:pt idx="14">
                  <c:v>1.5941590169509303</c:v>
                </c:pt>
                <c:pt idx="15">
                  <c:v>1.4453407281211137</c:v>
                </c:pt>
                <c:pt idx="16">
                  <c:v>1.2560758785202109</c:v>
                </c:pt>
                <c:pt idx="17">
                  <c:v>0.9970596523341253</c:v>
                </c:pt>
                <c:pt idx="18">
                  <c:v>0.59641509852494212</c:v>
                </c:pt>
                <c:pt idx="19">
                  <c:v>-0.20855276125404476</c:v>
                </c:pt>
                <c:pt idx="20">
                  <c:v>-1.1729888453174957</c:v>
                </c:pt>
                <c:pt idx="21">
                  <c:v>-17.311615302163073</c:v>
                </c:pt>
                <c:pt idx="22">
                  <c:v>-19.28958530857426</c:v>
                </c:pt>
                <c:pt idx="23">
                  <c:v>-22.393893310319353</c:v>
                </c:pt>
                <c:pt idx="24">
                  <c:v>-28.6916306005905</c:v>
                </c:pt>
              </c:numCache>
            </c:numRef>
          </c:yVal>
          <c:smooth val="1"/>
        </c:ser>
        <c:axId val="156517120"/>
        <c:axId val="156518656"/>
      </c:scatterChart>
      <c:valAx>
        <c:axId val="156517120"/>
        <c:scaling>
          <c:orientation val="minMax"/>
          <c:max val="1.6"/>
          <c:min val="0"/>
        </c:scaling>
        <c:axPos val="b"/>
        <c:majorGridlines/>
        <c:numFmt formatCode="General" sourceLinked="1"/>
        <c:tickLblPos val="nextTo"/>
        <c:crossAx val="156518656"/>
        <c:crosses val="autoZero"/>
        <c:crossBetween val="midCat"/>
      </c:valAx>
      <c:valAx>
        <c:axId val="156518656"/>
        <c:scaling>
          <c:orientation val="minMax"/>
          <c:max val="5"/>
          <c:min val="-5"/>
        </c:scaling>
        <c:axPos val="l"/>
        <c:majorGridlines/>
        <c:numFmt formatCode="General" sourceLinked="1"/>
        <c:tickLblPos val="nextTo"/>
        <c:crossAx val="15651712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/>
            </a:pPr>
            <a:r>
              <a:rPr lang="de-DE"/>
              <a:t>Y-Achse</a:t>
            </a:r>
          </a:p>
        </c:rich>
      </c:tx>
      <c:layout>
        <c:manualLayout>
          <c:xMode val="edge"/>
          <c:yMode val="edge"/>
          <c:x val="4.8412930795710934E-2"/>
          <c:y val="4.5307443365695803E-2"/>
        </c:manualLayout>
      </c:layout>
      <c:overlay val="1"/>
    </c:title>
    <c:plotArea>
      <c:layout/>
      <c:scatterChart>
        <c:scatterStyle val="smoothMarker"/>
        <c:ser>
          <c:idx val="0"/>
          <c:order val="0"/>
          <c:tx>
            <c:strRef>
              <c:f>'Alpha-Down'!$Z$10</c:f>
              <c:strCache>
                <c:ptCount val="1"/>
                <c:pt idx="0">
                  <c:v>0,01</c:v>
                </c:pt>
              </c:strCache>
            </c:strRef>
          </c:tx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'Alpha-Down'!$Z$11:$Z$35</c:f>
              <c:numCache>
                <c:formatCode>General</c:formatCode>
                <c:ptCount val="25"/>
                <c:pt idx="0">
                  <c:v>12127.626033917761</c:v>
                </c:pt>
                <c:pt idx="1">
                  <c:v>8549.3302144834925</c:v>
                </c:pt>
                <c:pt idx="2">
                  <c:v>4400.8294812595177</c:v>
                </c:pt>
                <c:pt idx="3">
                  <c:v>1992.5239901770581</c:v>
                </c:pt>
                <c:pt idx="4">
                  <c:v>834.81420932757237</c:v>
                </c:pt>
                <c:pt idx="5">
                  <c:v>329.5797634712755</c:v>
                </c:pt>
                <c:pt idx="6">
                  <c:v>123.40591522952337</c:v>
                </c:pt>
                <c:pt idx="7">
                  <c:v>43.971274267533389</c:v>
                </c:pt>
                <c:pt idx="8">
                  <c:v>15.060484225032848</c:v>
                </c:pt>
                <c:pt idx="9">
                  <c:v>5.1703611875418281</c:v>
                </c:pt>
                <c:pt idx="10">
                  <c:v>2.0205495425930402</c:v>
                </c:pt>
                <c:pt idx="11">
                  <c:v>1.0998565305389096</c:v>
                </c:pt>
                <c:pt idx="12">
                  <c:v>0.85776607970614016</c:v>
                </c:pt>
                <c:pt idx="13">
                  <c:v>0.80208880392512594</c:v>
                </c:pt>
                <c:pt idx="14">
                  <c:v>0.79132858480487411</c:v>
                </c:pt>
                <c:pt idx="15">
                  <c:v>0.78968157893495161</c:v>
                </c:pt>
                <c:pt idx="16">
                  <c:v>0.78949948902608358</c:v>
                </c:pt>
                <c:pt idx="17">
                  <c:v>0.78948702381209501</c:v>
                </c:pt>
                <c:pt idx="18">
                  <c:v>0.78948662669948089</c:v>
                </c:pt>
                <c:pt idx="19">
                  <c:v>0.78948662355454746</c:v>
                </c:pt>
                <c:pt idx="20">
                  <c:v>0.7894866235536715</c:v>
                </c:pt>
                <c:pt idx="21">
                  <c:v>0.7894866235536715</c:v>
                </c:pt>
                <c:pt idx="22">
                  <c:v>0.7894866235536715</c:v>
                </c:pt>
                <c:pt idx="23">
                  <c:v>0.7894866235536715</c:v>
                </c:pt>
                <c:pt idx="24">
                  <c:v>0.7894866235536715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'Alpha-Down'!$AB$10</c:f>
              <c:strCache>
                <c:ptCount val="1"/>
                <c:pt idx="0">
                  <c:v>0,02</c:v>
                </c:pt>
              </c:strCache>
            </c:strRef>
          </c:tx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'Alpha-Down'!$AB$11:$AB$35</c:f>
              <c:numCache>
                <c:formatCode>General</c:formatCode>
                <c:ptCount val="25"/>
                <c:pt idx="0">
                  <c:v>54.653382288976864</c:v>
                </c:pt>
                <c:pt idx="1">
                  <c:v>49.384824098388535</c:v>
                </c:pt>
                <c:pt idx="2">
                  <c:v>39.518303969371388</c:v>
                </c:pt>
                <c:pt idx="3">
                  <c:v>29.660775870074662</c:v>
                </c:pt>
                <c:pt idx="4">
                  <c:v>21.376503818252125</c:v>
                </c:pt>
                <c:pt idx="5">
                  <c:v>14.963530742562149</c:v>
                </c:pt>
                <c:pt idx="6">
                  <c:v>10.239683410063543</c:v>
                </c:pt>
                <c:pt idx="7">
                  <c:v>6.8820964311747836</c:v>
                </c:pt>
                <c:pt idx="8">
                  <c:v>4.5656068275981507</c:v>
                </c:pt>
                <c:pt idx="9">
                  <c:v>3.011828622659511</c:v>
                </c:pt>
                <c:pt idx="10">
                  <c:v>2</c:v>
                </c:pt>
                <c:pt idx="11">
                  <c:v>1.3627738080486003</c:v>
                </c:pt>
                <c:pt idx="12">
                  <c:v>0.9772146159553603</c:v>
                </c:pt>
                <c:pt idx="13">
                  <c:v>0.75531522183411437</c:v>
                </c:pt>
                <c:pt idx="14">
                  <c:v>0.63564149325497055</c:v>
                </c:pt>
                <c:pt idx="15">
                  <c:v>0.57652578392598586</c:v>
                </c:pt>
                <c:pt idx="16">
                  <c:v>0.55074183536031929</c:v>
                </c:pt>
                <c:pt idx="17">
                  <c:v>0.54142391642240195</c:v>
                </c:pt>
                <c:pt idx="18">
                  <c:v>0.53895932146784942</c:v>
                </c:pt>
                <c:pt idx="19">
                  <c:v>0.53860229064188569</c:v>
                </c:pt>
                <c:pt idx="20">
                  <c:v>0.53859085709219046</c:v>
                </c:pt>
                <c:pt idx="21">
                  <c:v>0.53859085709219046</c:v>
                </c:pt>
                <c:pt idx="22">
                  <c:v>0.53859085709219046</c:v>
                </c:pt>
                <c:pt idx="23">
                  <c:v>0.53859085709219046</c:v>
                </c:pt>
                <c:pt idx="24">
                  <c:v>0.53859085709219046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'Alpha-Down'!$AD$10</c:f>
              <c:strCache>
                <c:ptCount val="1"/>
                <c:pt idx="0">
                  <c:v>0,03</c:v>
                </c:pt>
              </c:strCache>
            </c:strRef>
          </c:tx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'Alpha-Down'!$AD$11:$AD$35</c:f>
              <c:numCache>
                <c:formatCode>General</c:formatCode>
                <c:ptCount val="25"/>
                <c:pt idx="0">
                  <c:v>11.844613109799969</c:v>
                </c:pt>
                <c:pt idx="1">
                  <c:v>11.339519607636577</c:v>
                </c:pt>
                <c:pt idx="2">
                  <c:v>10.227490429749681</c:v>
                </c:pt>
                <c:pt idx="3">
                  <c:v>8.895204987652928</c:v>
                </c:pt>
                <c:pt idx="4">
                  <c:v>7.5454546798441804</c:v>
                </c:pt>
                <c:pt idx="5">
                  <c:v>6.2796152869259458</c:v>
                </c:pt>
                <c:pt idx="6">
                  <c:v>5.1432383497096996</c:v>
                </c:pt>
                <c:pt idx="7">
                  <c:v>4.1515159240586819</c:v>
                </c:pt>
                <c:pt idx="8">
                  <c:v>3.3035842196385268</c:v>
                </c:pt>
                <c:pt idx="9">
                  <c:v>2.5905568288758287</c:v>
                </c:pt>
                <c:pt idx="10">
                  <c:v>1.9999999999999998</c:v>
                </c:pt>
                <c:pt idx="11">
                  <c:v>1.5183754546789454</c:v>
                </c:pt>
                <c:pt idx="12">
                  <c:v>1.132318287790677</c:v>
                </c:pt>
                <c:pt idx="13">
                  <c:v>0.82924706477831456</c:v>
                </c:pt>
                <c:pt idx="14">
                  <c:v>0.59759158536811685</c:v>
                </c:pt>
                <c:pt idx="15">
                  <c:v>0.42680077675444039</c:v>
                </c:pt>
                <c:pt idx="16">
                  <c:v>0.30721951787359547</c:v>
                </c:pt>
                <c:pt idx="17">
                  <c:v>0.22987527379749517</c:v>
                </c:pt>
                <c:pt idx="18">
                  <c:v>0.18617470457204655</c:v>
                </c:pt>
                <c:pt idx="19">
                  <c:v>0.16744415637377785</c:v>
                </c:pt>
                <c:pt idx="20">
                  <c:v>0.16453284518311739</c:v>
                </c:pt>
                <c:pt idx="21">
                  <c:v>0.16395585401206314</c:v>
                </c:pt>
                <c:pt idx="22">
                  <c:v>0.16395585256919554</c:v>
                </c:pt>
                <c:pt idx="23">
                  <c:v>0.16395585174230343</c:v>
                </c:pt>
                <c:pt idx="24">
                  <c:v>0.16395585138449187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'Alpha-Down'!$AF$10</c:f>
              <c:strCache>
                <c:ptCount val="1"/>
                <c:pt idx="0">
                  <c:v>0,04</c:v>
                </c:pt>
              </c:strCache>
            </c:strRef>
          </c:tx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'Alpha-Down'!$AF$11:$AF$35</c:f>
              <c:numCache>
                <c:formatCode>General</c:formatCode>
                <c:ptCount val="25"/>
                <c:pt idx="0">
                  <c:v>6.2955332128710397</c:v>
                </c:pt>
                <c:pt idx="1">
                  <c:v>6.1517901747883919</c:v>
                </c:pt>
                <c:pt idx="2">
                  <c:v>5.8085420316250467</c:v>
                </c:pt>
                <c:pt idx="3">
                  <c:v>5.3581881953980872</c:v>
                </c:pt>
                <c:pt idx="4">
                  <c:v>4.8572059381095016</c:v>
                </c:pt>
                <c:pt idx="5">
                  <c:v>4.3400258070341327</c:v>
                </c:pt>
                <c:pt idx="6">
                  <c:v>3.8274210537921194</c:v>
                </c:pt>
                <c:pt idx="7">
                  <c:v>3.331659029235337</c:v>
                </c:pt>
                <c:pt idx="8">
                  <c:v>2.8597075747632377</c:v>
                </c:pt>
                <c:pt idx="9">
                  <c:v>2.4152553535064847</c:v>
                </c:pt>
                <c:pt idx="10">
                  <c:v>1.9999999999999998</c:v>
                </c:pt>
                <c:pt idx="11">
                  <c:v>1.6144805604321764</c:v>
                </c:pt>
                <c:pt idx="12">
                  <c:v>1.2586261201497251</c:v>
                </c:pt>
                <c:pt idx="13">
                  <c:v>0.93213066846527637</c:v>
                </c:pt>
                <c:pt idx="14">
                  <c:v>0.63472873408476471</c:v>
                </c:pt>
                <c:pt idx="15">
                  <c:v>0.36642920675120938</c:v>
                </c:pt>
                <c:pt idx="16">
                  <c:v>0.12776557066213345</c:v>
                </c:pt>
                <c:pt idx="17">
                  <c:v>-7.9847262249979956E-2</c:v>
                </c:pt>
                <c:pt idx="18">
                  <c:v>-0.25343343903706428</c:v>
                </c:pt>
                <c:pt idx="19">
                  <c:v>-0.38665729259600923</c:v>
                </c:pt>
                <c:pt idx="20">
                  <c:v>-0.43294663121082211</c:v>
                </c:pt>
                <c:pt idx="21">
                  <c:v>-0.45937936189513184</c:v>
                </c:pt>
                <c:pt idx="22">
                  <c:v>-0.459388704307782</c:v>
                </c:pt>
                <c:pt idx="23">
                  <c:v>-0.45939659851914394</c:v>
                </c:pt>
                <c:pt idx="24">
                  <c:v>-0.45940270047678178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'Alpha-Down'!$AH$10</c:f>
              <c:strCache>
                <c:ptCount val="1"/>
                <c:pt idx="0">
                  <c:v>0,05</c:v>
                </c:pt>
              </c:strCache>
            </c:strRef>
          </c:tx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'Alpha-Down'!$AH$11:$AH$35</c:f>
              <c:numCache>
                <c:formatCode>General</c:formatCode>
                <c:ptCount val="25"/>
                <c:pt idx="0">
                  <c:v>4.5668567603263677</c:v>
                </c:pt>
                <c:pt idx="1">
                  <c:v>4.5025528231150158</c:v>
                </c:pt>
                <c:pt idx="2">
                  <c:v>4.3413122284515193</c:v>
                </c:pt>
                <c:pt idx="3">
                  <c:v>4.1178977383862296</c:v>
                </c:pt>
                <c:pt idx="4">
                  <c:v>3.8550162044695355</c:v>
                </c:pt>
                <c:pt idx="5">
                  <c:v>3.5675338085331649</c:v>
                </c:pt>
                <c:pt idx="6">
                  <c:v>3.2651431628062904</c:v>
                </c:pt>
                <c:pt idx="7">
                  <c:v>2.9540756526189518</c:v>
                </c:pt>
                <c:pt idx="8">
                  <c:v>2.6382134952569691</c:v>
                </c:pt>
                <c:pt idx="9">
                  <c:v>2.3198170376314931</c:v>
                </c:pt>
                <c:pt idx="10">
                  <c:v>2</c:v>
                </c:pt>
                <c:pt idx="11">
                  <c:v>1.6790345871585168</c:v>
                </c:pt>
                <c:pt idx="12">
                  <c:v>1.3565357928175927</c:v>
                </c:pt>
                <c:pt idx="13">
                  <c:v>1.0315511722389998</c:v>
                </c:pt>
                <c:pt idx="14">
                  <c:v>0.70256206759002926</c:v>
                </c:pt>
                <c:pt idx="15">
                  <c:v>0.36737607050980459</c:v>
                </c:pt>
                <c:pt idx="16">
                  <c:v>2.2839073323079884E-2</c:v>
                </c:pt>
                <c:pt idx="17">
                  <c:v>-0.33584422296512972</c:v>
                </c:pt>
                <c:pt idx="18">
                  <c:v>-0.71689677241921634</c:v>
                </c:pt>
                <c:pt idx="19">
                  <c:v>-1.1383258119479542</c:v>
                </c:pt>
                <c:pt idx="20">
                  <c:v>-1.3753207090444244</c:v>
                </c:pt>
                <c:pt idx="21">
                  <c:v>-1.6990681978007536</c:v>
                </c:pt>
                <c:pt idx="22">
                  <c:v>-1.7007974268854333</c:v>
                </c:pt>
                <c:pt idx="23">
                  <c:v>-1.702649982427872</c:v>
                </c:pt>
                <c:pt idx="24">
                  <c:v>-1.7047105078878064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'Alpha-Down'!$AJ$10</c:f>
              <c:strCache>
                <c:ptCount val="1"/>
                <c:pt idx="0">
                  <c:v>0,06</c:v>
                </c:pt>
              </c:strCache>
            </c:strRef>
          </c:tx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'Alpha-Down'!$AJ$11:$AJ$35</c:f>
              <c:numCache>
                <c:formatCode>General</c:formatCode>
                <c:ptCount val="25"/>
                <c:pt idx="0">
                  <c:v>3.7858648198465392</c:v>
                </c:pt>
                <c:pt idx="1">
                  <c:v>3.7495785992635895</c:v>
                </c:pt>
                <c:pt idx="2">
                  <c:v>3.6555592593666182</c:v>
                </c:pt>
                <c:pt idx="3">
                  <c:v>3.5204383966774873</c:v>
                </c:pt>
                <c:pt idx="4">
                  <c:v>3.3553618907687497</c:v>
                </c:pt>
                <c:pt idx="5">
                  <c:v>3.1677449699845619</c:v>
                </c:pt>
                <c:pt idx="6">
                  <c:v>2.962404119740663</c:v>
                </c:pt>
                <c:pt idx="7">
                  <c:v>2.7422895906903255</c:v>
                </c:pt>
                <c:pt idx="8">
                  <c:v>2.5089534140931562</c:v>
                </c:pt>
                <c:pt idx="9">
                  <c:v>2.2628334870852824</c:v>
                </c:pt>
                <c:pt idx="10">
                  <c:v>2.0033987365816959</c:v>
                </c:pt>
                <c:pt idx="11">
                  <c:v>1.7291737236599554</c:v>
                </c:pt>
                <c:pt idx="12">
                  <c:v>1.4376353309778431</c:v>
                </c:pt>
                <c:pt idx="13">
                  <c:v>1.1249393616188355</c:v>
                </c:pt>
                <c:pt idx="14">
                  <c:v>0.78537149029094411</c:v>
                </c:pt>
                <c:pt idx="15">
                  <c:v>0.41027532192398808</c:v>
                </c:pt>
                <c:pt idx="16">
                  <c:v>-1.4162437727877286E-2</c:v>
                </c:pt>
                <c:pt idx="17">
                  <c:v>-0.51206255192883221</c:v>
                </c:pt>
                <c:pt idx="18">
                  <c:v>-1.132473174299764</c:v>
                </c:pt>
                <c:pt idx="19">
                  <c:v>-2.0095633066715317</c:v>
                </c:pt>
                <c:pt idx="20">
                  <c:v>-2.7249537650120708</c:v>
                </c:pt>
                <c:pt idx="21">
                  <c:v>-4.876595556588379</c:v>
                </c:pt>
                <c:pt idx="22">
                  <c:v>-4.9310771051543671</c:v>
                </c:pt>
                <c:pt idx="23">
                  <c:v>-4.9995788084366914</c:v>
                </c:pt>
                <c:pt idx="24">
                  <c:v>-5.09738035468314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'Alpha-Down'!$AL$10</c:f>
              <c:strCache>
                <c:ptCount val="1"/>
                <c:pt idx="0">
                  <c:v>0,08</c:v>
                </c:pt>
              </c:strCache>
            </c:strRef>
          </c:tx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'Alpha-Down'!$AL$11:$AL$35</c:f>
              <c:numCache>
                <c:formatCode>General</c:formatCode>
                <c:ptCount val="25"/>
                <c:pt idx="0">
                  <c:v>3.0858015100151079</c:v>
                </c:pt>
                <c:pt idx="1">
                  <c:v>3.0689929022120936</c:v>
                </c:pt>
                <c:pt idx="2">
                  <c:v>3.0236326954640393</c:v>
                </c:pt>
                <c:pt idx="3">
                  <c:v>2.9554174055971618</c:v>
                </c:pt>
                <c:pt idx="4">
                  <c:v>2.8680932478219336</c:v>
                </c:pt>
                <c:pt idx="5">
                  <c:v>2.7639646236864377</c:v>
                </c:pt>
                <c:pt idx="6">
                  <c:v>2.644209697560258</c:v>
                </c:pt>
                <c:pt idx="7">
                  <c:v>2.5090581876005196</c:v>
                </c:pt>
                <c:pt idx="8">
                  <c:v>2.3578596498975237</c:v>
                </c:pt>
                <c:pt idx="9">
                  <c:v>2.1890496458617186</c:v>
                </c:pt>
                <c:pt idx="10">
                  <c:v>2</c:v>
                </c:pt>
                <c:pt idx="11">
                  <c:v>1.7867103051436526</c:v>
                </c:pt>
                <c:pt idx="12">
                  <c:v>1.5432474157110474</c:v>
                </c:pt>
                <c:pt idx="13">
                  <c:v>1.2607376552760408</c:v>
                </c:pt>
                <c:pt idx="14">
                  <c:v>0.92548494460285302</c:v>
                </c:pt>
                <c:pt idx="15">
                  <c:v>0.51519942718641776</c:v>
                </c:pt>
                <c:pt idx="16">
                  <c:v>-9.3953422220209859E-3</c:v>
                </c:pt>
                <c:pt idx="17">
                  <c:v>-0.7263343607268089</c:v>
                </c:pt>
                <c:pt idx="18">
                  <c:v>-1.8242782551096735</c:v>
                </c:pt>
                <c:pt idx="19">
                  <c:v>-3.9761907393395735</c:v>
                </c:pt>
                <c:pt idx="20">
                  <c:v>-6.464198713267864</c:v>
                </c:pt>
                <c:pt idx="21">
                  <c:v>-41.505444228627631</c:v>
                </c:pt>
                <c:pt idx="22">
                  <c:v>-45.35570315434947</c:v>
                </c:pt>
                <c:pt idx="23">
                  <c:v>-51.282453504405375</c:v>
                </c:pt>
                <c:pt idx="24">
                  <c:v>-62.939481707987127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'Alpha-Down'!$AN$10</c:f>
              <c:strCache>
                <c:ptCount val="1"/>
                <c:pt idx="0">
                  <c:v>0,1</c:v>
                </c:pt>
              </c:strCache>
            </c:strRef>
          </c:tx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'Alpha-Down'!$AN$11:$AN$35</c:f>
              <c:numCache>
                <c:formatCode>General</c:formatCode>
                <c:ptCount val="25"/>
                <c:pt idx="0">
                  <c:v>2.7722346623300784</c:v>
                </c:pt>
                <c:pt idx="1">
                  <c:v>2.7621778137829969</c:v>
                </c:pt>
                <c:pt idx="2">
                  <c:v>2.7343632943342384</c:v>
                </c:pt>
                <c:pt idx="3">
                  <c:v>2.6913747055003925</c:v>
                </c:pt>
                <c:pt idx="4">
                  <c:v>2.6347734667786629</c:v>
                </c:pt>
                <c:pt idx="5">
                  <c:v>2.5653014702632753</c:v>
                </c:pt>
                <c:pt idx="6">
                  <c:v>2.4829869233889683</c:v>
                </c:pt>
                <c:pt idx="7">
                  <c:v>2.3871701947346309</c:v>
                </c:pt>
                <c:pt idx="8">
                  <c:v>2.2764512355066038</c:v>
                </c:pt>
                <c:pt idx="9">
                  <c:v>2.1485439456937154</c:v>
                </c:pt>
                <c:pt idx="10">
                  <c:v>2</c:v>
                </c:pt>
                <c:pt idx="11">
                  <c:v>1.8257251252349431</c:v>
                </c:pt>
                <c:pt idx="12">
                  <c:v>1.6181329973058267</c:v>
                </c:pt>
                <c:pt idx="13">
                  <c:v>1.3656130726178315</c:v>
                </c:pt>
                <c:pt idx="14">
                  <c:v>1.0495859275724828</c:v>
                </c:pt>
                <c:pt idx="15">
                  <c:v>0.63834690173969766</c:v>
                </c:pt>
                <c:pt idx="16">
                  <c:v>7.2606337887257011E-2</c:v>
                </c:pt>
                <c:pt idx="17">
                  <c:v>-0.7746518264517257</c:v>
                </c:pt>
                <c:pt idx="18">
                  <c:v>-2.2430775248678154</c:v>
                </c:pt>
                <c:pt idx="19">
                  <c:v>-5.7493751573816878</c:v>
                </c:pt>
                <c:pt idx="20">
                  <c:v>-10.903024253556842</c:v>
                </c:pt>
                <c:pt idx="21">
                  <c:v>-244.54452798446496</c:v>
                </c:pt>
                <c:pt idx="22">
                  <c:v>-291.8577473142584</c:v>
                </c:pt>
                <c:pt idx="23">
                  <c:v>-374.19091106789773</c:v>
                </c:pt>
                <c:pt idx="24">
                  <c:v>-571.33517413000459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'Alpha-Down'!$AP$10</c:f>
              <c:strCache>
                <c:ptCount val="1"/>
                <c:pt idx="0">
                  <c:v>0,15</c:v>
                </c:pt>
              </c:strCache>
            </c:strRef>
          </c:tx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'Alpha-Down'!$AP$11:$AP$35</c:f>
              <c:numCache>
                <c:formatCode>General</c:formatCode>
                <c:ptCount val="25"/>
                <c:pt idx="0">
                  <c:v>2.4445469846679848</c:v>
                </c:pt>
                <c:pt idx="1">
                  <c:v>2.4399934299508268</c:v>
                </c:pt>
                <c:pt idx="2">
                  <c:v>2.4269789024075425</c:v>
                </c:pt>
                <c:pt idx="3">
                  <c:v>2.4061156358341647</c:v>
                </c:pt>
                <c:pt idx="4">
                  <c:v>2.3775930734723381</c:v>
                </c:pt>
                <c:pt idx="5">
                  <c:v>2.3412061901232457</c:v>
                </c:pt>
                <c:pt idx="6">
                  <c:v>2.2963405949936209</c:v>
                </c:pt>
                <c:pt idx="7">
                  <c:v>2.241910290829991</c:v>
                </c:pt>
                <c:pt idx="8">
                  <c:v>2.1762338530666612</c:v>
                </c:pt>
                <c:pt idx="9">
                  <c:v>2.0968192688457448</c:v>
                </c:pt>
                <c:pt idx="10">
                  <c:v>2</c:v>
                </c:pt>
                <c:pt idx="11">
                  <c:v>1.8803105292556621</c:v>
                </c:pt>
                <c:pt idx="12">
                  <c:v>1.7293744882310775</c:v>
                </c:pt>
                <c:pt idx="13">
                  <c:v>1.5338140881153202</c:v>
                </c:pt>
                <c:pt idx="14">
                  <c:v>1.2710238963049512</c:v>
                </c:pt>
                <c:pt idx="15">
                  <c:v>0.89977151070993577</c:v>
                </c:pt>
                <c:pt idx="16">
                  <c:v>0.33641092275674622</c:v>
                </c:pt>
                <c:pt idx="17">
                  <c:v>-0.6175363042342541</c:v>
                </c:pt>
                <c:pt idx="18">
                  <c:v>-2.570724709937199</c:v>
                </c:pt>
                <c:pt idx="19">
                  <c:v>-8.6733003821054968</c:v>
                </c:pt>
                <c:pt idx="20">
                  <c:v>-21.030117636268667</c:v>
                </c:pt>
                <c:pt idx="21">
                  <c:v>-3362.2528195508626</c:v>
                </c:pt>
                <c:pt idx="22">
                  <c:v>-4580.1003572567306</c:v>
                </c:pt>
                <c:pt idx="23">
                  <c:v>-7080.0839275620756</c:v>
                </c:pt>
                <c:pt idx="24">
                  <c:v>-14905.342456371267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'Alpha-Down'!$AR$10</c:f>
              <c:strCache>
                <c:ptCount val="1"/>
                <c:pt idx="0">
                  <c:v>0,2</c:v>
                </c:pt>
              </c:strCache>
            </c:strRef>
          </c:tx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'Alpha-Down'!$AR$11:$AR$35</c:f>
              <c:numCache>
                <c:formatCode>General</c:formatCode>
                <c:ptCount val="25"/>
                <c:pt idx="0">
                  <c:v>2.3114766401049329</c:v>
                </c:pt>
                <c:pt idx="1">
                  <c:v>2.3086595115699402</c:v>
                </c:pt>
                <c:pt idx="2">
                  <c:v>2.3004737308758805</c:v>
                </c:pt>
                <c:pt idx="3">
                  <c:v>2.2871080567311957</c:v>
                </c:pt>
                <c:pt idx="4">
                  <c:v>2.2684869411786734</c:v>
                </c:pt>
                <c:pt idx="5">
                  <c:v>2.2442659756464192</c:v>
                </c:pt>
                <c:pt idx="6">
                  <c:v>2.2137971453598704</c:v>
                </c:pt>
                <c:pt idx="7">
                  <c:v>2.1760563209178478</c:v>
                </c:pt>
                <c:pt idx="8">
                  <c:v>2.1295165826066986</c:v>
                </c:pt>
                <c:pt idx="9">
                  <c:v>2.0719359665239279</c:v>
                </c:pt>
                <c:pt idx="10">
                  <c:v>2</c:v>
                </c:pt>
                <c:pt idx="11">
                  <c:v>1.9087022054069178</c:v>
                </c:pt>
                <c:pt idx="12">
                  <c:v>1.7902213805151661</c:v>
                </c:pt>
                <c:pt idx="13">
                  <c:v>1.6317619247319433</c:v>
                </c:pt>
                <c:pt idx="14">
                  <c:v>1.4110674868517046</c:v>
                </c:pt>
                <c:pt idx="15">
                  <c:v>1.0861190311440816</c:v>
                </c:pt>
                <c:pt idx="16">
                  <c:v>0.56805293012564562</c:v>
                </c:pt>
                <c:pt idx="17">
                  <c:v>-0.36525519179821275</c:v>
                </c:pt>
                <c:pt idx="18">
                  <c:v>-2.444284409733303</c:v>
                </c:pt>
                <c:pt idx="19">
                  <c:v>-9.8955205987982531</c:v>
                </c:pt>
                <c:pt idx="20">
                  <c:v>-27.615281005229235</c:v>
                </c:pt>
                <c:pt idx="21">
                  <c:v>-12549.614682144995</c:v>
                </c:pt>
                <c:pt idx="22">
                  <c:v>-18291.443589874998</c:v>
                </c:pt>
                <c:pt idx="23">
                  <c:v>-31105.684559232232</c:v>
                </c:pt>
                <c:pt idx="24">
                  <c:v>-77093.430817610933</c:v>
                </c:pt>
              </c:numCache>
            </c:numRef>
          </c:yVal>
          <c:smooth val="1"/>
        </c:ser>
        <c:axId val="156730880"/>
        <c:axId val="156732416"/>
      </c:scatterChart>
      <c:valAx>
        <c:axId val="156730880"/>
        <c:scaling>
          <c:orientation val="minMax"/>
          <c:max val="1.6"/>
          <c:min val="0"/>
        </c:scaling>
        <c:axPos val="b"/>
        <c:majorGridlines/>
        <c:numFmt formatCode="General" sourceLinked="1"/>
        <c:tickLblPos val="nextTo"/>
        <c:crossAx val="156732416"/>
        <c:crosses val="autoZero"/>
        <c:crossBetween val="midCat"/>
      </c:valAx>
      <c:valAx>
        <c:axId val="156732416"/>
        <c:scaling>
          <c:orientation val="minMax"/>
          <c:max val="5"/>
          <c:min val="-5"/>
        </c:scaling>
        <c:axPos val="l"/>
        <c:majorGridlines/>
        <c:numFmt formatCode="General" sourceLinked="1"/>
        <c:tickLblPos val="nextTo"/>
        <c:crossAx val="15673088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/>
    <c:plotArea>
      <c:layout/>
      <c:scatterChart>
        <c:scatterStyle val="smoothMarker"/>
        <c:ser>
          <c:idx val="0"/>
          <c:order val="0"/>
          <c:tx>
            <c:strRef>
              <c:f>'Alpha-Down'!$I$10</c:f>
              <c:strCache>
                <c:ptCount val="1"/>
                <c:pt idx="0">
                  <c:v>y</c:v>
                </c:pt>
              </c:strCache>
            </c:strRef>
          </c:tx>
          <c:xVal>
            <c:numRef>
              <c:f>'Alpha-Down'!$A$11:$A$34</c:f>
              <c:numCache>
                <c:formatCode>0.000</c:formatCode>
                <c:ptCount val="24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</c:numCache>
            </c:numRef>
          </c:xVal>
          <c:yVal>
            <c:numRef>
              <c:f>'Alpha-Down'!$I$11:$I$34</c:f>
              <c:numCache>
                <c:formatCode>0.000</c:formatCode>
                <c:ptCount val="24"/>
                <c:pt idx="0" formatCode="General">
                  <c:v>4.4125237277680158</c:v>
                </c:pt>
                <c:pt idx="1">
                  <c:v>3.4489714840853312</c:v>
                </c:pt>
                <c:pt idx="2">
                  <c:v>2.2979673343522959</c:v>
                </c:pt>
                <c:pt idx="3">
                  <c:v>1.6066368470882895</c:v>
                </c:pt>
                <c:pt idx="4">
                  <c:v>1.2624562979419678</c:v>
                </c:pt>
                <c:pt idx="5">
                  <c:v>1.1067583920080053</c:v>
                </c:pt>
                <c:pt idx="6">
                  <c:v>1.0408263827142759</c:v>
                </c:pt>
                <c:pt idx="7">
                  <c:v>1.0144307569437054</c:v>
                </c:pt>
                <c:pt idx="8">
                  <c:v>1.0044313820886548</c:v>
                </c:pt>
                <c:pt idx="9">
                  <c:v>1.0008634671508112</c:v>
                </c:pt>
                <c:pt idx="10">
                  <c:v>0.99967516799772849</c:v>
                </c:pt>
                <c:pt idx="11">
                  <c:v>0.99931075819907256</c:v>
                </c:pt>
                <c:pt idx="12">
                  <c:v>0.99920982098170597</c:v>
                </c:pt>
                <c:pt idx="13">
                  <c:v>0.99918524033808165</c:v>
                </c:pt>
                <c:pt idx="14">
                  <c:v>0.99918017647822288</c:v>
                </c:pt>
                <c:pt idx="15">
                  <c:v>0.99917934288501709</c:v>
                </c:pt>
                <c:pt idx="16">
                  <c:v>0.99917924255455159</c:v>
                </c:pt>
                <c:pt idx="17">
                  <c:v>0.99917923494510519</c:v>
                </c:pt>
                <c:pt idx="18">
                  <c:v>0.99917923466910685</c:v>
                </c:pt>
                <c:pt idx="19">
                  <c:v>0.99917923466649361</c:v>
                </c:pt>
                <c:pt idx="20">
                  <c:v>0.9991792346664925</c:v>
                </c:pt>
                <c:pt idx="21">
                  <c:v>0.9991792346664925</c:v>
                </c:pt>
                <c:pt idx="22">
                  <c:v>0.9991792346664925</c:v>
                </c:pt>
                <c:pt idx="23">
                  <c:v>0.9991792346664925</c:v>
                </c:pt>
              </c:numCache>
            </c:numRef>
          </c:yVal>
          <c:smooth val="1"/>
        </c:ser>
        <c:axId val="156758016"/>
        <c:axId val="156759552"/>
      </c:scatterChart>
      <c:valAx>
        <c:axId val="156758016"/>
        <c:scaling>
          <c:orientation val="minMax"/>
          <c:max val="1.6"/>
          <c:min val="0"/>
        </c:scaling>
        <c:axPos val="b"/>
        <c:numFmt formatCode="0.000" sourceLinked="1"/>
        <c:tickLblPos val="nextTo"/>
        <c:crossAx val="156759552"/>
        <c:crosses val="autoZero"/>
        <c:crossBetween val="midCat"/>
      </c:valAx>
      <c:valAx>
        <c:axId val="156759552"/>
        <c:scaling>
          <c:orientation val="minMax"/>
          <c:max val="5"/>
          <c:min val="-5"/>
        </c:scaling>
        <c:axPos val="l"/>
        <c:majorGridlines/>
        <c:numFmt formatCode="General" sourceLinked="1"/>
        <c:tickLblPos val="nextTo"/>
        <c:crossAx val="156758016"/>
        <c:crosses val="autoZero"/>
        <c:crossBetween val="midCat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/>
            </a:pPr>
            <a:r>
              <a:rPr lang="de-DE"/>
              <a:t>Y-Achse</a:t>
            </a:r>
          </a:p>
        </c:rich>
      </c:tx>
      <c:layout>
        <c:manualLayout>
          <c:xMode val="edge"/>
          <c:yMode val="edge"/>
          <c:x val="4.8412930795710934E-2"/>
          <c:y val="4.5307443365695803E-2"/>
        </c:manualLayout>
      </c:layout>
      <c:overlay val="1"/>
    </c:title>
    <c:plotArea>
      <c:layout/>
      <c:scatterChart>
        <c:scatterStyle val="smoothMarker"/>
        <c:ser>
          <c:idx val="0"/>
          <c:order val="0"/>
          <c:tx>
            <c:strRef>
              <c:f>'Alpha-Down'!$Z$10</c:f>
              <c:strCache>
                <c:ptCount val="1"/>
                <c:pt idx="0">
                  <c:v>0,01</c:v>
                </c:pt>
              </c:strCache>
            </c:strRef>
          </c:tx>
          <c:marker>
            <c:symbol val="none"/>
          </c:marker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'Alpha-Down'!$Z$11:$Z$35</c:f>
              <c:numCache>
                <c:formatCode>General</c:formatCode>
                <c:ptCount val="25"/>
                <c:pt idx="0">
                  <c:v>12127.626033917761</c:v>
                </c:pt>
                <c:pt idx="1">
                  <c:v>8549.3302144834925</c:v>
                </c:pt>
                <c:pt idx="2">
                  <c:v>4400.8294812595177</c:v>
                </c:pt>
                <c:pt idx="3">
                  <c:v>1992.5239901770581</c:v>
                </c:pt>
                <c:pt idx="4">
                  <c:v>834.81420932757237</c:v>
                </c:pt>
                <c:pt idx="5">
                  <c:v>329.5797634712755</c:v>
                </c:pt>
                <c:pt idx="6">
                  <c:v>123.40591522952337</c:v>
                </c:pt>
                <c:pt idx="7">
                  <c:v>43.971274267533389</c:v>
                </c:pt>
                <c:pt idx="8">
                  <c:v>15.060484225032848</c:v>
                </c:pt>
                <c:pt idx="9">
                  <c:v>5.1703611875418281</c:v>
                </c:pt>
                <c:pt idx="10">
                  <c:v>2.0205495425930402</c:v>
                </c:pt>
                <c:pt idx="11">
                  <c:v>1.0998565305389096</c:v>
                </c:pt>
                <c:pt idx="12">
                  <c:v>0.85776607970614016</c:v>
                </c:pt>
                <c:pt idx="13">
                  <c:v>0.80208880392512594</c:v>
                </c:pt>
                <c:pt idx="14">
                  <c:v>0.79132858480487411</c:v>
                </c:pt>
                <c:pt idx="15">
                  <c:v>0.78968157893495161</c:v>
                </c:pt>
                <c:pt idx="16">
                  <c:v>0.78949948902608358</c:v>
                </c:pt>
                <c:pt idx="17">
                  <c:v>0.78948702381209501</c:v>
                </c:pt>
                <c:pt idx="18">
                  <c:v>0.78948662669948089</c:v>
                </c:pt>
                <c:pt idx="19">
                  <c:v>0.78948662355454746</c:v>
                </c:pt>
                <c:pt idx="20">
                  <c:v>0.7894866235536715</c:v>
                </c:pt>
                <c:pt idx="21">
                  <c:v>0.7894866235536715</c:v>
                </c:pt>
                <c:pt idx="22">
                  <c:v>0.7894866235536715</c:v>
                </c:pt>
                <c:pt idx="23">
                  <c:v>0.7894866235536715</c:v>
                </c:pt>
                <c:pt idx="24">
                  <c:v>0.7894866235536715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'Alpha-Down'!$AD$10</c:f>
              <c:strCache>
                <c:ptCount val="1"/>
                <c:pt idx="0">
                  <c:v>0,03</c:v>
                </c:pt>
              </c:strCache>
            </c:strRef>
          </c:tx>
          <c:marker>
            <c:symbol val="none"/>
          </c:marker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'Alpha-Down'!$AD$11:$AD$35</c:f>
              <c:numCache>
                <c:formatCode>General</c:formatCode>
                <c:ptCount val="25"/>
                <c:pt idx="0">
                  <c:v>11.844613109799969</c:v>
                </c:pt>
                <c:pt idx="1">
                  <c:v>11.339519607636577</c:v>
                </c:pt>
                <c:pt idx="2">
                  <c:v>10.227490429749681</c:v>
                </c:pt>
                <c:pt idx="3">
                  <c:v>8.895204987652928</c:v>
                </c:pt>
                <c:pt idx="4">
                  <c:v>7.5454546798441804</c:v>
                </c:pt>
                <c:pt idx="5">
                  <c:v>6.2796152869259458</c:v>
                </c:pt>
                <c:pt idx="6">
                  <c:v>5.1432383497096996</c:v>
                </c:pt>
                <c:pt idx="7">
                  <c:v>4.1515159240586819</c:v>
                </c:pt>
                <c:pt idx="8">
                  <c:v>3.3035842196385268</c:v>
                </c:pt>
                <c:pt idx="9">
                  <c:v>2.5905568288758287</c:v>
                </c:pt>
                <c:pt idx="10">
                  <c:v>1.9999999999999998</c:v>
                </c:pt>
                <c:pt idx="11">
                  <c:v>1.5183754546789454</c:v>
                </c:pt>
                <c:pt idx="12">
                  <c:v>1.132318287790677</c:v>
                </c:pt>
                <c:pt idx="13">
                  <c:v>0.82924706477831456</c:v>
                </c:pt>
                <c:pt idx="14">
                  <c:v>0.59759158536811685</c:v>
                </c:pt>
                <c:pt idx="15">
                  <c:v>0.42680077675444039</c:v>
                </c:pt>
                <c:pt idx="16">
                  <c:v>0.30721951787359547</c:v>
                </c:pt>
                <c:pt idx="17">
                  <c:v>0.22987527379749517</c:v>
                </c:pt>
                <c:pt idx="18">
                  <c:v>0.18617470457204655</c:v>
                </c:pt>
                <c:pt idx="19">
                  <c:v>0.16744415637377785</c:v>
                </c:pt>
                <c:pt idx="20">
                  <c:v>0.16453284518311739</c:v>
                </c:pt>
                <c:pt idx="21">
                  <c:v>0.16395585401206314</c:v>
                </c:pt>
                <c:pt idx="22">
                  <c:v>0.16395585256919554</c:v>
                </c:pt>
                <c:pt idx="23">
                  <c:v>0.16395585174230343</c:v>
                </c:pt>
                <c:pt idx="24">
                  <c:v>0.16395585138449187</c:v>
                </c:pt>
              </c:numCache>
            </c:numRef>
          </c:yVal>
          <c:smooth val="1"/>
        </c:ser>
        <c:ser>
          <c:idx val="4"/>
          <c:order val="2"/>
          <c:tx>
            <c:strRef>
              <c:f>'Alpha-Down'!$AH$10</c:f>
              <c:strCache>
                <c:ptCount val="1"/>
                <c:pt idx="0">
                  <c:v>0,05</c:v>
                </c:pt>
              </c:strCache>
            </c:strRef>
          </c:tx>
          <c:marker>
            <c:symbol val="none"/>
          </c:marker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'Alpha-Down'!$AH$11:$AH$35</c:f>
              <c:numCache>
                <c:formatCode>General</c:formatCode>
                <c:ptCount val="25"/>
                <c:pt idx="0">
                  <c:v>4.5668567603263677</c:v>
                </c:pt>
                <c:pt idx="1">
                  <c:v>4.5025528231150158</c:v>
                </c:pt>
                <c:pt idx="2">
                  <c:v>4.3413122284515193</c:v>
                </c:pt>
                <c:pt idx="3">
                  <c:v>4.1178977383862296</c:v>
                </c:pt>
                <c:pt idx="4">
                  <c:v>3.8550162044695355</c:v>
                </c:pt>
                <c:pt idx="5">
                  <c:v>3.5675338085331649</c:v>
                </c:pt>
                <c:pt idx="6">
                  <c:v>3.2651431628062904</c:v>
                </c:pt>
                <c:pt idx="7">
                  <c:v>2.9540756526189518</c:v>
                </c:pt>
                <c:pt idx="8">
                  <c:v>2.6382134952569691</c:v>
                </c:pt>
                <c:pt idx="9">
                  <c:v>2.3198170376314931</c:v>
                </c:pt>
                <c:pt idx="10">
                  <c:v>2</c:v>
                </c:pt>
                <c:pt idx="11">
                  <c:v>1.6790345871585168</c:v>
                </c:pt>
                <c:pt idx="12">
                  <c:v>1.3565357928175927</c:v>
                </c:pt>
                <c:pt idx="13">
                  <c:v>1.0315511722389998</c:v>
                </c:pt>
                <c:pt idx="14">
                  <c:v>0.70256206759002926</c:v>
                </c:pt>
                <c:pt idx="15">
                  <c:v>0.36737607050980459</c:v>
                </c:pt>
                <c:pt idx="16">
                  <c:v>2.2839073323079884E-2</c:v>
                </c:pt>
                <c:pt idx="17">
                  <c:v>-0.33584422296512972</c:v>
                </c:pt>
                <c:pt idx="18">
                  <c:v>-0.71689677241921634</c:v>
                </c:pt>
                <c:pt idx="19">
                  <c:v>-1.1383258119479542</c:v>
                </c:pt>
                <c:pt idx="20">
                  <c:v>-1.3753207090444244</c:v>
                </c:pt>
                <c:pt idx="21">
                  <c:v>-1.6990681978007536</c:v>
                </c:pt>
                <c:pt idx="22">
                  <c:v>-1.7007974268854333</c:v>
                </c:pt>
                <c:pt idx="23">
                  <c:v>-1.702649982427872</c:v>
                </c:pt>
                <c:pt idx="24">
                  <c:v>-1.7047105078878064</c:v>
                </c:pt>
              </c:numCache>
            </c:numRef>
          </c:yVal>
          <c:smooth val="1"/>
        </c:ser>
        <c:ser>
          <c:idx val="5"/>
          <c:order val="3"/>
          <c:tx>
            <c:strRef>
              <c:f>'Alpha-Down'!$AJ$10</c:f>
              <c:strCache>
                <c:ptCount val="1"/>
                <c:pt idx="0">
                  <c:v>0,06</c:v>
                </c:pt>
              </c:strCache>
            </c:strRef>
          </c:tx>
          <c:marker>
            <c:symbol val="none"/>
          </c:marker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'Alpha-Down'!$AJ$11:$AJ$35</c:f>
              <c:numCache>
                <c:formatCode>General</c:formatCode>
                <c:ptCount val="25"/>
                <c:pt idx="0">
                  <c:v>3.7858648198465392</c:v>
                </c:pt>
                <c:pt idx="1">
                  <c:v>3.7495785992635895</c:v>
                </c:pt>
                <c:pt idx="2">
                  <c:v>3.6555592593666182</c:v>
                </c:pt>
                <c:pt idx="3">
                  <c:v>3.5204383966774873</c:v>
                </c:pt>
                <c:pt idx="4">
                  <c:v>3.3553618907687497</c:v>
                </c:pt>
                <c:pt idx="5">
                  <c:v>3.1677449699845619</c:v>
                </c:pt>
                <c:pt idx="6">
                  <c:v>2.962404119740663</c:v>
                </c:pt>
                <c:pt idx="7">
                  <c:v>2.7422895906903255</c:v>
                </c:pt>
                <c:pt idx="8">
                  <c:v>2.5089534140931562</c:v>
                </c:pt>
                <c:pt idx="9">
                  <c:v>2.2628334870852824</c:v>
                </c:pt>
                <c:pt idx="10">
                  <c:v>2.0033987365816959</c:v>
                </c:pt>
                <c:pt idx="11">
                  <c:v>1.7291737236599554</c:v>
                </c:pt>
                <c:pt idx="12">
                  <c:v>1.4376353309778431</c:v>
                </c:pt>
                <c:pt idx="13">
                  <c:v>1.1249393616188355</c:v>
                </c:pt>
                <c:pt idx="14">
                  <c:v>0.78537149029094411</c:v>
                </c:pt>
                <c:pt idx="15">
                  <c:v>0.41027532192398808</c:v>
                </c:pt>
                <c:pt idx="16">
                  <c:v>-1.4162437727877286E-2</c:v>
                </c:pt>
                <c:pt idx="17">
                  <c:v>-0.51206255192883221</c:v>
                </c:pt>
                <c:pt idx="18">
                  <c:v>-1.132473174299764</c:v>
                </c:pt>
                <c:pt idx="19">
                  <c:v>-2.0095633066715317</c:v>
                </c:pt>
                <c:pt idx="20">
                  <c:v>-2.7249537650120708</c:v>
                </c:pt>
                <c:pt idx="21">
                  <c:v>-4.876595556588379</c:v>
                </c:pt>
                <c:pt idx="22">
                  <c:v>-4.9310771051543671</c:v>
                </c:pt>
                <c:pt idx="23">
                  <c:v>-4.9995788084366914</c:v>
                </c:pt>
                <c:pt idx="24">
                  <c:v>-5.09738035468314</c:v>
                </c:pt>
              </c:numCache>
            </c:numRef>
          </c:yVal>
          <c:smooth val="1"/>
        </c:ser>
        <c:ser>
          <c:idx val="6"/>
          <c:order val="4"/>
          <c:tx>
            <c:strRef>
              <c:f>'Alpha-Down'!$AL$10</c:f>
              <c:strCache>
                <c:ptCount val="1"/>
                <c:pt idx="0">
                  <c:v>0,08</c:v>
                </c:pt>
              </c:strCache>
            </c:strRef>
          </c:tx>
          <c:marker>
            <c:symbol val="none"/>
          </c:marker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'Alpha-Down'!$AL$11:$AL$35</c:f>
              <c:numCache>
                <c:formatCode>General</c:formatCode>
                <c:ptCount val="25"/>
                <c:pt idx="0">
                  <c:v>3.0858015100151079</c:v>
                </c:pt>
                <c:pt idx="1">
                  <c:v>3.0689929022120936</c:v>
                </c:pt>
                <c:pt idx="2">
                  <c:v>3.0236326954640393</c:v>
                </c:pt>
                <c:pt idx="3">
                  <c:v>2.9554174055971618</c:v>
                </c:pt>
                <c:pt idx="4">
                  <c:v>2.8680932478219336</c:v>
                </c:pt>
                <c:pt idx="5">
                  <c:v>2.7639646236864377</c:v>
                </c:pt>
                <c:pt idx="6">
                  <c:v>2.644209697560258</c:v>
                </c:pt>
                <c:pt idx="7">
                  <c:v>2.5090581876005196</c:v>
                </c:pt>
                <c:pt idx="8">
                  <c:v>2.3578596498975237</c:v>
                </c:pt>
                <c:pt idx="9">
                  <c:v>2.1890496458617186</c:v>
                </c:pt>
                <c:pt idx="10">
                  <c:v>2</c:v>
                </c:pt>
                <c:pt idx="11">
                  <c:v>1.7867103051436526</c:v>
                </c:pt>
                <c:pt idx="12">
                  <c:v>1.5432474157110474</c:v>
                </c:pt>
                <c:pt idx="13">
                  <c:v>1.2607376552760408</c:v>
                </c:pt>
                <c:pt idx="14">
                  <c:v>0.92548494460285302</c:v>
                </c:pt>
                <c:pt idx="15">
                  <c:v>0.51519942718641776</c:v>
                </c:pt>
                <c:pt idx="16">
                  <c:v>-9.3953422220209859E-3</c:v>
                </c:pt>
                <c:pt idx="17">
                  <c:v>-0.7263343607268089</c:v>
                </c:pt>
                <c:pt idx="18">
                  <c:v>-1.8242782551096735</c:v>
                </c:pt>
                <c:pt idx="19">
                  <c:v>-3.9761907393395735</c:v>
                </c:pt>
                <c:pt idx="20">
                  <c:v>-6.464198713267864</c:v>
                </c:pt>
                <c:pt idx="21">
                  <c:v>-41.505444228627631</c:v>
                </c:pt>
                <c:pt idx="22">
                  <c:v>-45.35570315434947</c:v>
                </c:pt>
                <c:pt idx="23">
                  <c:v>-51.282453504405375</c:v>
                </c:pt>
                <c:pt idx="24">
                  <c:v>-62.939481707987127</c:v>
                </c:pt>
              </c:numCache>
            </c:numRef>
          </c:yVal>
          <c:smooth val="1"/>
        </c:ser>
        <c:ser>
          <c:idx val="7"/>
          <c:order val="5"/>
          <c:tx>
            <c:strRef>
              <c:f>'Alpha-Down'!$AN$10</c:f>
              <c:strCache>
                <c:ptCount val="1"/>
                <c:pt idx="0">
                  <c:v>0,1</c:v>
                </c:pt>
              </c:strCache>
            </c:strRef>
          </c:tx>
          <c:marker>
            <c:symbol val="none"/>
          </c:marker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'Alpha-Down'!$AN$11:$AN$35</c:f>
              <c:numCache>
                <c:formatCode>General</c:formatCode>
                <c:ptCount val="25"/>
                <c:pt idx="0">
                  <c:v>2.7722346623300784</c:v>
                </c:pt>
                <c:pt idx="1">
                  <c:v>2.7621778137829969</c:v>
                </c:pt>
                <c:pt idx="2">
                  <c:v>2.7343632943342384</c:v>
                </c:pt>
                <c:pt idx="3">
                  <c:v>2.6913747055003925</c:v>
                </c:pt>
                <c:pt idx="4">
                  <c:v>2.6347734667786629</c:v>
                </c:pt>
                <c:pt idx="5">
                  <c:v>2.5653014702632753</c:v>
                </c:pt>
                <c:pt idx="6">
                  <c:v>2.4829869233889683</c:v>
                </c:pt>
                <c:pt idx="7">
                  <c:v>2.3871701947346309</c:v>
                </c:pt>
                <c:pt idx="8">
                  <c:v>2.2764512355066038</c:v>
                </c:pt>
                <c:pt idx="9">
                  <c:v>2.1485439456937154</c:v>
                </c:pt>
                <c:pt idx="10">
                  <c:v>2</c:v>
                </c:pt>
                <c:pt idx="11">
                  <c:v>1.8257251252349431</c:v>
                </c:pt>
                <c:pt idx="12">
                  <c:v>1.6181329973058267</c:v>
                </c:pt>
                <c:pt idx="13">
                  <c:v>1.3656130726178315</c:v>
                </c:pt>
                <c:pt idx="14">
                  <c:v>1.0495859275724828</c:v>
                </c:pt>
                <c:pt idx="15">
                  <c:v>0.63834690173969766</c:v>
                </c:pt>
                <c:pt idx="16">
                  <c:v>7.2606337887257011E-2</c:v>
                </c:pt>
                <c:pt idx="17">
                  <c:v>-0.7746518264517257</c:v>
                </c:pt>
                <c:pt idx="18">
                  <c:v>-2.2430775248678154</c:v>
                </c:pt>
                <c:pt idx="19">
                  <c:v>-5.7493751573816878</c:v>
                </c:pt>
                <c:pt idx="20">
                  <c:v>-10.903024253556842</c:v>
                </c:pt>
                <c:pt idx="21">
                  <c:v>-244.54452798446496</c:v>
                </c:pt>
                <c:pt idx="22">
                  <c:v>-291.8577473142584</c:v>
                </c:pt>
                <c:pt idx="23">
                  <c:v>-374.19091106789773</c:v>
                </c:pt>
                <c:pt idx="24">
                  <c:v>-571.33517413000459</c:v>
                </c:pt>
              </c:numCache>
            </c:numRef>
          </c:yVal>
          <c:smooth val="1"/>
        </c:ser>
        <c:ser>
          <c:idx val="9"/>
          <c:order val="6"/>
          <c:tx>
            <c:strRef>
              <c:f>'Alpha-Down'!$AR$10</c:f>
              <c:strCache>
                <c:ptCount val="1"/>
                <c:pt idx="0">
                  <c:v>0,2</c:v>
                </c:pt>
              </c:strCache>
            </c:strRef>
          </c:tx>
          <c:marker>
            <c:symbol val="none"/>
          </c:marker>
          <c:xVal>
            <c:numRef>
              <c:f>'Alpha-Down'!$X$11:$X$35</c:f>
              <c:numCache>
                <c:formatCode>General</c:formatCode>
                <c:ptCount val="25"/>
                <c:pt idx="0">
                  <c:v>1.5707963267948966</c:v>
                </c:pt>
                <c:pt idx="1">
                  <c:v>1.4923565104551517</c:v>
                </c:pt>
                <c:pt idx="2">
                  <c:v>1.4139166941154069</c:v>
                </c:pt>
                <c:pt idx="3">
                  <c:v>1.335476877775662</c:v>
                </c:pt>
                <c:pt idx="4">
                  <c:v>1.2570370614359172</c:v>
                </c:pt>
                <c:pt idx="5">
                  <c:v>1.1785972450961724</c:v>
                </c:pt>
                <c:pt idx="6">
                  <c:v>1.1001574287564275</c:v>
                </c:pt>
                <c:pt idx="7">
                  <c:v>1.0217176124166827</c:v>
                </c:pt>
                <c:pt idx="8">
                  <c:v>0.94327779607693785</c:v>
                </c:pt>
                <c:pt idx="9">
                  <c:v>0.86483797973719301</c:v>
                </c:pt>
                <c:pt idx="10">
                  <c:v>0.78639816339744817</c:v>
                </c:pt>
                <c:pt idx="11">
                  <c:v>0.70795834705770333</c:v>
                </c:pt>
                <c:pt idx="12">
                  <c:v>0.62951853071795849</c:v>
                </c:pt>
                <c:pt idx="13">
                  <c:v>0.55107871437821365</c:v>
                </c:pt>
                <c:pt idx="14">
                  <c:v>0.47263889803846881</c:v>
                </c:pt>
                <c:pt idx="15">
                  <c:v>0.39419908169872397</c:v>
                </c:pt>
                <c:pt idx="16">
                  <c:v>0.31575926535897914</c:v>
                </c:pt>
                <c:pt idx="17">
                  <c:v>0.2373194490192343</c:v>
                </c:pt>
                <c:pt idx="18">
                  <c:v>0.15887963267948946</c:v>
                </c:pt>
                <c:pt idx="19">
                  <c:v>8.0439816339744633E-2</c:v>
                </c:pt>
                <c:pt idx="20">
                  <c:v>0.04</c:v>
                </c:pt>
                <c:pt idx="21">
                  <c:v>4.0000000000000002E-4</c:v>
                </c:pt>
                <c:pt idx="22">
                  <c:v>3.0000000000000003E-4</c:v>
                </c:pt>
                <c:pt idx="23">
                  <c:v>2.0000000000000001E-4</c:v>
                </c:pt>
                <c:pt idx="24">
                  <c:v>1E-4</c:v>
                </c:pt>
              </c:numCache>
            </c:numRef>
          </c:xVal>
          <c:yVal>
            <c:numRef>
              <c:f>'Alpha-Down'!$AR$11:$AR$35</c:f>
              <c:numCache>
                <c:formatCode>General</c:formatCode>
                <c:ptCount val="25"/>
                <c:pt idx="0">
                  <c:v>2.3114766401049329</c:v>
                </c:pt>
                <c:pt idx="1">
                  <c:v>2.3086595115699402</c:v>
                </c:pt>
                <c:pt idx="2">
                  <c:v>2.3004737308758805</c:v>
                </c:pt>
                <c:pt idx="3">
                  <c:v>2.2871080567311957</c:v>
                </c:pt>
                <c:pt idx="4">
                  <c:v>2.2684869411786734</c:v>
                </c:pt>
                <c:pt idx="5">
                  <c:v>2.2442659756464192</c:v>
                </c:pt>
                <c:pt idx="6">
                  <c:v>2.2137971453598704</c:v>
                </c:pt>
                <c:pt idx="7">
                  <c:v>2.1760563209178478</c:v>
                </c:pt>
                <c:pt idx="8">
                  <c:v>2.1295165826066986</c:v>
                </c:pt>
                <c:pt idx="9">
                  <c:v>2.0719359665239279</c:v>
                </c:pt>
                <c:pt idx="10">
                  <c:v>2</c:v>
                </c:pt>
                <c:pt idx="11">
                  <c:v>1.9087022054069178</c:v>
                </c:pt>
                <c:pt idx="12">
                  <c:v>1.7902213805151661</c:v>
                </c:pt>
                <c:pt idx="13">
                  <c:v>1.6317619247319433</c:v>
                </c:pt>
                <c:pt idx="14">
                  <c:v>1.4110674868517046</c:v>
                </c:pt>
                <c:pt idx="15">
                  <c:v>1.0861190311440816</c:v>
                </c:pt>
                <c:pt idx="16">
                  <c:v>0.56805293012564562</c:v>
                </c:pt>
                <c:pt idx="17">
                  <c:v>-0.36525519179821275</c:v>
                </c:pt>
                <c:pt idx="18">
                  <c:v>-2.444284409733303</c:v>
                </c:pt>
                <c:pt idx="19">
                  <c:v>-9.8955205987982531</c:v>
                </c:pt>
                <c:pt idx="20">
                  <c:v>-27.615281005229235</c:v>
                </c:pt>
                <c:pt idx="21">
                  <c:v>-12549.614682144995</c:v>
                </c:pt>
                <c:pt idx="22">
                  <c:v>-18291.443589874998</c:v>
                </c:pt>
                <c:pt idx="23">
                  <c:v>-31105.684559232232</c:v>
                </c:pt>
                <c:pt idx="24">
                  <c:v>-77093.430817610933</c:v>
                </c:pt>
              </c:numCache>
            </c:numRef>
          </c:yVal>
          <c:smooth val="1"/>
        </c:ser>
        <c:axId val="156857088"/>
        <c:axId val="156858624"/>
      </c:scatterChart>
      <c:valAx>
        <c:axId val="156857088"/>
        <c:scaling>
          <c:orientation val="minMax"/>
          <c:max val="1.6"/>
          <c:min val="0"/>
        </c:scaling>
        <c:axPos val="b"/>
        <c:majorGridlines/>
        <c:numFmt formatCode="General" sourceLinked="1"/>
        <c:tickLblPos val="nextTo"/>
        <c:crossAx val="156858624"/>
        <c:crosses val="autoZero"/>
        <c:crossBetween val="midCat"/>
      </c:valAx>
      <c:valAx>
        <c:axId val="156858624"/>
        <c:scaling>
          <c:orientation val="minMax"/>
          <c:max val="5"/>
          <c:min val="-5"/>
        </c:scaling>
        <c:axPos val="l"/>
        <c:majorGridlines/>
        <c:numFmt formatCode="General" sourceLinked="1"/>
        <c:tickLblPos val="nextTo"/>
        <c:crossAx val="15685708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lineMarker"/>
        <c:ser>
          <c:idx val="1"/>
          <c:order val="0"/>
          <c:tx>
            <c:v>Zentral v=0</c:v>
          </c:tx>
          <c:spPr>
            <a:ln w="254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'Down-Auswert'!$C$5:$C$114</c:f>
              <c:numCache>
                <c:formatCode>0.00</c:formatCode>
                <c:ptCount val="110"/>
                <c:pt idx="0">
                  <c:v>2</c:v>
                </c:pt>
                <c:pt idx="1">
                  <c:v>1.8567950777469926</c:v>
                </c:pt>
                <c:pt idx="2">
                  <c:v>1.725664736792073</c:v>
                </c:pt>
                <c:pt idx="3">
                  <c:v>1.6056132230728195</c:v>
                </c:pt>
                <c:pt idx="4">
                  <c:v>1.4957251233424351</c:v>
                </c:pt>
                <c:pt idx="5">
                  <c:v>1.3951590203577817</c:v>
                </c:pt>
                <c:pt idx="6">
                  <c:v>1.3914157986100095</c:v>
                </c:pt>
                <c:pt idx="7">
                  <c:v>1.2484838075298474</c:v>
                </c:pt>
                <c:pt idx="8">
                  <c:v>1.1227635021009608</c:v>
                </c:pt>
                <c:pt idx="9">
                  <c:v>1.0123078735052724</c:v>
                </c:pt>
                <c:pt idx="10">
                  <c:v>0.91537829818652161</c:v>
                </c:pt>
                <c:pt idx="11">
                  <c:v>0.83042317964999024</c:v>
                </c:pt>
                <c:pt idx="12">
                  <c:v>0.82975155074701479</c:v>
                </c:pt>
                <c:pt idx="13">
                  <c:v>0.77196460718457527</c:v>
                </c:pt>
                <c:pt idx="14">
                  <c:v>0.71884016503820392</c:v>
                </c:pt>
                <c:pt idx="15">
                  <c:v>0.67004941866820911</c:v>
                </c:pt>
                <c:pt idx="16">
                  <c:v>0.62528581614940348</c:v>
                </c:pt>
                <c:pt idx="17">
                  <c:v>0.58426344112185769</c:v>
                </c:pt>
                <c:pt idx="18">
                  <c:v>0.58404292623613319</c:v>
                </c:pt>
                <c:pt idx="19">
                  <c:v>0.55663911178364145</c:v>
                </c:pt>
                <c:pt idx="20">
                  <c:v>0.53039887622218651</c:v>
                </c:pt>
                <c:pt idx="21">
                  <c:v>0.50528028588620399</c:v>
                </c:pt>
                <c:pt idx="22">
                  <c:v>0.48124402799657784</c:v>
                </c:pt>
                <c:pt idx="23">
                  <c:v>0.45825327316387882</c:v>
                </c:pt>
                <c:pt idx="24">
                  <c:v>0.45814605276080628</c:v>
                </c:pt>
                <c:pt idx="25">
                  <c:v>0.4434289536691477</c:v>
                </c:pt>
                <c:pt idx="26">
                  <c:v>0.42884492244326278</c:v>
                </c:pt>
                <c:pt idx="27">
                  <c:v>0.41438491460600352</c:v>
                </c:pt>
                <c:pt idx="28">
                  <c:v>0.40004002299820918</c:v>
                </c:pt>
                <c:pt idx="29">
                  <c:v>0.38580144910584685</c:v>
                </c:pt>
                <c:pt idx="30">
                  <c:v>0.38573186850342223</c:v>
                </c:pt>
                <c:pt idx="31">
                  <c:v>0.37685081733192649</c:v>
                </c:pt>
                <c:pt idx="32">
                  <c:v>0.36783252007190703</c:v>
                </c:pt>
                <c:pt idx="33">
                  <c:v>0.35866405733067741</c:v>
                </c:pt>
                <c:pt idx="34">
                  <c:v>0.34933127471780989</c:v>
                </c:pt>
                <c:pt idx="35">
                  <c:v>0.33981858650738467</c:v>
                </c:pt>
                <c:pt idx="36">
                  <c:v>0.33976368374121446</c:v>
                </c:pt>
                <c:pt idx="37">
                  <c:v>0.33364626102999195</c:v>
                </c:pt>
                <c:pt idx="38">
                  <c:v>0.32734086935702</c:v>
                </c:pt>
                <c:pt idx="39">
                  <c:v>0.32083174851009599</c:v>
                </c:pt>
                <c:pt idx="40">
                  <c:v>0.31410125747651463</c:v>
                </c:pt>
                <c:pt idx="41">
                  <c:v>0.30712955554727933</c:v>
                </c:pt>
                <c:pt idx="42">
                  <c:v>0.30707987075759102</c:v>
                </c:pt>
                <c:pt idx="43">
                  <c:v>0.30197449901336376</c:v>
                </c:pt>
                <c:pt idx="44">
                  <c:v>0.29664648796844051</c:v>
                </c:pt>
                <c:pt idx="45">
                  <c:v>0.29107476424777351</c:v>
                </c:pt>
                <c:pt idx="46">
                  <c:v>0.2852353006622107</c:v>
                </c:pt>
                <c:pt idx="47">
                  <c:v>0.27910054379679616</c:v>
                </c:pt>
                <c:pt idx="48">
                  <c:v>0.27905021013399983</c:v>
                </c:pt>
                <c:pt idx="49">
                  <c:v>0.27228645653397271</c:v>
                </c:pt>
                <c:pt idx="50">
                  <c:v>0.26499251443240907</c:v>
                </c:pt>
                <c:pt idx="51">
                  <c:v>0.25708480224919389</c:v>
                </c:pt>
                <c:pt idx="52">
                  <c:v>0.24845963964750828</c:v>
                </c:pt>
                <c:pt idx="53">
                  <c:v>0.2389864367774874</c:v>
                </c:pt>
                <c:pt idx="54">
                  <c:v>0.2389209259854623</c:v>
                </c:pt>
                <c:pt idx="55">
                  <c:v>0.23578301797952492</c:v>
                </c:pt>
                <c:pt idx="56">
                  <c:v>0.23256646752892732</c:v>
                </c:pt>
                <c:pt idx="57">
                  <c:v>0.22926736939894396</c:v>
                </c:pt>
                <c:pt idx="58">
                  <c:v>0.22588153023591317</c:v>
                </c:pt>
                <c:pt idx="59">
                  <c:v>0.22240443988033864</c:v>
                </c:pt>
                <c:pt idx="60">
                  <c:v>0.22231704180049283</c:v>
                </c:pt>
                <c:pt idx="61">
                  <c:v>0.2196084225352968</c:v>
                </c:pt>
                <c:pt idx="62">
                  <c:v>0.21686219615394881</c:v>
                </c:pt>
                <c:pt idx="63">
                  <c:v>0.21407722174438537</c:v>
                </c:pt>
                <c:pt idx="64">
                  <c:v>0.21125230583616514</c:v>
                </c:pt>
                <c:pt idx="65">
                  <c:v>0.20838619910005479</c:v>
                </c:pt>
                <c:pt idx="66">
                  <c:v>0.20826957262261139</c:v>
                </c:pt>
                <c:pt idx="67">
                  <c:v>0.20540291999353938</c:v>
                </c:pt>
                <c:pt idx="68">
                  <c:v>0.20251533325716295</c:v>
                </c:pt>
                <c:pt idx="69">
                  <c:v>0.19960637542075907</c:v>
                </c:pt>
                <c:pt idx="70">
                  <c:v>0.19667559503442383</c:v>
                </c:pt>
                <c:pt idx="71">
                  <c:v>0.19372252551765981</c:v>
                </c:pt>
                <c:pt idx="72">
                  <c:v>0.19356489876290511</c:v>
                </c:pt>
                <c:pt idx="73">
                  <c:v>0.19015682620285421</c:v>
                </c:pt>
                <c:pt idx="74">
                  <c:v>0.1867467764091853</c:v>
                </c:pt>
                <c:pt idx="75">
                  <c:v>0.18333470964395737</c:v>
                </c:pt>
                <c:pt idx="76">
                  <c:v>0.17992058542118083</c:v>
                </c:pt>
                <c:pt idx="77">
                  <c:v>0.17650436248060644</c:v>
                </c:pt>
                <c:pt idx="78">
                  <c:v>0.17628594575314688</c:v>
                </c:pt>
                <c:pt idx="79">
                  <c:v>0.17174484569616194</c:v>
                </c:pt>
                <c:pt idx="80">
                  <c:v>0.16724510232265657</c:v>
                </c:pt>
                <c:pt idx="81">
                  <c:v>0.16278675013595809</c:v>
                </c:pt>
                <c:pt idx="82">
                  <c:v>0.15836982465349259</c:v>
                </c:pt>
                <c:pt idx="83">
                  <c:v>0.15399436242429154</c:v>
                </c:pt>
                <c:pt idx="84">
                  <c:v>0.15368620641364855</c:v>
                </c:pt>
                <c:pt idx="85">
                  <c:v>0.14653134201928544</c:v>
                </c:pt>
                <c:pt idx="86">
                  <c:v>0.13959212172579372</c:v>
                </c:pt>
                <c:pt idx="87">
                  <c:v>0.1328643350505804</c:v>
                </c:pt>
                <c:pt idx="88">
                  <c:v>0.12634380936883391</c:v>
                </c:pt>
                <c:pt idx="89">
                  <c:v>0.12002640991021241</c:v>
                </c:pt>
                <c:pt idx="90">
                  <c:v>0.11959171475731865</c:v>
                </c:pt>
                <c:pt idx="91">
                  <c:v>0.10398552391204691</c:v>
                </c:pt>
                <c:pt idx="92">
                  <c:v>9.0117624286735976E-2</c:v>
                </c:pt>
                <c:pt idx="93">
                  <c:v>7.7817836763402981E-2</c:v>
                </c:pt>
                <c:pt idx="94">
                  <c:v>6.6930285375419868E-2</c:v>
                </c:pt>
                <c:pt idx="95">
                  <c:v>5.7312398219572576E-2</c:v>
                </c:pt>
                <c:pt idx="96">
                  <c:v>5.6843947959047153E-2</c:v>
                </c:pt>
                <c:pt idx="97">
                  <c:v>4.3420277831414389E-2</c:v>
                </c:pt>
                <c:pt idx="98">
                  <c:v>3.300898196240893E-2</c:v>
                </c:pt>
                <c:pt idx="99">
                  <c:v>2.4954839726696515E-2</c:v>
                </c:pt>
                <c:pt idx="100">
                  <c:v>1.8740547175521344E-2</c:v>
                </c:pt>
                <c:pt idx="101">
                  <c:v>1.3958672703664105E-2</c:v>
                </c:pt>
                <c:pt idx="102">
                  <c:v>1.0289111314894149E-2</c:v>
                </c:pt>
                <c:pt idx="103">
                  <c:v>7.4810001044151031E-3</c:v>
                </c:pt>
                <c:pt idx="104">
                  <c:v>5.3382454722272904E-3</c:v>
                </c:pt>
                <c:pt idx="105">
                  <c:v>3.7079678860077805E-3</c:v>
                </c:pt>
                <c:pt idx="106">
                  <c:v>2.4712981244217683E-3</c:v>
                </c:pt>
                <c:pt idx="107">
                  <c:v>1.5360643988466122E-3</c:v>
                </c:pt>
                <c:pt idx="108">
                  <c:v>8.3099639642776613E-4</c:v>
                </c:pt>
                <c:pt idx="109">
                  <c:v>-1.2205537665476857E-3</c:v>
                </c:pt>
              </c:numCache>
            </c:numRef>
          </c:xVal>
          <c:yVal>
            <c:numRef>
              <c:f>'Down-Auswert'!$D$5:$D$114</c:f>
              <c:numCache>
                <c:formatCode>0.00</c:formatCode>
                <c:ptCount val="110"/>
                <c:pt idx="0">
                  <c:v>2</c:v>
                </c:pt>
                <c:pt idx="1">
                  <c:v>1.8745143785555654</c:v>
                </c:pt>
                <c:pt idx="2">
                  <c:v>1.7590134319647874</c:v>
                </c:pt>
                <c:pt idx="3">
                  <c:v>1.6527228314746436</c:v>
                </c:pt>
                <c:pt idx="4">
                  <c:v>1.5549267743645991</c:v>
                </c:pt>
                <c:pt idx="5">
                  <c:v>1.464963672548639</c:v>
                </c:pt>
                <c:pt idx="6">
                  <c:v>1.4616059968409485</c:v>
                </c:pt>
                <c:pt idx="7">
                  <c:v>1.3318800244760602</c:v>
                </c:pt>
                <c:pt idx="8">
                  <c:v>1.215035665499004</c:v>
                </c:pt>
                <c:pt idx="9">
                  <c:v>1.109917655294846</c:v>
                </c:pt>
                <c:pt idx="10">
                  <c:v>1.0154636310867446</c:v>
                </c:pt>
                <c:pt idx="11">
                  <c:v>0.93069751973707993</c:v>
                </c:pt>
                <c:pt idx="12">
                  <c:v>0.93001918678854101</c:v>
                </c:pt>
                <c:pt idx="13">
                  <c:v>0.87061314320806393</c:v>
                </c:pt>
                <c:pt idx="14">
                  <c:v>0.81401984122538584</c:v>
                </c:pt>
                <c:pt idx="15">
                  <c:v>0.76015409437222647</c:v>
                </c:pt>
                <c:pt idx="16">
                  <c:v>0.70893173811206722</c:v>
                </c:pt>
                <c:pt idx="17">
                  <c:v>0.66026977846928547</c:v>
                </c:pt>
                <c:pt idx="18">
                  <c:v>0.66000334397619986</c:v>
                </c:pt>
                <c:pt idx="19">
                  <c:v>0.62617599428765158</c:v>
                </c:pt>
                <c:pt idx="20">
                  <c:v>0.59235947879676187</c:v>
                </c:pt>
                <c:pt idx="21">
                  <c:v>0.55854810467171812</c:v>
                </c:pt>
                <c:pt idx="22">
                  <c:v>0.52473527090436733</c:v>
                </c:pt>
                <c:pt idx="23">
                  <c:v>0.49091347675920805</c:v>
                </c:pt>
                <c:pt idx="24">
                  <c:v>0.49075210650337264</c:v>
                </c:pt>
                <c:pt idx="25">
                  <c:v>0.46810047534904664</c:v>
                </c:pt>
                <c:pt idx="26">
                  <c:v>0.4446190078894226</c:v>
                </c:pt>
                <c:pt idx="27">
                  <c:v>0.4202417035902391</c:v>
                </c:pt>
                <c:pt idx="28">
                  <c:v>0.39489424804551521</c:v>
                </c:pt>
                <c:pt idx="29">
                  <c:v>0.36849263670822324</c:v>
                </c:pt>
                <c:pt idx="30">
                  <c:v>0.36836040959449967</c:v>
                </c:pt>
                <c:pt idx="31">
                  <c:v>0.35111378135377302</c:v>
                </c:pt>
                <c:pt idx="32">
                  <c:v>0.332820814989291</c:v>
                </c:pt>
                <c:pt idx="33">
                  <c:v>0.31337205803339724</c:v>
                </c:pt>
                <c:pt idx="34">
                  <c:v>0.29264143433266909</c:v>
                </c:pt>
                <c:pt idx="35">
                  <c:v>0.27048289615911919</c:v>
                </c:pt>
                <c:pt idx="36">
                  <c:v>0.27035186996590788</c:v>
                </c:pt>
                <c:pt idx="37">
                  <c:v>0.25544943365514067</c:v>
                </c:pt>
                <c:pt idx="38">
                  <c:v>0.23944148017748257</c:v>
                </c:pt>
                <c:pt idx="39">
                  <c:v>0.22219740021111989</c:v>
                </c:pt>
                <c:pt idx="40">
                  <c:v>0.20356496991423956</c:v>
                </c:pt>
                <c:pt idx="41">
                  <c:v>0.18336567202539325</c:v>
                </c:pt>
                <c:pt idx="42">
                  <c:v>0.18321833372345617</c:v>
                </c:pt>
                <c:pt idx="43">
                  <c:v>0.16775312000474107</c:v>
                </c:pt>
                <c:pt idx="44">
                  <c:v>0.15090857031833599</c:v>
                </c:pt>
                <c:pt idx="45">
                  <c:v>0.1324956355039498</c:v>
                </c:pt>
                <c:pt idx="46">
                  <c:v>0.11228952633092294</c:v>
                </c:pt>
                <c:pt idx="47">
                  <c:v>9.0020928168231068E-2</c:v>
                </c:pt>
                <c:pt idx="48">
                  <c:v>8.9833694127448876E-2</c:v>
                </c:pt>
                <c:pt idx="49">
                  <c:v>6.3865993391991255E-2</c:v>
                </c:pt>
                <c:pt idx="50">
                  <c:v>3.4008968448296331E-2</c:v>
                </c:pt>
                <c:pt idx="51">
                  <c:v>-6.3727325111893884E-4</c:v>
                </c:pt>
                <c:pt idx="52">
                  <c:v>-4.1265158389532208E-2</c:v>
                </c:pt>
                <c:pt idx="53">
                  <c:v>-8.9486620049809285E-2</c:v>
                </c:pt>
                <c:pt idx="54">
                  <c:v>-8.9833694127449237E-2</c:v>
                </c:pt>
                <c:pt idx="55">
                  <c:v>-0.106650293801024</c:v>
                </c:pt>
                <c:pt idx="56">
                  <c:v>-0.12428253900498726</c:v>
                </c:pt>
                <c:pt idx="57">
                  <c:v>-0.14278987896090234</c:v>
                </c:pt>
                <c:pt idx="58">
                  <c:v>-0.16223760933677589</c:v>
                </c:pt>
                <c:pt idx="59">
                  <c:v>-0.18269760319703848</c:v>
                </c:pt>
                <c:pt idx="60">
                  <c:v>-0.18321833372345642</c:v>
                </c:pt>
                <c:pt idx="61">
                  <c:v>-0.19948560791401748</c:v>
                </c:pt>
                <c:pt idx="62">
                  <c:v>-0.21623464079257432</c:v>
                </c:pt>
                <c:pt idx="63">
                  <c:v>-0.23348746505914122</c:v>
                </c:pt>
                <c:pt idx="64">
                  <c:v>-0.25126748587220121</c:v>
                </c:pt>
                <c:pt idx="65">
                  <c:v>-0.26959958979283138</c:v>
                </c:pt>
                <c:pt idx="66">
                  <c:v>-0.27035186996590765</c:v>
                </c:pt>
                <c:pt idx="67">
                  <c:v>-0.28896488091434946</c:v>
                </c:pt>
                <c:pt idx="68">
                  <c:v>-0.3079511376237522</c:v>
                </c:pt>
                <c:pt idx="69">
                  <c:v>-0.32732297842335034</c:v>
                </c:pt>
                <c:pt idx="70">
                  <c:v>-0.34709331294248724</c:v>
                </c:pt>
                <c:pt idx="71">
                  <c:v>-0.36727565633114567</c:v>
                </c:pt>
                <c:pt idx="72">
                  <c:v>-0.36836040959450028</c:v>
                </c:pt>
                <c:pt idx="73">
                  <c:v>-0.39195223739182561</c:v>
                </c:pt>
                <c:pt idx="74">
                  <c:v>-0.4158216130452887</c:v>
                </c:pt>
                <c:pt idx="75">
                  <c:v>-0.43997497084613996</c:v>
                </c:pt>
                <c:pt idx="76">
                  <c:v>-0.46441896814097455</c:v>
                </c:pt>
                <c:pt idx="77">
                  <c:v>-0.48916049569634368</c:v>
                </c:pt>
                <c:pt idx="78">
                  <c:v>-0.4907521065033762</c:v>
                </c:pt>
                <c:pt idx="79">
                  <c:v>-0.52403015154569776</c:v>
                </c:pt>
                <c:pt idx="80">
                  <c:v>-0.55735649088971584</c:v>
                </c:pt>
                <c:pt idx="81">
                  <c:v>-0.59073176943301808</c:v>
                </c:pt>
                <c:pt idx="82">
                  <c:v>-0.62415664637591761</c:v>
                </c:pt>
                <c:pt idx="83">
                  <c:v>-0.65763179570729535</c:v>
                </c:pt>
                <c:pt idx="84">
                  <c:v>-0.66000334397619942</c:v>
                </c:pt>
                <c:pt idx="85">
                  <c:v>-0.71539701033240966</c:v>
                </c:pt>
                <c:pt idx="86">
                  <c:v>-0.76973202527555196</c:v>
                </c:pt>
                <c:pt idx="87">
                  <c:v>-0.82301716045071605</c:v>
                </c:pt>
                <c:pt idx="88">
                  <c:v>-0.87526120622366543</c:v>
                </c:pt>
                <c:pt idx="89">
                  <c:v>-0.92647297215068147</c:v>
                </c:pt>
                <c:pt idx="90">
                  <c:v>-0.93001918678854112</c:v>
                </c:pt>
                <c:pt idx="91">
                  <c:v>-1.0583901289066073</c:v>
                </c:pt>
                <c:pt idx="92">
                  <c:v>-1.1743205512816555</c:v>
                </c:pt>
                <c:pt idx="93">
                  <c:v>-1.278843860963369</c:v>
                </c:pt>
                <c:pt idx="94">
                  <c:v>-1.3729223239160593</c:v>
                </c:pt>
                <c:pt idx="95">
                  <c:v>-1.4574509253365289</c:v>
                </c:pt>
                <c:pt idx="96">
                  <c:v>-1.4616059968409454</c:v>
                </c:pt>
                <c:pt idx="97">
                  <c:v>-1.5813037256811433</c:v>
                </c:pt>
                <c:pt idx="98">
                  <c:v>-1.6750894659493054</c:v>
                </c:pt>
                <c:pt idx="99">
                  <c:v>-1.7483909823012918</c:v>
                </c:pt>
                <c:pt idx="100">
                  <c:v>-1.8055378165073313</c:v>
                </c:pt>
                <c:pt idx="101">
                  <c:v>-1.8499755187406266</c:v>
                </c:pt>
                <c:pt idx="102">
                  <c:v>-1.8844396727380284</c:v>
                </c:pt>
                <c:pt idx="103">
                  <c:v>-1.9110969578821717</c:v>
                </c:pt>
                <c:pt idx="104">
                  <c:v>-1.9316592419486536</c:v>
                </c:pt>
                <c:pt idx="105">
                  <c:v>-1.9474756546928269</c:v>
                </c:pt>
                <c:pt idx="106">
                  <c:v>-1.9596067223713107</c:v>
                </c:pt>
                <c:pt idx="107">
                  <c:v>-1.9688839192504819</c:v>
                </c:pt>
                <c:pt idx="108">
                  <c:v>-1.9759573908153871</c:v>
                </c:pt>
                <c:pt idx="109">
                  <c:v>-1.9974900561416931</c:v>
                </c:pt>
              </c:numCache>
            </c:numRef>
          </c:yVal>
        </c:ser>
        <c:ser>
          <c:idx val="0"/>
          <c:order val="1"/>
          <c:tx>
            <c:v>0,5 m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'Down-Auswert'!$F$5:$F$114</c:f>
              <c:numCache>
                <c:formatCode>General</c:formatCode>
                <c:ptCount val="110"/>
                <c:pt idx="0">
                  <c:v>1.9999999999999998</c:v>
                </c:pt>
                <c:pt idx="1">
                  <c:v>1.7244859502745671</c:v>
                </c:pt>
                <c:pt idx="2">
                  <c:v>1.4897780513006031</c:v>
                </c:pt>
                <c:pt idx="3">
                  <c:v>1.2899682707323465</c:v>
                </c:pt>
                <c:pt idx="4">
                  <c:v>1.1199883051797344</c:v>
                </c:pt>
                <c:pt idx="5">
                  <c:v>0.97549183221698166</c:v>
                </c:pt>
                <c:pt idx="6">
                  <c:v>0.97431464056774231</c:v>
                </c:pt>
                <c:pt idx="7">
                  <c:v>0.74575352770416159</c:v>
                </c:pt>
                <c:pt idx="8">
                  <c:v>0.57223939953897451</c:v>
                </c:pt>
                <c:pt idx="9">
                  <c:v>0.44107067674026557</c:v>
                </c:pt>
                <c:pt idx="10">
                  <c:v>0.34253654930988808</c:v>
                </c:pt>
                <c:pt idx="11">
                  <c:v>0.26916538782504273</c:v>
                </c:pt>
                <c:pt idx="12">
                  <c:v>0.26906789478980486</c:v>
                </c:pt>
                <c:pt idx="13">
                  <c:v>0.23122581006860901</c:v>
                </c:pt>
                <c:pt idx="14">
                  <c:v>0.19706118661994043</c:v>
                </c:pt>
                <c:pt idx="15">
                  <c:v>0.16617394297931884</c:v>
                </c:pt>
                <c:pt idx="16">
                  <c:v>0.13827480852702806</c:v>
                </c:pt>
                <c:pt idx="17">
                  <c:v>0.11318589908763219</c:v>
                </c:pt>
                <c:pt idx="18">
                  <c:v>0.11315663425561727</c:v>
                </c:pt>
                <c:pt idx="19">
                  <c:v>0.10664263383380958</c:v>
                </c:pt>
                <c:pt idx="20">
                  <c:v>9.9717364445721449E-2</c:v>
                </c:pt>
                <c:pt idx="21">
                  <c:v>9.2272708012122145E-2</c:v>
                </c:pt>
                <c:pt idx="22">
                  <c:v>8.4154054737426071E-2</c:v>
                </c:pt>
                <c:pt idx="23">
                  <c:v>7.5125726375983956E-2</c:v>
                </c:pt>
                <c:pt idx="24">
                  <c:v>7.5098856705437353E-2</c:v>
                </c:pt>
                <c:pt idx="25">
                  <c:v>7.2826527900651764E-2</c:v>
                </c:pt>
                <c:pt idx="26">
                  <c:v>7.0341392144411083E-2</c:v>
                </c:pt>
                <c:pt idx="27">
                  <c:v>6.7599423899444677E-2</c:v>
                </c:pt>
                <c:pt idx="28">
                  <c:v>6.4541604530753069E-2</c:v>
                </c:pt>
                <c:pt idx="29">
                  <c:v>6.1086272150196637E-2</c:v>
                </c:pt>
                <c:pt idx="30">
                  <c:v>6.1055416224026791E-2</c:v>
                </c:pt>
                <c:pt idx="31">
                  <c:v>5.9839715643654513E-2</c:v>
                </c:pt>
                <c:pt idx="32">
                  <c:v>5.8521465346407064E-2</c:v>
                </c:pt>
                <c:pt idx="33">
                  <c:v>5.708426621334619E-2</c:v>
                </c:pt>
                <c:pt idx="34">
                  <c:v>5.5507686563201583E-2</c:v>
                </c:pt>
                <c:pt idx="35">
                  <c:v>5.3765867093005897E-2</c:v>
                </c:pt>
                <c:pt idx="36">
                  <c:v>5.3730665726754244E-2</c:v>
                </c:pt>
                <c:pt idx="37">
                  <c:v>5.2914124976195992E-2</c:v>
                </c:pt>
                <c:pt idx="38">
                  <c:v>5.2037529307901023E-2</c:v>
                </c:pt>
                <c:pt idx="39">
                  <c:v>5.1093061949957122E-2</c:v>
                </c:pt>
                <c:pt idx="40">
                  <c:v>5.0071398976448606E-2</c:v>
                </c:pt>
                <c:pt idx="41">
                  <c:v>4.8961313107354694E-2</c:v>
                </c:pt>
                <c:pt idx="42">
                  <c:v>4.8921348350677775E-2</c:v>
                </c:pt>
                <c:pt idx="43">
                  <c:v>4.8239147205330374E-2</c:v>
                </c:pt>
                <c:pt idx="44">
                  <c:v>4.75079931335761E-2</c:v>
                </c:pt>
                <c:pt idx="45">
                  <c:v>4.6721877114203732E-2</c:v>
                </c:pt>
                <c:pt idx="46">
                  <c:v>4.587371620587128E-2</c:v>
                </c:pt>
                <c:pt idx="47">
                  <c:v>4.495509517851623E-2</c:v>
                </c:pt>
                <c:pt idx="48">
                  <c:v>4.4908033540325916E-2</c:v>
                </c:pt>
                <c:pt idx="49">
                  <c:v>4.3995008967718838E-2</c:v>
                </c:pt>
                <c:pt idx="50">
                  <c:v>4.2987605878743368E-2</c:v>
                </c:pt>
                <c:pt idx="51">
                  <c:v>4.1869101099136052E-2</c:v>
                </c:pt>
                <c:pt idx="52">
                  <c:v>4.061839807496654E-2</c:v>
                </c:pt>
                <c:pt idx="53">
                  <c:v>3.9208457297891644E-2</c:v>
                </c:pt>
                <c:pt idx="54">
                  <c:v>3.9138577932565075E-2</c:v>
                </c:pt>
                <c:pt idx="55">
                  <c:v>3.8700639885414126E-2</c:v>
                </c:pt>
                <c:pt idx="56">
                  <c:v>3.8248902096289603E-2</c:v>
                </c:pt>
                <c:pt idx="57">
                  <c:v>3.7782640648768906E-2</c:v>
                </c:pt>
                <c:pt idx="58">
                  <c:v>3.730107786930055E-2</c:v>
                </c:pt>
                <c:pt idx="59">
                  <c:v>3.6803377113636897E-2</c:v>
                </c:pt>
                <c:pt idx="60">
                  <c:v>3.6707114502916818E-2</c:v>
                </c:pt>
                <c:pt idx="61">
                  <c:v>3.6332090686497252E-2</c:v>
                </c:pt>
                <c:pt idx="62">
                  <c:v>3.5949946546596896E-2</c:v>
                </c:pt>
                <c:pt idx="63">
                  <c:v>3.5560452289419966E-2</c:v>
                </c:pt>
                <c:pt idx="64">
                  <c:v>3.5163367573450087E-2</c:v>
                </c:pt>
                <c:pt idx="65">
                  <c:v>3.4758440877693947E-2</c:v>
                </c:pt>
                <c:pt idx="66">
                  <c:v>3.4626564069574095E-2</c:v>
                </c:pt>
                <c:pt idx="67">
                  <c:v>3.4234002433908131E-2</c:v>
                </c:pt>
                <c:pt idx="68">
                  <c:v>3.3836287095768913E-2</c:v>
                </c:pt>
                <c:pt idx="69">
                  <c:v>3.3433297535855326E-2</c:v>
                </c:pt>
                <c:pt idx="70">
                  <c:v>3.3024909156120615E-2</c:v>
                </c:pt>
                <c:pt idx="71">
                  <c:v>3.2610993098190266E-2</c:v>
                </c:pt>
                <c:pt idx="72">
                  <c:v>3.2427097276084366E-2</c:v>
                </c:pt>
                <c:pt idx="73">
                  <c:v>3.1966469343270437E-2</c:v>
                </c:pt>
                <c:pt idx="74">
                  <c:v>3.1501826597655436E-2</c:v>
                </c:pt>
                <c:pt idx="75">
                  <c:v>3.1033099833757447E-2</c:v>
                </c:pt>
                <c:pt idx="76">
                  <c:v>3.056021805402042E-2</c:v>
                </c:pt>
                <c:pt idx="77">
                  <c:v>3.008310840662021E-2</c:v>
                </c:pt>
                <c:pt idx="78">
                  <c:v>2.9816876705514118E-2</c:v>
                </c:pt>
                <c:pt idx="79">
                  <c:v>2.9212352629059028E-2</c:v>
                </c:pt>
                <c:pt idx="80">
                  <c:v>2.8605242181540261E-2</c:v>
                </c:pt>
                <c:pt idx="81">
                  <c:v>2.7995514853998881E-2</c:v>
                </c:pt>
                <c:pt idx="82">
                  <c:v>2.7383139545361191E-2</c:v>
                </c:pt>
                <c:pt idx="83">
                  <c:v>2.6768084546365017E-2</c:v>
                </c:pt>
                <c:pt idx="84">
                  <c:v>2.6364886215480627E-2</c:v>
                </c:pt>
                <c:pt idx="85">
                  <c:v>2.5434984868880014E-2</c:v>
                </c:pt>
                <c:pt idx="86">
                  <c:v>2.4507406010772174E-2</c:v>
                </c:pt>
                <c:pt idx="87">
                  <c:v>2.3582160235040658E-2</c:v>
                </c:pt>
                <c:pt idx="88">
                  <c:v>2.2659258260566858E-2</c:v>
                </c:pt>
                <c:pt idx="89">
                  <c:v>2.1738710933608227E-2</c:v>
                </c:pt>
                <c:pt idx="90">
                  <c:v>2.1081720637751187E-2</c:v>
                </c:pt>
                <c:pt idx="91">
                  <c:v>1.9248217002343117E-2</c:v>
                </c:pt>
                <c:pt idx="92">
                  <c:v>1.7451015965716965E-2</c:v>
                </c:pt>
                <c:pt idx="93">
                  <c:v>1.5689664210108641E-2</c:v>
                </c:pt>
                <c:pt idx="94">
                  <c:v>1.3963710715934254E-2</c:v>
                </c:pt>
                <c:pt idx="95">
                  <c:v>1.2272706767361962E-2</c:v>
                </c:pt>
                <c:pt idx="96">
                  <c:v>1.110536715321288E-2</c:v>
                </c:pt>
                <c:pt idx="97">
                  <c:v>5.3087155794068544E-3</c:v>
                </c:pt>
                <c:pt idx="98">
                  <c:v>1.4762624365700569E-4</c:v>
                </c:pt>
                <c:pt idx="99">
                  <c:v>-4.4421755878398233E-3</c:v>
                </c:pt>
                <c:pt idx="100">
                  <c:v>-8.5190223116749422E-3</c:v>
                </c:pt>
                <c:pt idx="101">
                  <c:v>-1.2135800785290791E-2</c:v>
                </c:pt>
                <c:pt idx="102">
                  <c:v>-1.5340412074520334E-2</c:v>
                </c:pt>
                <c:pt idx="103">
                  <c:v>-1.8176196572737911E-2</c:v>
                </c:pt>
                <c:pt idx="104">
                  <c:v>-2.0682326778149206E-2</c:v>
                </c:pt>
                <c:pt idx="105">
                  <c:v>-2.2894169886446609E-2</c:v>
                </c:pt>
                <c:pt idx="106">
                  <c:v>-2.4843622232810607E-2</c:v>
                </c:pt>
                <c:pt idx="107">
                  <c:v>-2.6559417499823705E-2</c:v>
                </c:pt>
                <c:pt idx="108">
                  <c:v>-2.8067410496081739E-2</c:v>
                </c:pt>
                <c:pt idx="109">
                  <c:v>-3.8021197270750741E-2</c:v>
                </c:pt>
              </c:numCache>
            </c:numRef>
          </c:xVal>
          <c:yVal>
            <c:numRef>
              <c:f>'Down-Auswert'!$G$5:$G$114</c:f>
              <c:numCache>
                <c:formatCode>General</c:formatCode>
                <c:ptCount val="110"/>
                <c:pt idx="0">
                  <c:v>2</c:v>
                </c:pt>
                <c:pt idx="1">
                  <c:v>1.8620437666761234</c:v>
                </c:pt>
                <c:pt idx="2">
                  <c:v>1.7411859583464393</c:v>
                </c:pt>
                <c:pt idx="3">
                  <c:v>1.6354265816357214</c:v>
                </c:pt>
                <c:pt idx="4">
                  <c:v>1.5429838572310519</c:v>
                </c:pt>
                <c:pt idx="5">
                  <c:v>1.4622725953237117</c:v>
                </c:pt>
                <c:pt idx="6">
                  <c:v>1.4616059968409476</c:v>
                </c:pt>
                <c:pt idx="7">
                  <c:v>1.3226503340259448</c:v>
                </c:pt>
                <c:pt idx="8">
                  <c:v>1.201196899413703</c:v>
                </c:pt>
                <c:pt idx="9">
                  <c:v>1.0961751967187214</c:v>
                </c:pt>
                <c:pt idx="10">
                  <c:v>1.006280829205346</c:v>
                </c:pt>
                <c:pt idx="11">
                  <c:v>0.93012741271816513</c:v>
                </c:pt>
                <c:pt idx="12">
                  <c:v>0.93001918678854134</c:v>
                </c:pt>
                <c:pt idx="13">
                  <c:v>0.88442474728771359</c:v>
                </c:pt>
                <c:pt idx="14">
                  <c:v>0.83570812630722879</c:v>
                </c:pt>
                <c:pt idx="15">
                  <c:v>0.78304233720895833</c:v>
                </c:pt>
                <c:pt idx="16">
                  <c:v>0.72516987713149195</c:v>
                </c:pt>
                <c:pt idx="17">
                  <c:v>0.66008932461617897</c:v>
                </c:pt>
                <c:pt idx="18">
                  <c:v>0.66000334397619942</c:v>
                </c:pt>
                <c:pt idx="19">
                  <c:v>0.6396439948523539</c:v>
                </c:pt>
                <c:pt idx="20">
                  <c:v>0.61499256812831571</c:v>
                </c:pt>
                <c:pt idx="21">
                  <c:v>0.58431306732801991</c:v>
                </c:pt>
                <c:pt idx="22">
                  <c:v>0.54471299307162646</c:v>
                </c:pt>
                <c:pt idx="23">
                  <c:v>0.49093062464601023</c:v>
                </c:pt>
                <c:pt idx="24">
                  <c:v>0.49075210526579482</c:v>
                </c:pt>
                <c:pt idx="25">
                  <c:v>0.47499171335269352</c:v>
                </c:pt>
                <c:pt idx="26">
                  <c:v>0.4561609340668823</c:v>
                </c:pt>
                <c:pt idx="27">
                  <c:v>0.43327299320536711</c:v>
                </c:pt>
                <c:pt idx="28">
                  <c:v>0.40486992851905057</c:v>
                </c:pt>
                <c:pt idx="29">
                  <c:v>0.36870434438802224</c:v>
                </c:pt>
                <c:pt idx="30">
                  <c:v>0.36836040959449856</c:v>
                </c:pt>
                <c:pt idx="31">
                  <c:v>0.35438270131726196</c:v>
                </c:pt>
                <c:pt idx="32">
                  <c:v>0.33825051423127062</c:v>
                </c:pt>
                <c:pt idx="33">
                  <c:v>0.31945396146273569</c:v>
                </c:pt>
                <c:pt idx="34">
                  <c:v>0.29731396689352185</c:v>
                </c:pt>
                <c:pt idx="35">
                  <c:v>0.27090734905059011</c:v>
                </c:pt>
                <c:pt idx="36">
                  <c:v>0.27035186996590804</c:v>
                </c:pt>
                <c:pt idx="37">
                  <c:v>0.25714679168466348</c:v>
                </c:pt>
                <c:pt idx="38">
                  <c:v>0.24226903604477493</c:v>
                </c:pt>
                <c:pt idx="39">
                  <c:v>0.22540513361184522</c:v>
                </c:pt>
                <c:pt idx="40">
                  <c:v>0.20616166973204486</c:v>
                </c:pt>
                <c:pt idx="41">
                  <c:v>0.18403883794145151</c:v>
                </c:pt>
                <c:pt idx="42">
                  <c:v>0.18321833372345592</c:v>
                </c:pt>
                <c:pt idx="43">
                  <c:v>0.16889161215934442</c:v>
                </c:pt>
                <c:pt idx="44">
                  <c:v>0.15284849289904154</c:v>
                </c:pt>
                <c:pt idx="45">
                  <c:v>0.13478994727902566</c:v>
                </c:pt>
                <c:pt idx="46">
                  <c:v>0.11434692233598874</c:v>
                </c:pt>
                <c:pt idx="47">
                  <c:v>9.1059294252272799E-2</c:v>
                </c:pt>
                <c:pt idx="48">
                  <c:v>8.9833694127444172E-2</c:v>
                </c:pt>
                <c:pt idx="49">
                  <c:v>6.5318298750246737E-2</c:v>
                </c:pt>
                <c:pt idx="50">
                  <c:v>3.6604833540627359E-2</c:v>
                </c:pt>
                <c:pt idx="51">
                  <c:v>2.6351755261725396E-3</c:v>
                </c:pt>
                <c:pt idx="52">
                  <c:v>-3.8013620171863036E-2</c:v>
                </c:pt>
                <c:pt idx="53">
                  <c:v>-8.7294324455774633E-2</c:v>
                </c:pt>
                <c:pt idx="54">
                  <c:v>-8.9833694126438851E-2</c:v>
                </c:pt>
                <c:pt idx="55">
                  <c:v>-0.10593297621034133</c:v>
                </c:pt>
                <c:pt idx="56">
                  <c:v>-0.12286816113522439</c:v>
                </c:pt>
                <c:pt idx="57">
                  <c:v>-0.14070067537947023</c:v>
                </c:pt>
                <c:pt idx="58">
                  <c:v>-0.15949783926447536</c:v>
                </c:pt>
                <c:pt idx="59">
                  <c:v>-0.17933357052113019</c:v>
                </c:pt>
                <c:pt idx="60">
                  <c:v>-0.18321833372342641</c:v>
                </c:pt>
                <c:pt idx="61">
                  <c:v>-0.19847986787349678</c:v>
                </c:pt>
                <c:pt idx="62">
                  <c:v>-0.21423068279328372</c:v>
                </c:pt>
                <c:pt idx="63">
                  <c:v>-0.23049308791037193</c:v>
                </c:pt>
                <c:pt idx="64">
                  <c:v>-0.24729071988769602</c:v>
                </c:pt>
                <c:pt idx="65">
                  <c:v>-0.2646486405230255</c:v>
                </c:pt>
                <c:pt idx="66">
                  <c:v>-0.27035186996586758</c:v>
                </c:pt>
                <c:pt idx="67">
                  <c:v>-0.28745016794846912</c:v>
                </c:pt>
                <c:pt idx="68">
                  <c:v>-0.3049462386094014</c:v>
                </c:pt>
                <c:pt idx="69">
                  <c:v>-0.32285347471989978</c:v>
                </c:pt>
                <c:pt idx="70">
                  <c:v>-0.34118586219280106</c:v>
                </c:pt>
                <c:pt idx="71">
                  <c:v>-0.35995801278084277</c:v>
                </c:pt>
                <c:pt idx="72">
                  <c:v>-0.36836040959446409</c:v>
                </c:pt>
                <c:pt idx="73">
                  <c:v>-0.38954294105617238</c:v>
                </c:pt>
                <c:pt idx="74">
                  <c:v>-0.41108898901980684</c:v>
                </c:pt>
                <c:pt idx="75">
                  <c:v>-0.43300792658788362</c:v>
                </c:pt>
                <c:pt idx="76">
                  <c:v>-0.45530945074810331</c:v>
                </c:pt>
                <c:pt idx="77">
                  <c:v>-0.47800359645463403</c:v>
                </c:pt>
                <c:pt idx="78">
                  <c:v>-0.49075210650335316</c:v>
                </c:pt>
                <c:pt idx="79">
                  <c:v>-0.51987641157546294</c:v>
                </c:pt>
                <c:pt idx="80">
                  <c:v>-0.54934275620558726</c:v>
                </c:pt>
                <c:pt idx="81">
                  <c:v>-0.57915775437089356</c:v>
                </c:pt>
                <c:pt idx="82">
                  <c:v>-0.60932819891252632</c:v>
                </c:pt>
                <c:pt idx="83">
                  <c:v>-0.63986106777211527</c:v>
                </c:pt>
                <c:pt idx="84">
                  <c:v>-0.6600033439761932</c:v>
                </c:pt>
                <c:pt idx="85">
                  <c:v>-0.70673774467009898</c:v>
                </c:pt>
                <c:pt idx="86">
                  <c:v>-0.75368542412394679</c:v>
                </c:pt>
                <c:pt idx="87">
                  <c:v>-0.80084888155731515</c:v>
                </c:pt>
                <c:pt idx="88">
                  <c:v>-0.84823066359744104</c:v>
                </c:pt>
                <c:pt idx="89">
                  <c:v>-0.89583336552734549</c:v>
                </c:pt>
                <c:pt idx="90">
                  <c:v>-0.93001918678854323</c:v>
                </c:pt>
                <c:pt idx="91">
                  <c:v>-1.0260283596765771</c:v>
                </c:pt>
                <c:pt idx="92">
                  <c:v>-1.1208435444690741</c:v>
                </c:pt>
                <c:pt idx="93">
                  <c:v>-1.214470759464513</c:v>
                </c:pt>
                <c:pt idx="94">
                  <c:v>-1.3069160377419182</c:v>
                </c:pt>
                <c:pt idx="95">
                  <c:v>-1.3981854273114467</c:v>
                </c:pt>
                <c:pt idx="96">
                  <c:v>-1.461605996840929</c:v>
                </c:pt>
                <c:pt idx="97">
                  <c:v>-1.7789431906899964</c:v>
                </c:pt>
                <c:pt idx="98">
                  <c:v>-2.0643393022949534</c:v>
                </c:pt>
                <c:pt idx="99">
                  <c:v>-2.3207332339431965</c:v>
                </c:pt>
                <c:pt idx="100">
                  <c:v>-2.5508193784167714</c:v>
                </c:pt>
                <c:pt idx="101">
                  <c:v>-2.757065764274552</c:v>
                </c:pt>
                <c:pt idx="102">
                  <c:v>-2.9417310208689211</c:v>
                </c:pt>
                <c:pt idx="103">
                  <c:v>-3.1068802288327175</c:v>
                </c:pt>
                <c:pt idx="104">
                  <c:v>-3.2543997187378144</c:v>
                </c:pt>
                <c:pt idx="105">
                  <c:v>-3.3860108777033582</c:v>
                </c:pt>
                <c:pt idx="106">
                  <c:v>-3.5032830209155228</c:v>
                </c:pt>
                <c:pt idx="107">
                  <c:v>-3.6076453823090135</c:v>
                </c:pt>
                <c:pt idx="108">
                  <c:v>-3.7003982760515446</c:v>
                </c:pt>
                <c:pt idx="109">
                  <c:v>-4.3694258988187009</c:v>
                </c:pt>
              </c:numCache>
            </c:numRef>
          </c:yVal>
        </c:ser>
        <c:ser>
          <c:idx val="2"/>
          <c:order val="2"/>
          <c:tx>
            <c:v>Vmax</c:v>
          </c:tx>
          <c:marker>
            <c:symbol val="none"/>
          </c:marker>
          <c:xVal>
            <c:numRef>
              <c:f>'Down-Auswert'!$I$5:$I$114</c:f>
              <c:numCache>
                <c:formatCode>General</c:formatCode>
                <c:ptCount val="110"/>
                <c:pt idx="0">
                  <c:v>2</c:v>
                </c:pt>
                <c:pt idx="1">
                  <c:v>1.6675509814966889</c:v>
                </c:pt>
                <c:pt idx="2">
                  <c:v>1.3953392726099518</c:v>
                </c:pt>
                <c:pt idx="3">
                  <c:v>1.1726748111181637</c:v>
                </c:pt>
                <c:pt idx="4">
                  <c:v>0.99074652780370065</c:v>
                </c:pt>
                <c:pt idx="5">
                  <c:v>0.8422913800753451</c:v>
                </c:pt>
                <c:pt idx="6">
                  <c:v>0.84169001691482959</c:v>
                </c:pt>
                <c:pt idx="7">
                  <c:v>0.65590010962592737</c:v>
                </c:pt>
                <c:pt idx="8">
                  <c:v>0.5102722060477789</c:v>
                </c:pt>
                <c:pt idx="9">
                  <c:v>0.39591961682736326</c:v>
                </c:pt>
                <c:pt idx="10">
                  <c:v>0.30635303143606663</c:v>
                </c:pt>
                <c:pt idx="11">
                  <c:v>0.23678559045955772</c:v>
                </c:pt>
                <c:pt idx="12">
                  <c:v>0.23672546013712714</c:v>
                </c:pt>
                <c:pt idx="13">
                  <c:v>0.21702144333561407</c:v>
                </c:pt>
                <c:pt idx="14">
                  <c:v>0.19681416442569133</c:v>
                </c:pt>
                <c:pt idx="15">
                  <c:v>0.17583343957199496</c:v>
                </c:pt>
                <c:pt idx="16">
                  <c:v>0.15371615235126113</c:v>
                </c:pt>
                <c:pt idx="17">
                  <c:v>0.12993134956675351</c:v>
                </c:pt>
                <c:pt idx="18">
                  <c:v>0.12989269995541924</c:v>
                </c:pt>
                <c:pt idx="19">
                  <c:v>0.12487611477993604</c:v>
                </c:pt>
                <c:pt idx="20">
                  <c:v>0.11936961636006437</c:v>
                </c:pt>
                <c:pt idx="21">
                  <c:v>0.11326348446904466</c:v>
                </c:pt>
                <c:pt idx="22">
                  <c:v>0.1064078495088672</c:v>
                </c:pt>
                <c:pt idx="23">
                  <c:v>9.859049169334877E-2</c:v>
                </c:pt>
                <c:pt idx="24">
                  <c:v>9.8549461757120815E-2</c:v>
                </c:pt>
                <c:pt idx="25">
                  <c:v>9.6158769755583143E-2</c:v>
                </c:pt>
                <c:pt idx="26">
                  <c:v>9.3558780286579657E-2</c:v>
                </c:pt>
                <c:pt idx="27">
                  <c:v>9.0715105896982673E-2</c:v>
                </c:pt>
                <c:pt idx="28">
                  <c:v>8.7584743771147416E-2</c:v>
                </c:pt>
                <c:pt idx="29">
                  <c:v>8.4113050558092317E-2</c:v>
                </c:pt>
                <c:pt idx="30">
                  <c:v>8.4068538622578015E-2</c:v>
                </c:pt>
                <c:pt idx="31">
                  <c:v>8.2598588953604932E-2</c:v>
                </c:pt>
                <c:pt idx="32">
                  <c:v>8.1021005747511768E-2</c:v>
                </c:pt>
                <c:pt idx="33">
                  <c:v>7.9322097721575072E-2</c:v>
                </c:pt>
                <c:pt idx="34">
                  <c:v>7.7485622904650567E-2</c:v>
                </c:pt>
                <c:pt idx="35">
                  <c:v>7.5492145761867982E-2</c:v>
                </c:pt>
                <c:pt idx="36">
                  <c:v>7.544457585246131E-2</c:v>
                </c:pt>
                <c:pt idx="37">
                  <c:v>7.4379587787976736E-2</c:v>
                </c:pt>
                <c:pt idx="38">
                  <c:v>7.3246774560703734E-2</c:v>
                </c:pt>
                <c:pt idx="39">
                  <c:v>7.203891902231345E-2</c:v>
                </c:pt>
                <c:pt idx="40">
                  <c:v>7.0747703744178644E-2</c:v>
                </c:pt>
                <c:pt idx="41">
                  <c:v>6.9363488178337457E-2</c:v>
                </c:pt>
                <c:pt idx="42">
                  <c:v>6.9312157332080515E-2</c:v>
                </c:pt>
                <c:pt idx="43">
                  <c:v>6.837315969195934E-2</c:v>
                </c:pt>
                <c:pt idx="44">
                  <c:v>6.7374928293328293E-2</c:v>
                </c:pt>
                <c:pt idx="45">
                  <c:v>6.6311340943622482E-2</c:v>
                </c:pt>
                <c:pt idx="46">
                  <c:v>6.5175377585265412E-2</c:v>
                </c:pt>
                <c:pt idx="47">
                  <c:v>6.3958946549298956E-2</c:v>
                </c:pt>
                <c:pt idx="48">
                  <c:v>6.3900942808464964E-2</c:v>
                </c:pt>
                <c:pt idx="49">
                  <c:v>6.2569552489771474E-2</c:v>
                </c:pt>
                <c:pt idx="50">
                  <c:v>6.1112964649747643E-2</c:v>
                </c:pt>
                <c:pt idx="51">
                  <c:v>5.9511756268027377E-2</c:v>
                </c:pt>
                <c:pt idx="52">
                  <c:v>5.7742166527313836E-2</c:v>
                </c:pt>
                <c:pt idx="53">
                  <c:v>5.5774795029840805E-2</c:v>
                </c:pt>
                <c:pt idx="54">
                  <c:v>5.5692719005261904E-2</c:v>
                </c:pt>
                <c:pt idx="55">
                  <c:v>5.5041130497132329E-2</c:v>
                </c:pt>
                <c:pt idx="56">
                  <c:v>5.4369888417711905E-2</c:v>
                </c:pt>
                <c:pt idx="57">
                  <c:v>5.3678041305844471E-2</c:v>
                </c:pt>
                <c:pt idx="58">
                  <c:v>5.2964573673847652E-2</c:v>
                </c:pt>
                <c:pt idx="59">
                  <c:v>5.2228400445602945E-2</c:v>
                </c:pt>
                <c:pt idx="60">
                  <c:v>5.2117304077807521E-2</c:v>
                </c:pt>
                <c:pt idx="61">
                  <c:v>5.1550823219477529E-2</c:v>
                </c:pt>
                <c:pt idx="62">
                  <c:v>5.0973566749843435E-2</c:v>
                </c:pt>
                <c:pt idx="63">
                  <c:v>5.0385202289804462E-2</c:v>
                </c:pt>
                <c:pt idx="64">
                  <c:v>4.9785383190851996E-2</c:v>
                </c:pt>
                <c:pt idx="65">
                  <c:v>4.9173747745899006E-2</c:v>
                </c:pt>
                <c:pt idx="66">
                  <c:v>4.9023004101482352E-2</c:v>
                </c:pt>
                <c:pt idx="67">
                  <c:v>4.8422849804836403E-2</c:v>
                </c:pt>
                <c:pt idx="68">
                  <c:v>4.7814314810033641E-2</c:v>
                </c:pt>
                <c:pt idx="69">
                  <c:v>4.7197204634417476E-2</c:v>
                </c:pt>
                <c:pt idx="70">
                  <c:v>4.6571318454122171E-2</c:v>
                </c:pt>
                <c:pt idx="71">
                  <c:v>4.5936448836594743E-2</c:v>
                </c:pt>
                <c:pt idx="72">
                  <c:v>4.5726929467835013E-2</c:v>
                </c:pt>
                <c:pt idx="73">
                  <c:v>4.5015645359512982E-2</c:v>
                </c:pt>
                <c:pt idx="74">
                  <c:v>4.4297000301990234E-2</c:v>
                </c:pt>
                <c:pt idx="75">
                  <c:v>4.3570861272596281E-2</c:v>
                </c:pt>
                <c:pt idx="76">
                  <c:v>4.283709180322634E-2</c:v>
                </c:pt>
                <c:pt idx="77">
                  <c:v>4.2095551863698066E-2</c:v>
                </c:pt>
                <c:pt idx="78">
                  <c:v>4.179127051003189E-2</c:v>
                </c:pt>
                <c:pt idx="79">
                  <c:v>4.0851188698388302E-2</c:v>
                </c:pt>
                <c:pt idx="80">
                  <c:v>3.9904474803056457E-2</c:v>
                </c:pt>
                <c:pt idx="81">
                  <c:v>3.8951036976062683E-2</c:v>
                </c:pt>
                <c:pt idx="82">
                  <c:v>3.7990781466316549E-2</c:v>
                </c:pt>
                <c:pt idx="83">
                  <c:v>3.7023612566911418E-2</c:v>
                </c:pt>
                <c:pt idx="84">
                  <c:v>3.6557460264059517E-2</c:v>
                </c:pt>
                <c:pt idx="85">
                  <c:v>3.5110256434386027E-2</c:v>
                </c:pt>
                <c:pt idx="86">
                  <c:v>3.3659152507704966E-2</c:v>
                </c:pt>
                <c:pt idx="87">
                  <c:v>3.2204113329858348E-2</c:v>
                </c:pt>
                <c:pt idx="88">
                  <c:v>3.0745103206697003E-2</c:v>
                </c:pt>
                <c:pt idx="89">
                  <c:v>2.9282085892294984E-2</c:v>
                </c:pt>
                <c:pt idx="90">
                  <c:v>2.8501803239423966E-2</c:v>
                </c:pt>
                <c:pt idx="91">
                  <c:v>2.5697672825100937E-2</c:v>
                </c:pt>
                <c:pt idx="92">
                  <c:v>2.291299501320512E-2</c:v>
                </c:pt>
                <c:pt idx="93">
                  <c:v>2.0147755619021358E-2</c:v>
                </c:pt>
                <c:pt idx="94">
                  <c:v>1.7401940383121955E-2</c:v>
                </c:pt>
                <c:pt idx="95">
                  <c:v>1.4675534970437689E-2</c:v>
                </c:pt>
                <c:pt idx="96">
                  <c:v>1.3185040976730384E-2</c:v>
                </c:pt>
                <c:pt idx="97">
                  <c:v>1.4347909883219902E-3</c:v>
                </c:pt>
                <c:pt idx="98">
                  <c:v>-9.5115168463213856E-3</c:v>
                </c:pt>
                <c:pt idx="99">
                  <c:v>-1.9701546375428217E-2</c:v>
                </c:pt>
                <c:pt idx="100">
                  <c:v>-2.9180579393809997E-2</c:v>
                </c:pt>
                <c:pt idx="101">
                  <c:v>-3.7991612070277125E-2</c:v>
                </c:pt>
                <c:pt idx="102">
                  <c:v>-4.6175448405094806E-2</c:v>
                </c:pt>
                <c:pt idx="103">
                  <c:v>-5.3770790779634307E-2</c:v>
                </c:pt>
                <c:pt idx="104">
                  <c:v>-6.0814327659755939E-2</c:v>
                </c:pt>
                <c:pt idx="105">
                  <c:v>-6.73408185137436E-2</c:v>
                </c:pt>
                <c:pt idx="106">
                  <c:v>-7.3383176004936684E-2</c:v>
                </c:pt>
                <c:pt idx="107">
                  <c:v>-7.8972545518542214E-2</c:v>
                </c:pt>
                <c:pt idx="108">
                  <c:v>-8.4138382081416774E-2</c:v>
                </c:pt>
                <c:pt idx="109">
                  <c:v>-0.1386760620712105</c:v>
                </c:pt>
              </c:numCache>
            </c:numRef>
          </c:xVal>
          <c:yVal>
            <c:numRef>
              <c:f>'Down-Auswert'!$J$5:$J$114</c:f>
              <c:numCache>
                <c:formatCode>General</c:formatCode>
                <c:ptCount val="110"/>
                <c:pt idx="0">
                  <c:v>2</c:v>
                </c:pt>
                <c:pt idx="1">
                  <c:v>1.8598545888468172</c:v>
                </c:pt>
                <c:pt idx="2">
                  <c:v>1.7379039866007324</c:v>
                </c:pt>
                <c:pt idx="3">
                  <c:v>1.6321437774016383</c:v>
                </c:pt>
                <c:pt idx="4">
                  <c:v>1.5407196980445754</c:v>
                </c:pt>
                <c:pt idx="5">
                  <c:v>1.4619340810125196</c:v>
                </c:pt>
                <c:pt idx="6">
                  <c:v>1.4616059968409481</c:v>
                </c:pt>
                <c:pt idx="7">
                  <c:v>1.3480755622924769</c:v>
                </c:pt>
                <c:pt idx="8">
                  <c:v>1.2374055370854704</c:v>
                </c:pt>
                <c:pt idx="9">
                  <c:v>1.1306294039088651</c:v>
                </c:pt>
                <c:pt idx="10">
                  <c:v>1.0281680300134821</c:v>
                </c:pt>
                <c:pt idx="11">
                  <c:v>0.93011394550379167</c:v>
                </c:pt>
                <c:pt idx="12">
                  <c:v>0.93001918678854045</c:v>
                </c:pt>
                <c:pt idx="13">
                  <c:v>0.89658444085686018</c:v>
                </c:pt>
                <c:pt idx="14">
                  <c:v>0.85660957151996986</c:v>
                </c:pt>
                <c:pt idx="15">
                  <c:v>0.80746570212942559</c:v>
                </c:pt>
                <c:pt idx="16">
                  <c:v>0.7447211686100903</c:v>
                </c:pt>
                <c:pt idx="17">
                  <c:v>0.66015938567539023</c:v>
                </c:pt>
                <c:pt idx="18">
                  <c:v>0.66000390632805828</c:v>
                </c:pt>
                <c:pt idx="19">
                  <c:v>0.63887086810432059</c:v>
                </c:pt>
                <c:pt idx="20">
                  <c:v>0.61335869148417077</c:v>
                </c:pt>
                <c:pt idx="21">
                  <c:v>0.58196116899673056</c:v>
                </c:pt>
                <c:pt idx="22">
                  <c:v>0.54239704335363603</c:v>
                </c:pt>
                <c:pt idx="23">
                  <c:v>0.49104065828764104</c:v>
                </c:pt>
                <c:pt idx="24">
                  <c:v>0.49075210650337203</c:v>
                </c:pt>
                <c:pt idx="25">
                  <c:v>0.47340855954860311</c:v>
                </c:pt>
                <c:pt idx="26">
                  <c:v>0.45332396551591353</c:v>
                </c:pt>
                <c:pt idx="27">
                  <c:v>0.42983758120085014</c:v>
                </c:pt>
                <c:pt idx="28">
                  <c:v>0.40206616784840932</c:v>
                </c:pt>
                <c:pt idx="29">
                  <c:v>0.36880423716986799</c:v>
                </c:pt>
                <c:pt idx="30">
                  <c:v>0.36836040959449956</c:v>
                </c:pt>
                <c:pt idx="31">
                  <c:v>0.35335930300747659</c:v>
                </c:pt>
                <c:pt idx="32">
                  <c:v>0.33649967952210669</c:v>
                </c:pt>
                <c:pt idx="33">
                  <c:v>0.31744451614757313</c:v>
                </c:pt>
                <c:pt idx="34">
                  <c:v>0.29577424118167561</c:v>
                </c:pt>
                <c:pt idx="35">
                  <c:v>0.27096066997539436</c:v>
                </c:pt>
                <c:pt idx="36">
                  <c:v>0.27035186996590732</c:v>
                </c:pt>
                <c:pt idx="37">
                  <c:v>0.25645893470232312</c:v>
                </c:pt>
                <c:pt idx="38">
                  <c:v>0.24111793698221046</c:v>
                </c:pt>
                <c:pt idx="39">
                  <c:v>0.22411276444797776</c:v>
                </c:pt>
                <c:pt idx="40">
                  <c:v>0.20518450097406199</c:v>
                </c:pt>
                <c:pt idx="41">
                  <c:v>0.18402067425389196</c:v>
                </c:pt>
                <c:pt idx="42">
                  <c:v>0.18321833372345647</c:v>
                </c:pt>
                <c:pt idx="43">
                  <c:v>0.16827018270114741</c:v>
                </c:pt>
                <c:pt idx="44">
                  <c:v>0.15180662769581699</c:v>
                </c:pt>
                <c:pt idx="45">
                  <c:v>0.13360983000999846</c:v>
                </c:pt>
                <c:pt idx="46">
                  <c:v>0.11342067049533189</c:v>
                </c:pt>
                <c:pt idx="47">
                  <c:v>9.092888134378517E-2</c:v>
                </c:pt>
                <c:pt idx="48">
                  <c:v>8.983369412744846E-2</c:v>
                </c:pt>
                <c:pt idx="49">
                  <c:v>6.4037180545178735E-2</c:v>
                </c:pt>
                <c:pt idx="50">
                  <c:v>3.4350957218540798E-2</c:v>
                </c:pt>
                <c:pt idx="51">
                  <c:v>-6.7744970336208743E-5</c:v>
                </c:pt>
                <c:pt idx="52">
                  <c:v>-4.0306532080004467E-2</c:v>
                </c:pt>
                <c:pt idx="53">
                  <c:v>-8.7789383801011686E-2</c:v>
                </c:pt>
                <c:pt idx="54">
                  <c:v>-8.9833694127435609E-2</c:v>
                </c:pt>
                <c:pt idx="55">
                  <c:v>-0.10622258443572474</c:v>
                </c:pt>
                <c:pt idx="56">
                  <c:v>-0.12339778790176721</c:v>
                </c:pt>
                <c:pt idx="57">
                  <c:v>-0.14141173822242864</c:v>
                </c:pt>
                <c:pt idx="58">
                  <c:v>-0.16032138184374195</c:v>
                </c:pt>
                <c:pt idx="59">
                  <c:v>-0.18018865705778894</c:v>
                </c:pt>
                <c:pt idx="60">
                  <c:v>-0.18321833372345564</c:v>
                </c:pt>
                <c:pt idx="61">
                  <c:v>-0.1987755640761287</c:v>
                </c:pt>
                <c:pt idx="62">
                  <c:v>-0.21480983288586766</c:v>
                </c:pt>
                <c:pt idx="63">
                  <c:v>-0.2313414991574908</c:v>
                </c:pt>
                <c:pt idx="64">
                  <c:v>-0.24839204113291014</c:v>
                </c:pt>
                <c:pt idx="65">
                  <c:v>-0.26598413191285331</c:v>
                </c:pt>
                <c:pt idx="66">
                  <c:v>-0.27035186996590643</c:v>
                </c:pt>
                <c:pt idx="67">
                  <c:v>-0.28784435387697593</c:v>
                </c:pt>
                <c:pt idx="68">
                  <c:v>-0.30574086533283973</c:v>
                </c:pt>
                <c:pt idx="69">
                  <c:v>-0.32405451694107423</c:v>
                </c:pt>
                <c:pt idx="70">
                  <c:v>-0.34279897183417302</c:v>
                </c:pt>
                <c:pt idx="71">
                  <c:v>-0.36198847212699548</c:v>
                </c:pt>
                <c:pt idx="72">
                  <c:v>-0.36836040959449889</c:v>
                </c:pt>
                <c:pt idx="73">
                  <c:v>-0.39010667634647</c:v>
                </c:pt>
                <c:pt idx="74">
                  <c:v>-0.41224434626969247</c:v>
                </c:pt>
                <c:pt idx="75">
                  <c:v>-0.43478351785177105</c:v>
                </c:pt>
                <c:pt idx="76">
                  <c:v>-0.45773463012805815</c:v>
                </c:pt>
                <c:pt idx="77">
                  <c:v>-0.48110847690556069</c:v>
                </c:pt>
                <c:pt idx="78">
                  <c:v>-0.49075210650337237</c:v>
                </c:pt>
                <c:pt idx="79">
                  <c:v>-0.52069296911629537</c:v>
                </c:pt>
                <c:pt idx="80">
                  <c:v>-0.55104691056708299</c:v>
                </c:pt>
                <c:pt idx="81">
                  <c:v>-0.58182246085518496</c:v>
                </c:pt>
                <c:pt idx="82">
                  <c:v>-0.61302838536875248</c:v>
                </c:pt>
                <c:pt idx="83">
                  <c:v>-0.64467369303761546</c:v>
                </c:pt>
                <c:pt idx="84">
                  <c:v>-0.66000334397620319</c:v>
                </c:pt>
                <c:pt idx="85">
                  <c:v>-0.7078220658811718</c:v>
                </c:pt>
                <c:pt idx="86">
                  <c:v>-0.75606947100010413</c:v>
                </c:pt>
                <c:pt idx="87">
                  <c:v>-0.80475212691007292</c:v>
                </c:pt>
                <c:pt idx="88">
                  <c:v>-0.85387674405869751</c:v>
                </c:pt>
                <c:pt idx="89">
                  <c:v>-0.90345017980315523</c:v>
                </c:pt>
                <c:pt idx="90">
                  <c:v>-0.93001918678854223</c:v>
                </c:pt>
                <c:pt idx="91">
                  <c:v>-1.0259619168471252</c:v>
                </c:pt>
                <c:pt idx="92">
                  <c:v>-1.1218363138208782</c:v>
                </c:pt>
                <c:pt idx="93">
                  <c:v>-1.2176420006911857</c:v>
                </c:pt>
                <c:pt idx="94">
                  <c:v>-1.3133785959186528</c:v>
                </c:pt>
                <c:pt idx="95">
                  <c:v>-1.4090457133602527</c:v>
                </c:pt>
                <c:pt idx="96">
                  <c:v>-1.4616059968409407</c:v>
                </c:pt>
                <c:pt idx="97">
                  <c:v>-1.8787539143710186</c:v>
                </c:pt>
                <c:pt idx="98">
                  <c:v>-2.2712936868174527</c:v>
                </c:pt>
                <c:pt idx="99">
                  <c:v>-2.6404488052161614</c:v>
                </c:pt>
                <c:pt idx="100">
                  <c:v>-2.987393499482863</c:v>
                </c:pt>
                <c:pt idx="101">
                  <c:v>-3.3132542467598136</c:v>
                </c:pt>
                <c:pt idx="102">
                  <c:v>-3.6191112484058432</c:v>
                </c:pt>
                <c:pt idx="103">
                  <c:v>-3.9059998759672596</c:v>
                </c:pt>
                <c:pt idx="104">
                  <c:v>-4.1749120864681792</c:v>
                </c:pt>
                <c:pt idx="105">
                  <c:v>-4.4267978073576861</c:v>
                </c:pt>
                <c:pt idx="106">
                  <c:v>-4.662566291451439</c:v>
                </c:pt>
                <c:pt idx="107">
                  <c:v>-4.8830874422048662</c:v>
                </c:pt>
                <c:pt idx="108">
                  <c:v>-5.0891931096548859</c:v>
                </c:pt>
                <c:pt idx="109">
                  <c:v>-7.5885115284770368</c:v>
                </c:pt>
              </c:numCache>
            </c:numRef>
          </c:yVal>
        </c:ser>
        <c:ser>
          <c:idx val="3"/>
          <c:order val="3"/>
          <c:tx>
            <c:v>Vmin</c:v>
          </c:tx>
          <c:spPr>
            <a:ln w="19050">
              <a:prstDash val="dash"/>
            </a:ln>
          </c:spPr>
          <c:marker>
            <c:symbol val="none"/>
          </c:marker>
          <c:xVal>
            <c:numRef>
              <c:f>'Down-Auswert'!$L$6:$L$122</c:f>
              <c:numCache>
                <c:formatCode>General</c:formatCode>
                <c:ptCount val="117"/>
                <c:pt idx="0">
                  <c:v>1.6243092448767955</c:v>
                </c:pt>
                <c:pt idx="1">
                  <c:v>1.32632156397018</c:v>
                </c:pt>
                <c:pt idx="2">
                  <c:v>1.0901637042457337</c:v>
                </c:pt>
                <c:pt idx="3">
                  <c:v>0.90323168645213836</c:v>
                </c:pt>
                <c:pt idx="4">
                  <c:v>0.75549993062641518</c:v>
                </c:pt>
                <c:pt idx="5">
                  <c:v>0.75513292451300384</c:v>
                </c:pt>
                <c:pt idx="6">
                  <c:v>0.61753531396275319</c:v>
                </c:pt>
                <c:pt idx="7">
                  <c:v>0.50146092126045705</c:v>
                </c:pt>
                <c:pt idx="8">
                  <c:v>0.40234470118902649</c:v>
                </c:pt>
                <c:pt idx="9">
                  <c:v>0.31693518619616834</c:v>
                </c:pt>
                <c:pt idx="10">
                  <c:v>0.24297461148739496</c:v>
                </c:pt>
                <c:pt idx="11">
                  <c:v>0.24291672898977906</c:v>
                </c:pt>
                <c:pt idx="12">
                  <c:v>0.22836209141931368</c:v>
                </c:pt>
                <c:pt idx="13">
                  <c:v>0.21261803167026574</c:v>
                </c:pt>
                <c:pt idx="14">
                  <c:v>0.1953347730088571</c:v>
                </c:pt>
                <c:pt idx="15">
                  <c:v>0.17600621756464724</c:v>
                </c:pt>
                <c:pt idx="16">
                  <c:v>0.15385360601167802</c:v>
                </c:pt>
                <c:pt idx="17">
                  <c:v>0.153803787625239</c:v>
                </c:pt>
                <c:pt idx="18">
                  <c:v>0.14890891728094477</c:v>
                </c:pt>
                <c:pt idx="19">
                  <c:v>0.14353156095719405</c:v>
                </c:pt>
                <c:pt idx="20">
                  <c:v>0.13757685943958065</c:v>
                </c:pt>
                <c:pt idx="21">
                  <c:v>0.13092092104174508</c:v>
                </c:pt>
                <c:pt idx="22">
                  <c:v>0.12339804878089401</c:v>
                </c:pt>
                <c:pt idx="23">
                  <c:v>0.12334605621339598</c:v>
                </c:pt>
                <c:pt idx="24">
                  <c:v>0.12074412839300859</c:v>
                </c:pt>
                <c:pt idx="25">
                  <c:v>0.11793270954200387</c:v>
                </c:pt>
                <c:pt idx="26">
                  <c:v>0.11488200507944417</c:v>
                </c:pt>
                <c:pt idx="27">
                  <c:v>0.11155596659689722</c:v>
                </c:pt>
                <c:pt idx="28">
                  <c:v>0.10791050098142549</c:v>
                </c:pt>
                <c:pt idx="29">
                  <c:v>0.10785640944012506</c:v>
                </c:pt>
                <c:pt idx="30">
                  <c:v>0.1061729102907206</c:v>
                </c:pt>
                <c:pt idx="31">
                  <c:v>0.10437737406696358</c:v>
                </c:pt>
                <c:pt idx="32">
                  <c:v>0.10245731079447945</c:v>
                </c:pt>
                <c:pt idx="33">
                  <c:v>0.10039823417804952</c:v>
                </c:pt>
                <c:pt idx="34">
                  <c:v>9.8183237090052208E-2</c:v>
                </c:pt>
                <c:pt idx="35">
                  <c:v>9.8127273875937893E-2</c:v>
                </c:pt>
                <c:pt idx="36">
                  <c:v>9.6868345729190855E-2</c:v>
                </c:pt>
                <c:pt idx="37">
                  <c:v>9.553631322880525E-2</c:v>
                </c:pt>
                <c:pt idx="38">
                  <c:v>9.4124263078567069E-2</c:v>
                </c:pt>
                <c:pt idx="39">
                  <c:v>9.2624359622202806E-2</c:v>
                </c:pt>
                <c:pt idx="40">
                  <c:v>9.102768329231252E-2</c:v>
                </c:pt>
                <c:pt idx="41">
                  <c:v>9.0968641949320306E-2</c:v>
                </c:pt>
                <c:pt idx="42">
                  <c:v>8.9830060660554087E-2</c:v>
                </c:pt>
                <c:pt idx="43">
                  <c:v>8.862556369380073E-2</c:v>
                </c:pt>
                <c:pt idx="44">
                  <c:v>8.7349024436510242E-2</c:v>
                </c:pt>
                <c:pt idx="45">
                  <c:v>8.5993518351571749E-2</c:v>
                </c:pt>
                <c:pt idx="46">
                  <c:v>8.4551187188675409E-2</c:v>
                </c:pt>
                <c:pt idx="47">
                  <c:v>8.4485600001045158E-2</c:v>
                </c:pt>
                <c:pt idx="48">
                  <c:v>8.2820198649909027E-2</c:v>
                </c:pt>
                <c:pt idx="49">
                  <c:v>8.1008670937440588E-2</c:v>
                </c:pt>
                <c:pt idx="50">
                  <c:v>7.9030264794818589E-2</c:v>
                </c:pt>
                <c:pt idx="51">
                  <c:v>7.6860040099017896E-2</c:v>
                </c:pt>
                <c:pt idx="52">
                  <c:v>7.4467745295157664E-2</c:v>
                </c:pt>
                <c:pt idx="53">
                  <c:v>7.4377121036423799E-2</c:v>
                </c:pt>
                <c:pt idx="54">
                  <c:v>7.3555436981888114E-2</c:v>
                </c:pt>
                <c:pt idx="55">
                  <c:v>7.2709763799699539E-2</c:v>
                </c:pt>
                <c:pt idx="56">
                  <c:v>7.1838996581017459E-2</c:v>
                </c:pt>
                <c:pt idx="57">
                  <c:v>7.0941960310738877E-2</c:v>
                </c:pt>
                <c:pt idx="58">
                  <c:v>7.0017404158684765E-2</c:v>
                </c:pt>
                <c:pt idx="59">
                  <c:v>6.9896955842417174E-2</c:v>
                </c:pt>
                <c:pt idx="60">
                  <c:v>6.9177581376792599E-2</c:v>
                </c:pt>
                <c:pt idx="61">
                  <c:v>6.8444576317623004E-2</c:v>
                </c:pt>
                <c:pt idx="62">
                  <c:v>6.769753059606054E-2</c:v>
                </c:pt>
                <c:pt idx="63">
                  <c:v>6.6936017147309512E-2</c:v>
                </c:pt>
                <c:pt idx="64">
                  <c:v>6.6159591008760801E-2</c:v>
                </c:pt>
                <c:pt idx="65">
                  <c:v>6.5998204154040674E-2</c:v>
                </c:pt>
                <c:pt idx="66">
                  <c:v>6.5231847065271659E-2</c:v>
                </c:pt>
                <c:pt idx="67">
                  <c:v>6.4454497233877292E-2</c:v>
                </c:pt>
                <c:pt idx="68">
                  <c:v>6.3665900128854133E-2</c:v>
                </c:pt>
                <c:pt idx="69">
                  <c:v>6.2865793047985841E-2</c:v>
                </c:pt>
                <c:pt idx="70">
                  <c:v>6.2053904781098589E-2</c:v>
                </c:pt>
                <c:pt idx="71">
                  <c:v>6.18312158645851E-2</c:v>
                </c:pt>
                <c:pt idx="72">
                  <c:v>6.0918785453880936E-2</c:v>
                </c:pt>
                <c:pt idx="73">
                  <c:v>5.9996213351257967E-2</c:v>
                </c:pt>
                <c:pt idx="74">
                  <c:v>5.9063311654701044E-2</c:v>
                </c:pt>
                <c:pt idx="75">
                  <c:v>5.8119887570146189E-2</c:v>
                </c:pt>
                <c:pt idx="76">
                  <c:v>5.7165743246832296E-2</c:v>
                </c:pt>
                <c:pt idx="77">
                  <c:v>5.684312922564036E-2</c:v>
                </c:pt>
                <c:pt idx="78">
                  <c:v>5.5633132889147729E-2</c:v>
                </c:pt>
                <c:pt idx="79">
                  <c:v>5.4413076223871405E-2</c:v>
                </c:pt>
                <c:pt idx="80">
                  <c:v>5.3182809866917487E-2</c:v>
                </c:pt>
                <c:pt idx="81">
                  <c:v>5.194218125187975E-2</c:v>
                </c:pt>
                <c:pt idx="82">
                  <c:v>5.0691034518695083E-2</c:v>
                </c:pt>
                <c:pt idx="83">
                  <c:v>5.0195494945462327E-2</c:v>
                </c:pt>
                <c:pt idx="84">
                  <c:v>4.8330888218247034E-2</c:v>
                </c:pt>
                <c:pt idx="85">
                  <c:v>4.6457109234654244E-2</c:v>
                </c:pt>
                <c:pt idx="86">
                  <c:v>4.4574057470403924E-2</c:v>
                </c:pt>
                <c:pt idx="87">
                  <c:v>4.2681630688030811E-2</c:v>
                </c:pt>
                <c:pt idx="88">
                  <c:v>4.0779724897120416E-2</c:v>
                </c:pt>
                <c:pt idx="89">
                  <c:v>3.99421648182859E-2</c:v>
                </c:pt>
                <c:pt idx="90">
                  <c:v>3.6347945091976641E-2</c:v>
                </c:pt>
                <c:pt idx="91">
                  <c:v>3.2760758690510858E-2</c:v>
                </c:pt>
                <c:pt idx="92">
                  <c:v>2.9180632681791371E-2</c:v>
                </c:pt>
                <c:pt idx="93">
                  <c:v>2.5607594403160024E-2</c:v>
                </c:pt>
                <c:pt idx="94">
                  <c:v>2.2041671465652116E-2</c:v>
                </c:pt>
                <c:pt idx="95">
                  <c:v>2.0399033424628812E-2</c:v>
                </c:pt>
                <c:pt idx="96">
                  <c:v>3.6340231088100375E-3</c:v>
                </c:pt>
                <c:pt idx="97">
                  <c:v>-1.2342616109378188E-2</c:v>
                </c:pt>
                <c:pt idx="98">
                  <c:v>-2.756050450397933E-2</c:v>
                </c:pt>
                <c:pt idx="99">
                  <c:v>-4.2048434913787104E-2</c:v>
                </c:pt>
                <c:pt idx="100">
                  <c:v>-5.5834387735082702E-2</c:v>
                </c:pt>
                <c:pt idx="101">
                  <c:v>-6.8945545792024915E-2</c:v>
                </c:pt>
                <c:pt idx="102">
                  <c:v>-8.1408309084499808E-2</c:v>
                </c:pt>
                <c:pt idx="103">
                  <c:v>-9.3248309413197117E-2</c:v>
                </c:pt>
                <c:pt idx="104">
                  <c:v>-0.10449042488173307</c:v>
                </c:pt>
                <c:pt idx="105">
                  <c:v>-0.1151587942755818</c:v>
                </c:pt>
                <c:pt idx="106">
                  <c:v>-0.12527683131760287</c:v>
                </c:pt>
                <c:pt idx="107">
                  <c:v>-0.13486723879995621</c:v>
                </c:pt>
                <c:pt idx="108">
                  <c:v>-0.27739973196595252</c:v>
                </c:pt>
              </c:numCache>
            </c:numRef>
          </c:xVal>
          <c:yVal>
            <c:numRef>
              <c:f>'Down-Auswert'!$M$6:$M$122</c:f>
              <c:numCache>
                <c:formatCode>General</c:formatCode>
                <c:ptCount val="117"/>
                <c:pt idx="0">
                  <c:v>1.861998142682151</c:v>
                </c:pt>
                <c:pt idx="1">
                  <c:v>1.7403104592673873</c:v>
                </c:pt>
                <c:pt idx="2">
                  <c:v>1.6338944618914357</c:v>
                </c:pt>
                <c:pt idx="3">
                  <c:v>1.5415047140864266</c:v>
                </c:pt>
                <c:pt idx="4">
                  <c:v>1.4618128413732856</c:v>
                </c:pt>
                <c:pt idx="5">
                  <c:v>1.4616059968409472</c:v>
                </c:pt>
                <c:pt idx="6">
                  <c:v>1.3730820723128627</c:v>
                </c:pt>
                <c:pt idx="7">
                  <c:v>1.277115382629832</c:v>
                </c:pt>
                <c:pt idx="8">
                  <c:v>1.1729909202985762</c:v>
                </c:pt>
                <c:pt idx="9">
                  <c:v>1.0586441151655475</c:v>
                </c:pt>
                <c:pt idx="10">
                  <c:v>0.93013502236403145</c:v>
                </c:pt>
                <c:pt idx="11">
                  <c:v>0.93001918678854067</c:v>
                </c:pt>
                <c:pt idx="12">
                  <c:v>0.89899295500636522</c:v>
                </c:pt>
                <c:pt idx="13">
                  <c:v>0.86074226129534359</c:v>
                </c:pt>
                <c:pt idx="14">
                  <c:v>0.81223501650661434</c:v>
                </c:pt>
                <c:pt idx="15">
                  <c:v>0.74840790319685879</c:v>
                </c:pt>
                <c:pt idx="16">
                  <c:v>0.66008788346980929</c:v>
                </c:pt>
                <c:pt idx="17">
                  <c:v>0.65986824421071677</c:v>
                </c:pt>
                <c:pt idx="18">
                  <c:v>0.63746044344162001</c:v>
                </c:pt>
                <c:pt idx="19">
                  <c:v>0.61087942432980302</c:v>
                </c:pt>
                <c:pt idx="20">
                  <c:v>0.5789085808678136</c:v>
                </c:pt>
                <c:pt idx="21">
                  <c:v>0.53982410355594279</c:v>
                </c:pt>
                <c:pt idx="22">
                  <c:v>0.49110635123400703</c:v>
                </c:pt>
                <c:pt idx="23">
                  <c:v>0.4907521065033722</c:v>
                </c:pt>
                <c:pt idx="24">
                  <c:v>0.47256115051160841</c:v>
                </c:pt>
                <c:pt idx="25">
                  <c:v>0.4518617590304741</c:v>
                </c:pt>
                <c:pt idx="26">
                  <c:v>0.42814337324275981</c:v>
                </c:pt>
                <c:pt idx="27">
                  <c:v>0.40075394154382515</c:v>
                </c:pt>
                <c:pt idx="28">
                  <c:v>0.3688489432111054</c:v>
                </c:pt>
                <c:pt idx="29">
                  <c:v>0.36836040959449917</c:v>
                </c:pt>
                <c:pt idx="30">
                  <c:v>0.3528522502271666</c:v>
                </c:pt>
                <c:pt idx="31">
                  <c:v>0.33565284780662552</c:v>
                </c:pt>
                <c:pt idx="32">
                  <c:v>0.3164978595148944</c:v>
                </c:pt>
                <c:pt idx="33">
                  <c:v>0.29506803210172206</c:v>
                </c:pt>
                <c:pt idx="34">
                  <c:v>0.27097471001467804</c:v>
                </c:pt>
                <c:pt idx="35">
                  <c:v>0.2703518699659076</c:v>
                </c:pt>
                <c:pt idx="36">
                  <c:v>0.25610611929671662</c:v>
                </c:pt>
                <c:pt idx="37">
                  <c:v>0.24053685877424219</c:v>
                </c:pt>
                <c:pt idx="38">
                  <c:v>0.22347068061675063</c:v>
                </c:pt>
                <c:pt idx="39">
                  <c:v>0.2047043718951907</c:v>
                </c:pt>
                <c:pt idx="40">
                  <c:v>0.1839984828583332</c:v>
                </c:pt>
                <c:pt idx="41">
                  <c:v>0.183218333723456</c:v>
                </c:pt>
                <c:pt idx="42">
                  <c:v>0.16792922408642014</c:v>
                </c:pt>
                <c:pt idx="43">
                  <c:v>0.15124284380058672</c:v>
                </c:pt>
                <c:pt idx="44">
                  <c:v>0.13298035048464718</c:v>
                </c:pt>
                <c:pt idx="45">
                  <c:v>0.11293301187740062</c:v>
                </c:pt>
                <c:pt idx="46">
                  <c:v>9.0855956727204812E-2</c:v>
                </c:pt>
                <c:pt idx="47">
                  <c:v>8.9833694127449057E-2</c:v>
                </c:pt>
                <c:pt idx="48">
                  <c:v>6.3265267389030308E-2</c:v>
                </c:pt>
                <c:pt idx="49">
                  <c:v>3.3018340572994236E-2</c:v>
                </c:pt>
                <c:pt idx="50">
                  <c:v>-1.6298034837825826E-3</c:v>
                </c:pt>
                <c:pt idx="51">
                  <c:v>-4.159028837260087E-2</c:v>
                </c:pt>
                <c:pt idx="52">
                  <c:v>-8.802522691134454E-2</c:v>
                </c:pt>
                <c:pt idx="53">
                  <c:v>-8.9833694127449654E-2</c:v>
                </c:pt>
                <c:pt idx="54">
                  <c:v>-0.10637766026101432</c:v>
                </c:pt>
                <c:pt idx="55">
                  <c:v>-0.12367731108236529</c:v>
                </c:pt>
                <c:pt idx="56">
                  <c:v>-0.14178019338607212</c:v>
                </c:pt>
                <c:pt idx="57">
                  <c:v>-0.16073769275431529</c:v>
                </c:pt>
                <c:pt idx="58">
                  <c:v>-0.18060541421874321</c:v>
                </c:pt>
                <c:pt idx="59">
                  <c:v>-0.18321833372345581</c:v>
                </c:pt>
                <c:pt idx="60">
                  <c:v>-0.19892449294377368</c:v>
                </c:pt>
                <c:pt idx="61">
                  <c:v>-0.21510053295394499</c:v>
                </c:pt>
                <c:pt idx="62">
                  <c:v>-0.2317658205564456</c:v>
                </c:pt>
                <c:pt idx="63">
                  <c:v>-0.24894074445917949</c:v>
                </c:pt>
                <c:pt idx="64">
                  <c:v>-0.26664678126404667</c:v>
                </c:pt>
                <c:pt idx="65">
                  <c:v>-0.27035186996590821</c:v>
                </c:pt>
                <c:pt idx="66">
                  <c:v>-0.28804122213362249</c:v>
                </c:pt>
                <c:pt idx="67">
                  <c:v>-0.30613832767011595</c:v>
                </c:pt>
                <c:pt idx="68">
                  <c:v>-0.32465621897785296</c:v>
                </c:pt>
                <c:pt idx="69">
                  <c:v>-0.34360846315457594</c:v>
                </c:pt>
                <c:pt idx="70">
                  <c:v>-0.36300918886461131</c:v>
                </c:pt>
                <c:pt idx="71">
                  <c:v>-0.36836040959449895</c:v>
                </c:pt>
                <c:pt idx="72">
                  <c:v>-0.3903918857542949</c:v>
                </c:pt>
                <c:pt idx="73">
                  <c:v>-0.41282997521066001</c:v>
                </c:pt>
                <c:pt idx="74">
                  <c:v>-0.43568522476434945</c:v>
                </c:pt>
                <c:pt idx="75">
                  <c:v>-0.45896853485404093</c:v>
                </c:pt>
                <c:pt idx="76">
                  <c:v>-0.48269117413881613</c:v>
                </c:pt>
                <c:pt idx="77">
                  <c:v>-0.49075210650337187</c:v>
                </c:pt>
                <c:pt idx="78">
                  <c:v>-0.52112015042533977</c:v>
                </c:pt>
                <c:pt idx="79">
                  <c:v>-0.55193743366710157</c:v>
                </c:pt>
                <c:pt idx="80">
                  <c:v>-0.58321355973137967</c:v>
                </c:pt>
                <c:pt idx="81">
                  <c:v>-0.61495840146417824</c:v>
                </c:pt>
                <c:pt idx="82">
                  <c:v>-0.64718211042874385</c:v>
                </c:pt>
                <c:pt idx="83">
                  <c:v>-0.66000334397619798</c:v>
                </c:pt>
                <c:pt idx="84">
                  <c:v>-0.70845285333307628</c:v>
                </c:pt>
                <c:pt idx="85">
                  <c:v>-0.75743115398001137</c:v>
                </c:pt>
                <c:pt idx="86">
                  <c:v>-0.80694723128941903</c:v>
                </c:pt>
                <c:pt idx="87">
                  <c:v>-0.85701027857131062</c:v>
                </c:pt>
                <c:pt idx="88">
                  <c:v>-0.90762970317962366</c:v>
                </c:pt>
                <c:pt idx="89">
                  <c:v>-0.9300191867885369</c:v>
                </c:pt>
                <c:pt idx="90">
                  <c:v>-1.0265082968276016</c:v>
                </c:pt>
                <c:pt idx="91">
                  <c:v>-1.123373053077559</c:v>
                </c:pt>
                <c:pt idx="92">
                  <c:v>-1.2206171407564286</c:v>
                </c:pt>
                <c:pt idx="93">
                  <c:v>-1.3182443032368107</c:v>
                </c:pt>
                <c:pt idx="94">
                  <c:v>-1.4162583433154983</c:v>
                </c:pt>
                <c:pt idx="95">
                  <c:v>-1.4616059968409512</c:v>
                </c:pt>
                <c:pt idx="96">
                  <c:v>-1.927381089808772</c:v>
                </c:pt>
                <c:pt idx="97">
                  <c:v>-2.3757504420504714</c:v>
                </c:pt>
                <c:pt idx="98">
                  <c:v>-2.8071973967632857</c:v>
                </c:pt>
                <c:pt idx="99">
                  <c:v>-3.2221966054610776</c:v>
                </c:pt>
                <c:pt idx="100">
                  <c:v>-3.6212140976941516</c:v>
                </c:pt>
                <c:pt idx="101">
                  <c:v>-4.0047073509075872</c:v>
                </c:pt>
                <c:pt idx="102">
                  <c:v>-4.3731253604402802</c:v>
                </c:pt>
                <c:pt idx="103">
                  <c:v>-4.7269087096664828</c:v>
                </c:pt>
                <c:pt idx="104">
                  <c:v>-5.0664896402827182</c:v>
                </c:pt>
                <c:pt idx="105">
                  <c:v>-5.3922921227413987</c:v>
                </c:pt>
                <c:pt idx="106">
                  <c:v>-5.7047319268344072</c:v>
                </c:pt>
                <c:pt idx="107">
                  <c:v>-6.004216692428372</c:v>
                </c:pt>
                <c:pt idx="108">
                  <c:v>-11.41745749440692</c:v>
                </c:pt>
              </c:numCache>
            </c:numRef>
          </c:yVal>
        </c:ser>
        <c:axId val="156927872"/>
        <c:axId val="156929408"/>
      </c:scatterChart>
      <c:valAx>
        <c:axId val="156927872"/>
        <c:scaling>
          <c:orientation val="minMax"/>
          <c:max val="2.5"/>
          <c:min val="-2.5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56929408"/>
        <c:crosses val="autoZero"/>
        <c:crossBetween val="midCat"/>
      </c:valAx>
      <c:valAx>
        <c:axId val="156929408"/>
        <c:scaling>
          <c:orientation val="minMax"/>
          <c:max val="2.5"/>
          <c:min val="-2.5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56927872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lineMarker"/>
        <c:ser>
          <c:idx val="1"/>
          <c:order val="0"/>
          <c:spPr>
            <a:ln w="254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'Down-Auswert'!$AJ$5:$AJ$114</c:f>
              <c:numCache>
                <c:formatCode>0.00</c:formatCode>
                <c:ptCount val="110"/>
                <c:pt idx="0">
                  <c:v>1</c:v>
                </c:pt>
                <c:pt idx="1">
                  <c:v>0.87831635420700915</c:v>
                </c:pt>
                <c:pt idx="2">
                  <c:v>0.77274093393218368</c:v>
                </c:pt>
                <c:pt idx="3">
                  <c:v>0.68124618572967588</c:v>
                </c:pt>
                <c:pt idx="4">
                  <c:v>0.60204731743764595</c:v>
                </c:pt>
                <c:pt idx="5">
                  <c:v>0.53357460365211729</c:v>
                </c:pt>
                <c:pt idx="6">
                  <c:v>0.53276027822736305</c:v>
                </c:pt>
                <c:pt idx="7">
                  <c:v>0.42350600189798637</c:v>
                </c:pt>
                <c:pt idx="8">
                  <c:v>0.3358614461734758</c:v>
                </c:pt>
                <c:pt idx="9" formatCode="General">
                  <c:v>0.2662290466081127</c:v>
                </c:pt>
                <c:pt idx="10" formatCode="General">
                  <c:v>0.21154881563209216</c:v>
                </c:pt>
                <c:pt idx="11" formatCode="General">
                  <c:v>0.16921330895979758</c:v>
                </c:pt>
                <c:pt idx="12" formatCode="General">
                  <c:v>0.1691280339529343</c:v>
                </c:pt>
                <c:pt idx="13" formatCode="General">
                  <c:v>0.14737893948204342</c:v>
                </c:pt>
                <c:pt idx="14" formatCode="General">
                  <c:v>0.12705107728500956</c:v>
                </c:pt>
                <c:pt idx="15" formatCode="General">
                  <c:v>0.10811155352271175</c:v>
                </c:pt>
                <c:pt idx="16" formatCode="General">
                  <c:v>9.0557614219338445E-2</c:v>
                </c:pt>
                <c:pt idx="17" formatCode="General">
                  <c:v>7.4425785683583531E-2</c:v>
                </c:pt>
                <c:pt idx="18" formatCode="General">
                  <c:v>7.4396328583176088E-2</c:v>
                </c:pt>
                <c:pt idx="19" formatCode="General">
                  <c:v>7.0159764306251232E-2</c:v>
                </c:pt>
                <c:pt idx="20" formatCode="General">
                  <c:v>6.5636956124927037E-2</c:v>
                </c:pt>
                <c:pt idx="21" formatCode="General">
                  <c:v>6.0760005892471491E-2</c:v>
                </c:pt>
                <c:pt idx="22" formatCode="General">
                  <c:v>5.5432093394782209E-2</c:v>
                </c:pt>
                <c:pt idx="23" formatCode="General">
                  <c:v>4.9506674172358031E-2</c:v>
                </c:pt>
                <c:pt idx="24" formatCode="General">
                  <c:v>4.9479330594227697E-2</c:v>
                </c:pt>
                <c:pt idx="25" formatCode="General">
                  <c:v>4.7955214465152912E-2</c:v>
                </c:pt>
                <c:pt idx="26" formatCode="General">
                  <c:v>4.6289395052053803E-2</c:v>
                </c:pt>
                <c:pt idx="27" formatCode="General">
                  <c:v>4.445318509690175E-2</c:v>
                </c:pt>
                <c:pt idx="28" formatCode="General">
                  <c:v>4.2408317227349765E-2</c:v>
                </c:pt>
                <c:pt idx="29" formatCode="General">
                  <c:v>4.0102162812419705E-2</c:v>
                </c:pt>
                <c:pt idx="30" formatCode="General">
                  <c:v>4.0070949696973057E-2</c:v>
                </c:pt>
                <c:pt idx="31" formatCode="General">
                  <c:v>3.925066475466852E-2</c:v>
                </c:pt>
                <c:pt idx="32" formatCode="General">
                  <c:v>3.8361849429268763E-2</c:v>
                </c:pt>
                <c:pt idx="33" formatCode="General">
                  <c:v>3.7393692676884263E-2</c:v>
                </c:pt>
                <c:pt idx="34" formatCode="General">
                  <c:v>3.6332761702695927E-2</c:v>
                </c:pt>
                <c:pt idx="35" formatCode="General">
                  <c:v>3.5162108450978252E-2</c:v>
                </c:pt>
                <c:pt idx="36" formatCode="General">
                  <c:v>3.5126648803748738E-2</c:v>
                </c:pt>
                <c:pt idx="37" formatCode="General">
                  <c:v>3.4575105974261167E-2</c:v>
                </c:pt>
                <c:pt idx="38" formatCode="General">
                  <c:v>3.3983375674018219E-2</c:v>
                </c:pt>
                <c:pt idx="39" formatCode="General">
                  <c:v>3.334628510476164E-2</c:v>
                </c:pt>
                <c:pt idx="40" formatCode="General">
                  <c:v>3.2657675572655954E-2</c:v>
                </c:pt>
                <c:pt idx="41" formatCode="General">
                  <c:v>3.1910146466480188E-2</c:v>
                </c:pt>
                <c:pt idx="42" formatCode="General">
                  <c:v>3.1869994283327707E-2</c:v>
                </c:pt>
                <c:pt idx="43" formatCode="General">
                  <c:v>3.1409203145147842E-2</c:v>
                </c:pt>
                <c:pt idx="44" formatCode="General">
                  <c:v>3.0915650073426233E-2</c:v>
                </c:pt>
                <c:pt idx="45" formatCode="General">
                  <c:v>3.0385354828438762E-2</c:v>
                </c:pt>
                <c:pt idx="46" formatCode="General">
                  <c:v>2.9813633444580032E-2</c:v>
                </c:pt>
                <c:pt idx="47" formatCode="General">
                  <c:v>2.9194930829853825E-2</c:v>
                </c:pt>
                <c:pt idx="48" formatCode="General">
                  <c:v>2.9147738480589117E-2</c:v>
                </c:pt>
                <c:pt idx="49" formatCode="General">
                  <c:v>2.8530134068958501E-2</c:v>
                </c:pt>
                <c:pt idx="50" formatCode="General">
                  <c:v>2.7849167078055948E-2</c:v>
                </c:pt>
                <c:pt idx="51" formatCode="General">
                  <c:v>2.7093704223595697E-2</c:v>
                </c:pt>
                <c:pt idx="52" formatCode="General">
                  <c:v>2.6249726720317335E-2</c:v>
                </c:pt>
                <c:pt idx="53" formatCode="General">
                  <c:v>2.5299304661042743E-2</c:v>
                </c:pt>
                <c:pt idx="54" formatCode="General">
                  <c:v>2.5229370998577111E-2</c:v>
                </c:pt>
                <c:pt idx="55" formatCode="General">
                  <c:v>2.4937150651285253E-2</c:v>
                </c:pt>
                <c:pt idx="56" formatCode="General">
                  <c:v>2.4635911043596231E-2</c:v>
                </c:pt>
                <c:pt idx="57" formatCode="General">
                  <c:v>2.4325189032240263E-2</c:v>
                </c:pt>
                <c:pt idx="58" formatCode="General">
                  <c:v>2.4004487821965938E-2</c:v>
                </c:pt>
                <c:pt idx="59" formatCode="General">
                  <c:v>2.367327377355747E-2</c:v>
                </c:pt>
                <c:pt idx="60" formatCode="General">
                  <c:v>2.3576976722140236E-2</c:v>
                </c:pt>
                <c:pt idx="61" formatCode="General">
                  <c:v>2.3329883470304968E-2</c:v>
                </c:pt>
                <c:pt idx="62" formatCode="General">
                  <c:v>2.307825248423577E-2</c:v>
                </c:pt>
                <c:pt idx="63" formatCode="General">
                  <c:v>2.2821942203579561E-2</c:v>
                </c:pt>
                <c:pt idx="64" formatCode="General">
                  <c:v>2.2560804789601197E-2</c:v>
                </c:pt>
                <c:pt idx="65" formatCode="General">
                  <c:v>2.2294685761997234E-2</c:v>
                </c:pt>
                <c:pt idx="66" formatCode="General">
                  <c:v>2.216278449835999E-2</c:v>
                </c:pt>
                <c:pt idx="67" formatCode="General">
                  <c:v>2.1907093905112283E-2</c:v>
                </c:pt>
                <c:pt idx="68" formatCode="General">
                  <c:v>2.1648193481691159E-2</c:v>
                </c:pt>
                <c:pt idx="69" formatCode="General">
                  <c:v>2.1386011500369135E-2</c:v>
                </c:pt>
                <c:pt idx="70" formatCode="General">
                  <c:v>2.1120473914703317E-2</c:v>
                </c:pt>
                <c:pt idx="71" formatCode="General">
                  <c:v>2.0851504260979731E-2</c:v>
                </c:pt>
                <c:pt idx="72" formatCode="General">
                  <c:v>2.0667577885804655E-2</c:v>
                </c:pt>
                <c:pt idx="73" formatCode="General">
                  <c:v>2.0370892018882182E-2</c:v>
                </c:pt>
                <c:pt idx="74" formatCode="General">
                  <c:v>2.0071760910473344E-2</c:v>
                </c:pt>
                <c:pt idx="75" formatCode="General">
                  <c:v>1.9770144733498592E-2</c:v>
                </c:pt>
                <c:pt idx="76" formatCode="General">
                  <c:v>1.9466002686757956E-2</c:v>
                </c:pt>
                <c:pt idx="77" formatCode="General">
                  <c:v>1.9159292963017042E-2</c:v>
                </c:pt>
                <c:pt idx="78" formatCode="General">
                  <c:v>1.8892972833770696E-2</c:v>
                </c:pt>
                <c:pt idx="79" formatCode="General">
                  <c:v>1.8507385183512307E-2</c:v>
                </c:pt>
                <c:pt idx="80" formatCode="General">
                  <c:v>1.8120252518720032E-2</c:v>
                </c:pt>
                <c:pt idx="81" formatCode="General">
                  <c:v>1.7731557790495289E-2</c:v>
                </c:pt>
                <c:pt idx="82" formatCode="General">
                  <c:v>1.7341283640443138E-2</c:v>
                </c:pt>
                <c:pt idx="83" formatCode="General">
                  <c:v>1.6949412392817876E-2</c:v>
                </c:pt>
                <c:pt idx="84" formatCode="General">
                  <c:v>1.654589273694148E-2</c:v>
                </c:pt>
                <c:pt idx="85" formatCode="General">
                  <c:v>1.5956317729329168E-2</c:v>
                </c:pt>
                <c:pt idx="86" formatCode="General">
                  <c:v>1.5368112112408145E-2</c:v>
                </c:pt>
                <c:pt idx="87" formatCode="General">
                  <c:v>1.4781281709299038E-2</c:v>
                </c:pt>
                <c:pt idx="88" formatCode="General">
                  <c:v>1.4195832406874838E-2</c:v>
                </c:pt>
                <c:pt idx="89" formatCode="General">
                  <c:v>1.3611770156889016E-2</c:v>
                </c:pt>
                <c:pt idx="90" formatCode="General">
                  <c:v>1.2953505451130231E-2</c:v>
                </c:pt>
                <c:pt idx="91" formatCode="General">
                  <c:v>1.1788866187370833E-2</c:v>
                </c:pt>
                <c:pt idx="92" formatCode="General">
                  <c:v>1.064572042484228E-2</c:v>
                </c:pt>
                <c:pt idx="93" formatCode="General">
                  <c:v>9.5238181690051396E-3</c:v>
                </c:pt>
                <c:pt idx="94" formatCode="General">
                  <c:v>8.4229106037109584E-3</c:v>
                </c:pt>
                <c:pt idx="95" formatCode="General">
                  <c:v>7.3427500938961525E-3</c:v>
                </c:pt>
                <c:pt idx="96" formatCode="General">
                  <c:v>6.1694082986832417E-3</c:v>
                </c:pt>
                <c:pt idx="97" formatCode="General">
                  <c:v>2.2300286503843083E-3</c:v>
                </c:pt>
                <c:pt idx="98" formatCode="General">
                  <c:v>-1.278504055123985E-3</c:v>
                </c:pt>
                <c:pt idx="99" formatCode="General">
                  <c:v>-4.3996512440055155E-3</c:v>
                </c:pt>
                <c:pt idx="100" formatCode="General">
                  <c:v>-7.1728665807542927E-3</c:v>
                </c:pt>
                <c:pt idx="101" formatCode="General">
                  <c:v>-9.6339301509253301E-3</c:v>
                </c:pt>
                <c:pt idx="102" formatCode="General">
                  <c:v>-1.1815257787883972E-2</c:v>
                </c:pt>
                <c:pt idx="103" formatCode="General">
                  <c:v>-1.3746187164011724E-2</c:v>
                </c:pt>
                <c:pt idx="104" formatCode="General">
                  <c:v>-1.5453242176331195E-2</c:v>
                </c:pt>
                <c:pt idx="105" formatCode="General">
                  <c:v>-1.6960377070261844E-2</c:v>
                </c:pt>
                <c:pt idx="106" formatCode="General">
                  <c:v>-1.8289201662963498E-2</c:v>
                </c:pt>
                <c:pt idx="107" formatCode="General">
                  <c:v>-1.94591889493799E-2</c:v>
                </c:pt>
                <c:pt idx="108" formatCode="General">
                  <c:v>-2.0487866299470504E-2</c:v>
                </c:pt>
                <c:pt idx="109" formatCode="General">
                  <c:v>-2.7299288475837777E-2</c:v>
                </c:pt>
              </c:numCache>
            </c:numRef>
          </c:xVal>
          <c:yVal>
            <c:numRef>
              <c:f>'Down-Auswert'!$AK$5:$AK$114</c:f>
              <c:numCache>
                <c:formatCode>0.00</c:formatCode>
                <c:ptCount val="110"/>
                <c:pt idx="0">
                  <c:v>2</c:v>
                </c:pt>
                <c:pt idx="1">
                  <c:v>1.8635663290066686</c:v>
                </c:pt>
                <c:pt idx="2">
                  <c:v>1.7433182557378746</c:v>
                </c:pt>
                <c:pt idx="3">
                  <c:v>1.6374535181067453</c:v>
                </c:pt>
                <c:pt idx="4">
                  <c:v>1.5443578204820918</c:v>
                </c:pt>
                <c:pt idx="5">
                  <c:v>1.462586497793583</c:v>
                </c:pt>
                <c:pt idx="6">
                  <c:v>1.4616059968409472</c:v>
                </c:pt>
                <c:pt idx="7">
                  <c:v>1.3242568647554982</c:v>
                </c:pt>
                <c:pt idx="8">
                  <c:v>1.2037150594299422</c:v>
                </c:pt>
                <c:pt idx="9" formatCode="General">
                  <c:v>1.0986741849964525</c:v>
                </c:pt>
                <c:pt idx="10" formatCode="General">
                  <c:v>1.0078908953699792</c:v>
                </c:pt>
                <c:pt idx="11" formatCode="General">
                  <c:v>0.93018439886221671</c:v>
                </c:pt>
                <c:pt idx="12" formatCode="General">
                  <c:v>0.93001918678854067</c:v>
                </c:pt>
                <c:pt idx="13" formatCode="General">
                  <c:v>0.88500965474080251</c:v>
                </c:pt>
                <c:pt idx="14" formatCode="General">
                  <c:v>0.83663414551301907</c:v>
                </c:pt>
                <c:pt idx="15" formatCode="General">
                  <c:v>0.78401079325832512</c:v>
                </c:pt>
                <c:pt idx="16" formatCode="General">
                  <c:v>0.72584944397858142</c:v>
                </c:pt>
                <c:pt idx="17" formatCode="General">
                  <c:v>0.66013817838640143</c:v>
                </c:pt>
                <c:pt idx="18" formatCode="General">
                  <c:v>0.6600033439761992</c:v>
                </c:pt>
                <c:pt idx="19" formatCode="General">
                  <c:v>0.63944159940172141</c:v>
                </c:pt>
                <c:pt idx="20" formatCode="General">
                  <c:v>0.61460540022765764</c:v>
                </c:pt>
                <c:pt idx="21" formatCode="General">
                  <c:v>0.58380821324623167</c:v>
                </c:pt>
                <c:pt idx="22" formatCode="General">
                  <c:v>0.54427240121255438</c:v>
                </c:pt>
                <c:pt idx="23" formatCode="General">
                  <c:v>0.49102494639013461</c:v>
                </c:pt>
                <c:pt idx="24" formatCode="General">
                  <c:v>0.4907521065007337</c:v>
                </c:pt>
                <c:pt idx="25" formatCode="General">
                  <c:v>0.47488845878912678</c:v>
                </c:pt>
                <c:pt idx="26" formatCode="General">
                  <c:v>0.45598295382469284</c:v>
                </c:pt>
                <c:pt idx="27" formatCode="General">
                  <c:v>0.43307584223096268</c:v>
                </c:pt>
                <c:pt idx="28" formatCode="General">
                  <c:v>0.40475844628066082</c:v>
                </c:pt>
                <c:pt idx="29" formatCode="General">
                  <c:v>0.36887694709100816</c:v>
                </c:pt>
                <c:pt idx="30" formatCode="General">
                  <c:v>0.36836040959449373</c:v>
                </c:pt>
                <c:pt idx="31" formatCode="General">
                  <c:v>0.35436025019215101</c:v>
                </c:pt>
                <c:pt idx="32" formatCode="General">
                  <c:v>0.33822837735446032</c:v>
                </c:pt>
                <c:pt idx="33" formatCode="General">
                  <c:v>0.3194669509319672</c:v>
                </c:pt>
                <c:pt idx="34" formatCode="General">
                  <c:v>0.29741528682010648</c:v>
                </c:pt>
                <c:pt idx="35" formatCode="General">
                  <c:v>0.2711788594051362</c:v>
                </c:pt>
                <c:pt idx="36" formatCode="General">
                  <c:v>0.27035186996591182</c:v>
                </c:pt>
                <c:pt idx="37" formatCode="General">
                  <c:v>0.25716785908272721</c:v>
                </c:pt>
                <c:pt idx="38" formatCode="General">
                  <c:v>0.24233139919548102</c:v>
                </c:pt>
                <c:pt idx="39" formatCode="General">
                  <c:v>0.22553626104020583</c:v>
                </c:pt>
                <c:pt idx="40" formatCode="General">
                  <c:v>0.20639903585050978</c:v>
                </c:pt>
                <c:pt idx="41" formatCode="General">
                  <c:v>0.184433922088859</c:v>
                </c:pt>
                <c:pt idx="42" formatCode="General">
                  <c:v>0.18321833372344398</c:v>
                </c:pt>
                <c:pt idx="43" formatCode="General">
                  <c:v>0.16894489231934157</c:v>
                </c:pt>
                <c:pt idx="44" formatCode="General">
                  <c:v>0.15297838016614612</c:v>
                </c:pt>
                <c:pt idx="45" formatCode="General">
                  <c:v>0.13502690359497627</c:v>
                </c:pt>
                <c:pt idx="46" formatCode="General">
                  <c:v>0.11473096315043138</c:v>
                </c:pt>
                <c:pt idx="47" formatCode="General">
                  <c:v>9.1643367998294409E-2</c:v>
                </c:pt>
                <c:pt idx="48" formatCode="General">
                  <c:v>8.9833694127313138E-2</c:v>
                </c:pt>
                <c:pt idx="49" formatCode="General">
                  <c:v>6.5406071235104488E-2</c:v>
                </c:pt>
                <c:pt idx="50" formatCode="General">
                  <c:v>3.6829030077813192E-2</c:v>
                </c:pt>
                <c:pt idx="51" formatCode="General">
                  <c:v>3.0657025668781035E-3</c:v>
                </c:pt>
                <c:pt idx="52" formatCode="General">
                  <c:v>-3.7274974620265119E-2</c:v>
                </c:pt>
                <c:pt idx="53" formatCode="General">
                  <c:v>-8.6096863629694612E-2</c:v>
                </c:pt>
                <c:pt idx="54" formatCode="General">
                  <c:v>-8.9833694121345412E-2</c:v>
                </c:pt>
                <c:pt idx="55" formatCode="General">
                  <c:v>-0.10563991710971196</c:v>
                </c:pt>
                <c:pt idx="56" formatCode="General">
                  <c:v>-0.12224969561573404</c:v>
                </c:pt>
                <c:pt idx="57" formatCode="General">
                  <c:v>-0.13972082125009672</c:v>
                </c:pt>
                <c:pt idx="58" formatCode="General">
                  <c:v>-0.15811651016648554</c:v>
                </c:pt>
                <c:pt idx="59" formatCode="General">
                  <c:v>-0.17750603623646366</c:v>
                </c:pt>
                <c:pt idx="60" formatCode="General">
                  <c:v>-0.18321833372205243</c:v>
                </c:pt>
                <c:pt idx="61" formatCode="General">
                  <c:v>-0.19800982350221694</c:v>
                </c:pt>
                <c:pt idx="62" formatCode="General">
                  <c:v>-0.21325982559165688</c:v>
                </c:pt>
                <c:pt idx="63" formatCode="General">
                  <c:v>-0.22898854540285069</c:v>
                </c:pt>
                <c:pt idx="64" formatCode="General">
                  <c:v>-0.24521734958268776</c:v>
                </c:pt>
                <c:pt idx="65" formatCode="General">
                  <c:v>-0.26196884872026555</c:v>
                </c:pt>
                <c:pt idx="66" formatCode="General">
                  <c:v>-0.2703518699642643</c:v>
                </c:pt>
                <c:pt idx="67" formatCode="General">
                  <c:v>-0.286731531340918</c:v>
                </c:pt>
                <c:pt idx="68" formatCode="General">
                  <c:v>-0.30347542680656414</c:v>
                </c:pt>
                <c:pt idx="69" formatCode="General">
                  <c:v>-0.32059527316909492</c:v>
                </c:pt>
                <c:pt idx="70" formatCode="General">
                  <c:v>-0.33810328279076335</c:v>
                </c:pt>
                <c:pt idx="71" formatCode="General">
                  <c:v>-0.35601218966466863</c:v>
                </c:pt>
                <c:pt idx="72" formatCode="General">
                  <c:v>-0.36836040959305316</c:v>
                </c:pt>
                <c:pt idx="73" formatCode="General">
                  <c:v>-0.38842453507117403</c:v>
                </c:pt>
                <c:pt idx="74" formatCode="General">
                  <c:v>-0.40881412136939016</c:v>
                </c:pt>
                <c:pt idx="75" formatCode="General">
                  <c:v>-0.42953709678560315</c:v>
                </c:pt>
                <c:pt idx="76" formatCode="General">
                  <c:v>-0.45060164832253524</c:v>
                </c:pt>
                <c:pt idx="77" formatCode="General">
                  <c:v>-0.47201623230382384</c:v>
                </c:pt>
                <c:pt idx="78" formatCode="General">
                  <c:v>-0.49075210650261514</c:v>
                </c:pt>
                <c:pt idx="79" formatCode="General">
                  <c:v>-0.51806833037716349</c:v>
                </c:pt>
                <c:pt idx="80" formatCode="General">
                  <c:v>-0.54568483616470387</c:v>
                </c:pt>
                <c:pt idx="81" formatCode="General">
                  <c:v>-0.57360705608192419</c:v>
                </c:pt>
                <c:pt idx="82" formatCode="General">
                  <c:v>-0.60184055971466244</c:v>
                </c:pt>
                <c:pt idx="83" formatCode="General">
                  <c:v>-0.63039105849446209</c:v>
                </c:pt>
                <c:pt idx="84" formatCode="General">
                  <c:v>-0.6600033439760904</c:v>
                </c:pt>
                <c:pt idx="85" formatCode="General">
                  <c:v>-0.70357048325809546</c:v>
                </c:pt>
                <c:pt idx="86" formatCode="General">
                  <c:v>-0.74732261935350264</c:v>
                </c:pt>
                <c:pt idx="87" formatCode="General">
                  <c:v>-0.79126176783323343</c:v>
                </c:pt>
                <c:pt idx="88" formatCode="General">
                  <c:v>-0.83538997980289786</c:v>
                </c:pt>
                <c:pt idx="89" formatCode="General">
                  <c:v>-0.87970934277181989</c:v>
                </c:pt>
                <c:pt idx="90" formatCode="General">
                  <c:v>-0.93001918678854034</c:v>
                </c:pt>
                <c:pt idx="91" formatCode="General">
                  <c:v>-1.0196811973804305</c:v>
                </c:pt>
                <c:pt idx="92" formatCode="General">
                  <c:v>-1.1083041236703544</c:v>
                </c:pt>
                <c:pt idx="93" formatCode="General">
                  <c:v>-1.1958928418864201</c:v>
                </c:pt>
                <c:pt idx="94" formatCode="General">
                  <c:v>-1.2824522394505464</c:v>
                </c:pt>
                <c:pt idx="95" formatCode="General">
                  <c:v>-1.3679872150840957</c:v>
                </c:pt>
                <c:pt idx="96" formatCode="General">
                  <c:v>-1.4616059968400545</c:v>
                </c:pt>
                <c:pt idx="97" formatCode="General">
                  <c:v>-1.7787292903318566</c:v>
                </c:pt>
                <c:pt idx="98" formatCode="General">
                  <c:v>-2.0640129279203139</c:v>
                </c:pt>
                <c:pt idx="99" formatCode="General">
                  <c:v>-2.3203790436891949</c:v>
                </c:pt>
                <c:pt idx="100" formatCode="General">
                  <c:v>-2.5505072842815308</c:v>
                </c:pt>
                <c:pt idx="101" formatCode="General">
                  <c:v>-2.7568527568188204</c:v>
                </c:pt>
                <c:pt idx="102" formatCode="General">
                  <c:v>-2.9416628125370163</c:v>
                </c:pt>
                <c:pt idx="103" formatCode="General">
                  <c:v>-3.1069927308038983</c:v>
                </c:pt>
                <c:pt idx="104" formatCode="General">
                  <c:v>-3.2547203652070014</c:v>
                </c:pt>
                <c:pt idx="105" formatCode="General">
                  <c:v>-3.3865598105327637</c:v>
                </c:pt>
                <c:pt idx="106" formatCode="General">
                  <c:v>-3.5040741466953658</c:v>
                </c:pt>
                <c:pt idx="107" formatCode="General">
                  <c:v>-3.6086873130128132</c:v>
                </c:pt>
                <c:pt idx="108" formatCode="General">
                  <c:v>-3.7016951636677367</c:v>
                </c:pt>
                <c:pt idx="109" formatCode="General">
                  <c:v>-4.3746657127669035</c:v>
                </c:pt>
              </c:numCache>
            </c:numRef>
          </c:yVal>
        </c:ser>
        <c:ser>
          <c:idx val="0"/>
          <c:order val="1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'Down-Auswert'!$AM$5:$AM$114</c:f>
              <c:numCache>
                <c:formatCode>General</c:formatCode>
                <c:ptCount val="110"/>
                <c:pt idx="0">
                  <c:v>1.9999999999999998</c:v>
                </c:pt>
                <c:pt idx="1">
                  <c:v>1.7244859502745671</c:v>
                </c:pt>
                <c:pt idx="2">
                  <c:v>1.4897780513006031</c:v>
                </c:pt>
                <c:pt idx="3">
                  <c:v>1.2899682707323465</c:v>
                </c:pt>
                <c:pt idx="4">
                  <c:v>1.1199883051797344</c:v>
                </c:pt>
                <c:pt idx="5">
                  <c:v>0.97549183221698166</c:v>
                </c:pt>
                <c:pt idx="6">
                  <c:v>0.97431464056774231</c:v>
                </c:pt>
                <c:pt idx="7">
                  <c:v>0.74575352770416159</c:v>
                </c:pt>
                <c:pt idx="8">
                  <c:v>0.57223939953897451</c:v>
                </c:pt>
                <c:pt idx="9">
                  <c:v>0.44107067674026557</c:v>
                </c:pt>
                <c:pt idx="10">
                  <c:v>0.34253654930988808</c:v>
                </c:pt>
                <c:pt idx="11">
                  <c:v>0.26916538782504273</c:v>
                </c:pt>
                <c:pt idx="12">
                  <c:v>0.26906789478980486</c:v>
                </c:pt>
                <c:pt idx="13">
                  <c:v>0.23122581006860901</c:v>
                </c:pt>
                <c:pt idx="14">
                  <c:v>0.19706118661994043</c:v>
                </c:pt>
                <c:pt idx="15">
                  <c:v>0.16617394297931884</c:v>
                </c:pt>
                <c:pt idx="16">
                  <c:v>0.13827480852702806</c:v>
                </c:pt>
                <c:pt idx="17">
                  <c:v>0.11318589908763219</c:v>
                </c:pt>
                <c:pt idx="18">
                  <c:v>0.11315663425561727</c:v>
                </c:pt>
                <c:pt idx="19">
                  <c:v>0.10664263383380958</c:v>
                </c:pt>
                <c:pt idx="20">
                  <c:v>9.9717364445721449E-2</c:v>
                </c:pt>
                <c:pt idx="21">
                  <c:v>9.2272708012122145E-2</c:v>
                </c:pt>
                <c:pt idx="22">
                  <c:v>8.4154054737426071E-2</c:v>
                </c:pt>
                <c:pt idx="23">
                  <c:v>7.5125726375983956E-2</c:v>
                </c:pt>
                <c:pt idx="24">
                  <c:v>7.5098856705437353E-2</c:v>
                </c:pt>
                <c:pt idx="25">
                  <c:v>7.2826527900651764E-2</c:v>
                </c:pt>
                <c:pt idx="26">
                  <c:v>7.0341392144411083E-2</c:v>
                </c:pt>
                <c:pt idx="27">
                  <c:v>6.7599423899444677E-2</c:v>
                </c:pt>
                <c:pt idx="28">
                  <c:v>6.4541604530753069E-2</c:v>
                </c:pt>
                <c:pt idx="29">
                  <c:v>6.1086272150196637E-2</c:v>
                </c:pt>
                <c:pt idx="30">
                  <c:v>6.1055416224026791E-2</c:v>
                </c:pt>
                <c:pt idx="31">
                  <c:v>5.9839715643654513E-2</c:v>
                </c:pt>
                <c:pt idx="32">
                  <c:v>5.8521465346407064E-2</c:v>
                </c:pt>
                <c:pt idx="33">
                  <c:v>5.708426621334619E-2</c:v>
                </c:pt>
                <c:pt idx="34">
                  <c:v>5.5507686563201583E-2</c:v>
                </c:pt>
                <c:pt idx="35">
                  <c:v>5.3765867093005897E-2</c:v>
                </c:pt>
                <c:pt idx="36">
                  <c:v>5.3730665726754244E-2</c:v>
                </c:pt>
                <c:pt idx="37">
                  <c:v>5.2914124976195992E-2</c:v>
                </c:pt>
                <c:pt idx="38">
                  <c:v>5.2037529307901023E-2</c:v>
                </c:pt>
                <c:pt idx="39">
                  <c:v>5.1093061949957122E-2</c:v>
                </c:pt>
                <c:pt idx="40">
                  <c:v>5.0071398976448606E-2</c:v>
                </c:pt>
                <c:pt idx="41">
                  <c:v>4.8961313107354694E-2</c:v>
                </c:pt>
                <c:pt idx="42">
                  <c:v>4.8921348350677775E-2</c:v>
                </c:pt>
                <c:pt idx="43">
                  <c:v>4.8239147205330374E-2</c:v>
                </c:pt>
                <c:pt idx="44">
                  <c:v>4.75079931335761E-2</c:v>
                </c:pt>
                <c:pt idx="45">
                  <c:v>4.6721877114203732E-2</c:v>
                </c:pt>
                <c:pt idx="46">
                  <c:v>4.587371620587128E-2</c:v>
                </c:pt>
                <c:pt idx="47">
                  <c:v>4.495509517851623E-2</c:v>
                </c:pt>
                <c:pt idx="48">
                  <c:v>4.4908033540325916E-2</c:v>
                </c:pt>
                <c:pt idx="49">
                  <c:v>4.3995008967718838E-2</c:v>
                </c:pt>
                <c:pt idx="50">
                  <c:v>4.2987605878743368E-2</c:v>
                </c:pt>
                <c:pt idx="51">
                  <c:v>4.1869101099136052E-2</c:v>
                </c:pt>
                <c:pt idx="52">
                  <c:v>4.061839807496654E-2</c:v>
                </c:pt>
                <c:pt idx="53">
                  <c:v>3.9208457297891644E-2</c:v>
                </c:pt>
                <c:pt idx="54">
                  <c:v>3.9138577932565075E-2</c:v>
                </c:pt>
                <c:pt idx="55">
                  <c:v>3.8700639885414126E-2</c:v>
                </c:pt>
                <c:pt idx="56">
                  <c:v>3.8248902096289603E-2</c:v>
                </c:pt>
                <c:pt idx="57">
                  <c:v>3.7782640648768906E-2</c:v>
                </c:pt>
                <c:pt idx="58">
                  <c:v>3.730107786930055E-2</c:v>
                </c:pt>
                <c:pt idx="59">
                  <c:v>3.6803377113636897E-2</c:v>
                </c:pt>
                <c:pt idx="60">
                  <c:v>3.6707114502916818E-2</c:v>
                </c:pt>
                <c:pt idx="61">
                  <c:v>3.6332090686497252E-2</c:v>
                </c:pt>
                <c:pt idx="62">
                  <c:v>3.5949946546596896E-2</c:v>
                </c:pt>
                <c:pt idx="63">
                  <c:v>3.5560452289419966E-2</c:v>
                </c:pt>
                <c:pt idx="64">
                  <c:v>3.5163367573450087E-2</c:v>
                </c:pt>
                <c:pt idx="65">
                  <c:v>3.4758440877693947E-2</c:v>
                </c:pt>
                <c:pt idx="66">
                  <c:v>3.4626564069574095E-2</c:v>
                </c:pt>
                <c:pt idx="67">
                  <c:v>3.4234002433908131E-2</c:v>
                </c:pt>
                <c:pt idx="68">
                  <c:v>3.3836287095768913E-2</c:v>
                </c:pt>
                <c:pt idx="69">
                  <c:v>3.3433297535855326E-2</c:v>
                </c:pt>
                <c:pt idx="70">
                  <c:v>3.3024909156120615E-2</c:v>
                </c:pt>
                <c:pt idx="71">
                  <c:v>3.2610993098190266E-2</c:v>
                </c:pt>
                <c:pt idx="72">
                  <c:v>3.2427097276084366E-2</c:v>
                </c:pt>
                <c:pt idx="73">
                  <c:v>3.1966469343270437E-2</c:v>
                </c:pt>
                <c:pt idx="74">
                  <c:v>3.1501826597655436E-2</c:v>
                </c:pt>
                <c:pt idx="75">
                  <c:v>3.1033099833757447E-2</c:v>
                </c:pt>
                <c:pt idx="76">
                  <c:v>3.056021805402042E-2</c:v>
                </c:pt>
                <c:pt idx="77">
                  <c:v>3.008310840662021E-2</c:v>
                </c:pt>
                <c:pt idx="78">
                  <c:v>2.9816876705514118E-2</c:v>
                </c:pt>
                <c:pt idx="79">
                  <c:v>2.9212352629059028E-2</c:v>
                </c:pt>
                <c:pt idx="80">
                  <c:v>2.8605242181540261E-2</c:v>
                </c:pt>
                <c:pt idx="81">
                  <c:v>2.7995514853998881E-2</c:v>
                </c:pt>
                <c:pt idx="82">
                  <c:v>2.7383139545361191E-2</c:v>
                </c:pt>
                <c:pt idx="83">
                  <c:v>2.6768084546365017E-2</c:v>
                </c:pt>
                <c:pt idx="84">
                  <c:v>2.6364886215480627E-2</c:v>
                </c:pt>
                <c:pt idx="85">
                  <c:v>2.5434984868880014E-2</c:v>
                </c:pt>
                <c:pt idx="86">
                  <c:v>2.4507406010772174E-2</c:v>
                </c:pt>
                <c:pt idx="87">
                  <c:v>2.3582160235040658E-2</c:v>
                </c:pt>
                <c:pt idx="88">
                  <c:v>2.2659258260566858E-2</c:v>
                </c:pt>
                <c:pt idx="89">
                  <c:v>2.1738710933608227E-2</c:v>
                </c:pt>
                <c:pt idx="90">
                  <c:v>2.1081720637751187E-2</c:v>
                </c:pt>
                <c:pt idx="91">
                  <c:v>1.9248217002343117E-2</c:v>
                </c:pt>
                <c:pt idx="92">
                  <c:v>1.7451015965716965E-2</c:v>
                </c:pt>
                <c:pt idx="93">
                  <c:v>1.5689664210108641E-2</c:v>
                </c:pt>
                <c:pt idx="94">
                  <c:v>1.3963710715934254E-2</c:v>
                </c:pt>
                <c:pt idx="95">
                  <c:v>1.2272706767361962E-2</c:v>
                </c:pt>
                <c:pt idx="96">
                  <c:v>1.110536715321288E-2</c:v>
                </c:pt>
                <c:pt idx="97">
                  <c:v>5.3087155794068544E-3</c:v>
                </c:pt>
                <c:pt idx="98">
                  <c:v>1.4762624365700569E-4</c:v>
                </c:pt>
                <c:pt idx="99">
                  <c:v>-4.4421755878398233E-3</c:v>
                </c:pt>
                <c:pt idx="100">
                  <c:v>-8.5190223116749422E-3</c:v>
                </c:pt>
                <c:pt idx="101">
                  <c:v>-1.2135800785290791E-2</c:v>
                </c:pt>
                <c:pt idx="102">
                  <c:v>-1.5340412074520334E-2</c:v>
                </c:pt>
                <c:pt idx="103">
                  <c:v>-1.8176196572737911E-2</c:v>
                </c:pt>
                <c:pt idx="104">
                  <c:v>-2.0682326778149206E-2</c:v>
                </c:pt>
                <c:pt idx="105">
                  <c:v>-2.2894169886446609E-2</c:v>
                </c:pt>
                <c:pt idx="106">
                  <c:v>-2.4843622232810607E-2</c:v>
                </c:pt>
                <c:pt idx="107">
                  <c:v>-2.6559417499823705E-2</c:v>
                </c:pt>
                <c:pt idx="108">
                  <c:v>-2.8067410496081739E-2</c:v>
                </c:pt>
                <c:pt idx="109">
                  <c:v>-3.8021197270750741E-2</c:v>
                </c:pt>
              </c:numCache>
            </c:numRef>
          </c:xVal>
          <c:yVal>
            <c:numRef>
              <c:f>'Down-Auswert'!$AN$5:$AN$114</c:f>
              <c:numCache>
                <c:formatCode>General</c:formatCode>
                <c:ptCount val="110"/>
                <c:pt idx="0">
                  <c:v>2</c:v>
                </c:pt>
                <c:pt idx="1">
                  <c:v>1.8620437666761234</c:v>
                </c:pt>
                <c:pt idx="2">
                  <c:v>1.7411859583464393</c:v>
                </c:pt>
                <c:pt idx="3">
                  <c:v>1.6354265816357214</c:v>
                </c:pt>
                <c:pt idx="4">
                  <c:v>1.5429838572310519</c:v>
                </c:pt>
                <c:pt idx="5">
                  <c:v>1.4622725953237117</c:v>
                </c:pt>
                <c:pt idx="6">
                  <c:v>1.4616059968409476</c:v>
                </c:pt>
                <c:pt idx="7">
                  <c:v>1.3226503340259448</c:v>
                </c:pt>
                <c:pt idx="8">
                  <c:v>1.201196899413703</c:v>
                </c:pt>
                <c:pt idx="9">
                  <c:v>1.0961751967187214</c:v>
                </c:pt>
                <c:pt idx="10">
                  <c:v>1.006280829205346</c:v>
                </c:pt>
                <c:pt idx="11">
                  <c:v>0.93012741271816513</c:v>
                </c:pt>
                <c:pt idx="12">
                  <c:v>0.93001918678854134</c:v>
                </c:pt>
                <c:pt idx="13">
                  <c:v>0.88442474728771359</c:v>
                </c:pt>
                <c:pt idx="14">
                  <c:v>0.83570812630722879</c:v>
                </c:pt>
                <c:pt idx="15">
                  <c:v>0.78304233720895833</c:v>
                </c:pt>
                <c:pt idx="16">
                  <c:v>0.72516987713149195</c:v>
                </c:pt>
                <c:pt idx="17">
                  <c:v>0.66008932461617897</c:v>
                </c:pt>
                <c:pt idx="18">
                  <c:v>0.66000334397619942</c:v>
                </c:pt>
                <c:pt idx="19">
                  <c:v>0.6396439948523539</c:v>
                </c:pt>
                <c:pt idx="20">
                  <c:v>0.61499256812831571</c:v>
                </c:pt>
                <c:pt idx="21">
                  <c:v>0.58431306732801991</c:v>
                </c:pt>
                <c:pt idx="22">
                  <c:v>0.54471299307162646</c:v>
                </c:pt>
                <c:pt idx="23">
                  <c:v>0.49093062464601023</c:v>
                </c:pt>
                <c:pt idx="24">
                  <c:v>0.49075210526579482</c:v>
                </c:pt>
                <c:pt idx="25">
                  <c:v>0.47499171335269352</c:v>
                </c:pt>
                <c:pt idx="26">
                  <c:v>0.4561609340668823</c:v>
                </c:pt>
                <c:pt idx="27">
                  <c:v>0.43327299320536711</c:v>
                </c:pt>
                <c:pt idx="28">
                  <c:v>0.40486992851905057</c:v>
                </c:pt>
                <c:pt idx="29">
                  <c:v>0.36870434438802224</c:v>
                </c:pt>
                <c:pt idx="30">
                  <c:v>0.36836040959449856</c:v>
                </c:pt>
                <c:pt idx="31">
                  <c:v>0.35438270131726196</c:v>
                </c:pt>
                <c:pt idx="32">
                  <c:v>0.33825051423127062</c:v>
                </c:pt>
                <c:pt idx="33">
                  <c:v>0.31945396146273569</c:v>
                </c:pt>
                <c:pt idx="34">
                  <c:v>0.29731396689352185</c:v>
                </c:pt>
                <c:pt idx="35">
                  <c:v>0.27090734905059011</c:v>
                </c:pt>
                <c:pt idx="36">
                  <c:v>0.27035186996590804</c:v>
                </c:pt>
                <c:pt idx="37">
                  <c:v>0.25714679168466348</c:v>
                </c:pt>
                <c:pt idx="38">
                  <c:v>0.24226903604477493</c:v>
                </c:pt>
                <c:pt idx="39">
                  <c:v>0.22540513361184522</c:v>
                </c:pt>
                <c:pt idx="40">
                  <c:v>0.20616166973204486</c:v>
                </c:pt>
                <c:pt idx="41">
                  <c:v>0.18403883794145151</c:v>
                </c:pt>
                <c:pt idx="42">
                  <c:v>0.18321833372345592</c:v>
                </c:pt>
                <c:pt idx="43">
                  <c:v>0.16889161215934442</c:v>
                </c:pt>
                <c:pt idx="44">
                  <c:v>0.15284849289904154</c:v>
                </c:pt>
                <c:pt idx="45">
                  <c:v>0.13478994727902566</c:v>
                </c:pt>
                <c:pt idx="46">
                  <c:v>0.11434692233598874</c:v>
                </c:pt>
                <c:pt idx="47">
                  <c:v>9.1059294252272799E-2</c:v>
                </c:pt>
                <c:pt idx="48">
                  <c:v>8.9833694127444172E-2</c:v>
                </c:pt>
                <c:pt idx="49">
                  <c:v>6.5318298750246737E-2</c:v>
                </c:pt>
                <c:pt idx="50">
                  <c:v>3.6604833540627359E-2</c:v>
                </c:pt>
                <c:pt idx="51">
                  <c:v>2.6351755261725396E-3</c:v>
                </c:pt>
                <c:pt idx="52">
                  <c:v>-3.8013620171863036E-2</c:v>
                </c:pt>
                <c:pt idx="53">
                  <c:v>-8.7294324455774633E-2</c:v>
                </c:pt>
                <c:pt idx="54">
                  <c:v>-8.9833694126438851E-2</c:v>
                </c:pt>
                <c:pt idx="55">
                  <c:v>-0.10593297621034133</c:v>
                </c:pt>
                <c:pt idx="56">
                  <c:v>-0.12286816113522439</c:v>
                </c:pt>
                <c:pt idx="57">
                  <c:v>-0.14070067537947023</c:v>
                </c:pt>
                <c:pt idx="58">
                  <c:v>-0.15949783926447536</c:v>
                </c:pt>
                <c:pt idx="59">
                  <c:v>-0.17933357052113019</c:v>
                </c:pt>
                <c:pt idx="60">
                  <c:v>-0.18321833372342641</c:v>
                </c:pt>
                <c:pt idx="61">
                  <c:v>-0.19847986787349678</c:v>
                </c:pt>
                <c:pt idx="62">
                  <c:v>-0.21423068279328372</c:v>
                </c:pt>
                <c:pt idx="63">
                  <c:v>-0.23049308791037193</c:v>
                </c:pt>
                <c:pt idx="64">
                  <c:v>-0.24729071988769602</c:v>
                </c:pt>
                <c:pt idx="65">
                  <c:v>-0.2646486405230255</c:v>
                </c:pt>
                <c:pt idx="66">
                  <c:v>-0.27035186996586758</c:v>
                </c:pt>
                <c:pt idx="67">
                  <c:v>-0.28745016794846912</c:v>
                </c:pt>
                <c:pt idx="68">
                  <c:v>-0.3049462386094014</c:v>
                </c:pt>
                <c:pt idx="69">
                  <c:v>-0.32285347471989978</c:v>
                </c:pt>
                <c:pt idx="70">
                  <c:v>-0.34118586219280106</c:v>
                </c:pt>
                <c:pt idx="71">
                  <c:v>-0.35995801278084277</c:v>
                </c:pt>
                <c:pt idx="72">
                  <c:v>-0.36836040959446409</c:v>
                </c:pt>
                <c:pt idx="73">
                  <c:v>-0.38954294105617238</c:v>
                </c:pt>
                <c:pt idx="74">
                  <c:v>-0.41108898901980684</c:v>
                </c:pt>
                <c:pt idx="75">
                  <c:v>-0.43300792658788362</c:v>
                </c:pt>
                <c:pt idx="76">
                  <c:v>-0.45530945074810331</c:v>
                </c:pt>
                <c:pt idx="77">
                  <c:v>-0.47800359645463403</c:v>
                </c:pt>
                <c:pt idx="78">
                  <c:v>-0.49075210650335316</c:v>
                </c:pt>
                <c:pt idx="79">
                  <c:v>-0.51987641157546294</c:v>
                </c:pt>
                <c:pt idx="80">
                  <c:v>-0.54934275620558726</c:v>
                </c:pt>
                <c:pt idx="81">
                  <c:v>-0.57915775437089356</c:v>
                </c:pt>
                <c:pt idx="82">
                  <c:v>-0.60932819891252632</c:v>
                </c:pt>
                <c:pt idx="83">
                  <c:v>-0.63986106777211527</c:v>
                </c:pt>
                <c:pt idx="84">
                  <c:v>-0.6600033439761932</c:v>
                </c:pt>
                <c:pt idx="85">
                  <c:v>-0.70673774467009898</c:v>
                </c:pt>
                <c:pt idx="86">
                  <c:v>-0.75368542412394679</c:v>
                </c:pt>
                <c:pt idx="87">
                  <c:v>-0.80084888155731515</c:v>
                </c:pt>
                <c:pt idx="88">
                  <c:v>-0.84823066359744104</c:v>
                </c:pt>
                <c:pt idx="89">
                  <c:v>-0.89583336552734549</c:v>
                </c:pt>
                <c:pt idx="90">
                  <c:v>-0.93001918678854323</c:v>
                </c:pt>
                <c:pt idx="91">
                  <c:v>-1.0260283596765771</c:v>
                </c:pt>
                <c:pt idx="92">
                  <c:v>-1.1208435444690741</c:v>
                </c:pt>
                <c:pt idx="93">
                  <c:v>-1.214470759464513</c:v>
                </c:pt>
                <c:pt idx="94">
                  <c:v>-1.3069160377419182</c:v>
                </c:pt>
                <c:pt idx="95">
                  <c:v>-1.3981854273114467</c:v>
                </c:pt>
                <c:pt idx="96">
                  <c:v>-1.461605996840929</c:v>
                </c:pt>
                <c:pt idx="97">
                  <c:v>-1.7789431906899964</c:v>
                </c:pt>
                <c:pt idx="98">
                  <c:v>-2.0643393022949534</c:v>
                </c:pt>
                <c:pt idx="99">
                  <c:v>-2.3207332339431965</c:v>
                </c:pt>
                <c:pt idx="100">
                  <c:v>-2.5508193784167714</c:v>
                </c:pt>
                <c:pt idx="101">
                  <c:v>-2.757065764274552</c:v>
                </c:pt>
                <c:pt idx="102">
                  <c:v>-2.9417310208689211</c:v>
                </c:pt>
                <c:pt idx="103">
                  <c:v>-3.1068802288327175</c:v>
                </c:pt>
                <c:pt idx="104">
                  <c:v>-3.2543997187378144</c:v>
                </c:pt>
                <c:pt idx="105">
                  <c:v>-3.3860108777033582</c:v>
                </c:pt>
                <c:pt idx="106">
                  <c:v>-3.5032830209155228</c:v>
                </c:pt>
                <c:pt idx="107">
                  <c:v>-3.6076453823090135</c:v>
                </c:pt>
                <c:pt idx="108">
                  <c:v>-3.7003982760515446</c:v>
                </c:pt>
                <c:pt idx="109">
                  <c:v>-4.3694258988187009</c:v>
                </c:pt>
              </c:numCache>
            </c:numRef>
          </c:yVal>
        </c:ser>
        <c:ser>
          <c:idx val="2"/>
          <c:order val="2"/>
          <c:marker>
            <c:symbol val="none"/>
          </c:marker>
          <c:xVal>
            <c:numRef>
              <c:f>'Down-Auswert'!$AP$5:$AP$114</c:f>
              <c:numCache>
                <c:formatCode>General</c:formatCode>
                <c:ptCount val="110"/>
                <c:pt idx="0">
                  <c:v>3</c:v>
                </c:pt>
                <c:pt idx="1">
                  <c:v>2.529519746123281</c:v>
                </c:pt>
                <c:pt idx="2">
                  <c:v>2.1373940063546835</c:v>
                </c:pt>
                <c:pt idx="3">
                  <c:v>1.8107030079973268</c:v>
                </c:pt>
                <c:pt idx="4">
                  <c:v>1.5386457329575713</c:v>
                </c:pt>
                <c:pt idx="5">
                  <c:v>1.3121927297222995</c:v>
                </c:pt>
                <c:pt idx="6">
                  <c:v>1.3106581896287777</c:v>
                </c:pt>
                <c:pt idx="7">
                  <c:v>0.97194561082046704</c:v>
                </c:pt>
                <c:pt idx="8">
                  <c:v>0.72499508986561412</c:v>
                </c:pt>
                <c:pt idx="9">
                  <c:v>0.54503110856260928</c:v>
                </c:pt>
                <c:pt idx="10">
                  <c:v>0.41425397250311979</c:v>
                </c:pt>
                <c:pt idx="11">
                  <c:v>0.31974749004517244</c:v>
                </c:pt>
                <c:pt idx="12">
                  <c:v>0.31964083558232348</c:v>
                </c:pt>
                <c:pt idx="13">
                  <c:v>0.2721966954213843</c:v>
                </c:pt>
                <c:pt idx="14">
                  <c:v>0.2302546421417338</c:v>
                </c:pt>
                <c:pt idx="15">
                  <c:v>0.19301384632390448</c:v>
                </c:pt>
                <c:pt idx="16">
                  <c:v>0.15988338089983845</c:v>
                </c:pt>
                <c:pt idx="17">
                  <c:v>0.13046033273065821</c:v>
                </c:pt>
                <c:pt idx="18">
                  <c:v>0.13043088453380122</c:v>
                </c:pt>
                <c:pt idx="19">
                  <c:v>0.12281195727093178</c:v>
                </c:pt>
                <c:pt idx="20">
                  <c:v>0.11473600232653439</c:v>
                </c:pt>
                <c:pt idx="21">
                  <c:v>0.10607540509916322</c:v>
                </c:pt>
                <c:pt idx="22">
                  <c:v>9.6647994111864532E-2</c:v>
                </c:pt>
                <c:pt idx="23">
                  <c:v>8.6176026558474311E-2</c:v>
                </c:pt>
                <c:pt idx="24">
                  <c:v>8.6149265955833706E-2</c:v>
                </c:pt>
                <c:pt idx="25">
                  <c:v>8.3530203423021282E-2</c:v>
                </c:pt>
                <c:pt idx="26">
                  <c:v>8.0665953011904448E-2</c:v>
                </c:pt>
                <c:pt idx="27">
                  <c:v>7.7505392667610334E-2</c:v>
                </c:pt>
                <c:pt idx="28">
                  <c:v>7.3979887251603177E-2</c:v>
                </c:pt>
                <c:pt idx="29">
                  <c:v>6.9994291991023153E-2</c:v>
                </c:pt>
                <c:pt idx="30">
                  <c:v>6.9963533738884504E-2</c:v>
                </c:pt>
                <c:pt idx="31">
                  <c:v>6.8566083173893011E-2</c:v>
                </c:pt>
                <c:pt idx="32">
                  <c:v>6.7050487809497322E-2</c:v>
                </c:pt>
                <c:pt idx="33">
                  <c:v>6.5397772744477056E-2</c:v>
                </c:pt>
                <c:pt idx="34">
                  <c:v>6.3584277338631395E-2</c:v>
                </c:pt>
                <c:pt idx="35">
                  <c:v>6.158002679026827E-2</c:v>
                </c:pt>
                <c:pt idx="36">
                  <c:v>6.1544899363543189E-2</c:v>
                </c:pt>
                <c:pt idx="37">
                  <c:v>6.0606848374388296E-2</c:v>
                </c:pt>
                <c:pt idx="38">
                  <c:v>5.9599634919629552E-2</c:v>
                </c:pt>
                <c:pt idx="39">
                  <c:v>5.851422634292712E-2</c:v>
                </c:pt>
                <c:pt idx="40">
                  <c:v>5.7339842389098519E-2</c:v>
                </c:pt>
                <c:pt idx="41">
                  <c:v>5.6063494121978544E-2</c:v>
                </c:pt>
                <c:pt idx="42">
                  <c:v>5.6023584402993279E-2</c:v>
                </c:pt>
                <c:pt idx="43">
                  <c:v>5.5239970136321155E-2</c:v>
                </c:pt>
                <c:pt idx="44">
                  <c:v>5.4399984818112042E-2</c:v>
                </c:pt>
                <c:pt idx="45">
                  <c:v>5.3496687901777203E-2</c:v>
                </c:pt>
                <c:pt idx="46">
                  <c:v>5.2521894556158071E-2</c:v>
                </c:pt>
                <c:pt idx="47">
                  <c:v>5.1465875324662208E-2</c:v>
                </c:pt>
                <c:pt idx="48">
                  <c:v>5.1418853151222702E-2</c:v>
                </c:pt>
                <c:pt idx="49">
                  <c:v>5.0370615781328218E-2</c:v>
                </c:pt>
                <c:pt idx="50">
                  <c:v>4.9213800219653936E-2</c:v>
                </c:pt>
                <c:pt idx="51">
                  <c:v>4.7929120601890265E-2</c:v>
                </c:pt>
                <c:pt idx="52">
                  <c:v>4.6492234510184263E-2</c:v>
                </c:pt>
                <c:pt idx="53">
                  <c:v>4.4871923180640969E-2</c:v>
                </c:pt>
                <c:pt idx="54">
                  <c:v>4.4802062507781085E-2</c:v>
                </c:pt>
                <c:pt idx="55">
                  <c:v>4.4297452463435513E-2</c:v>
                </c:pt>
                <c:pt idx="56">
                  <c:v>4.3776852742528259E-2</c:v>
                </c:pt>
                <c:pt idx="57">
                  <c:v>4.3239419646646418E-2</c:v>
                </c:pt>
                <c:pt idx="58">
                  <c:v>4.2684246452620936E-2</c:v>
                </c:pt>
                <c:pt idx="59">
                  <c:v>4.2110357263019545E-2</c:v>
                </c:pt>
                <c:pt idx="60">
                  <c:v>4.201410881849757E-2</c:v>
                </c:pt>
                <c:pt idx="61">
                  <c:v>4.1580558589267777E-2</c:v>
                </c:pt>
                <c:pt idx="62">
                  <c:v>4.1138703386659439E-2</c:v>
                </c:pt>
                <c:pt idx="63">
                  <c:v>4.068827272973826E-2</c:v>
                </c:pt>
                <c:pt idx="64">
                  <c:v>4.0228983607264984E-2</c:v>
                </c:pt>
                <c:pt idx="65">
                  <c:v>3.9760539720147162E-2</c:v>
                </c:pt>
                <c:pt idx="66">
                  <c:v>3.9628675710842311E-2</c:v>
                </c:pt>
                <c:pt idx="67">
                  <c:v>3.9173502666908423E-2</c:v>
                </c:pt>
                <c:pt idx="68">
                  <c:v>3.8712282750604073E-2</c:v>
                </c:pt>
                <c:pt idx="69">
                  <c:v>3.8244872835743668E-2</c:v>
                </c:pt>
                <c:pt idx="70">
                  <c:v>3.7771124892908209E-2</c:v>
                </c:pt>
                <c:pt idx="71">
                  <c:v>3.7290885768453616E-2</c:v>
                </c:pt>
                <c:pt idx="72">
                  <c:v>3.7107006502884288E-2</c:v>
                </c:pt>
                <c:pt idx="73">
                  <c:v>3.6571388633127394E-2</c:v>
                </c:pt>
                <c:pt idx="74">
                  <c:v>3.6031033346549557E-2</c:v>
                </c:pt>
                <c:pt idx="75">
                  <c:v>3.5485857750157522E-2</c:v>
                </c:pt>
                <c:pt idx="76">
                  <c:v>3.4935776771908768E-2</c:v>
                </c:pt>
                <c:pt idx="77">
                  <c:v>3.4380703083937939E-2</c:v>
                </c:pt>
                <c:pt idx="78">
                  <c:v>3.411450721690247E-2</c:v>
                </c:pt>
                <c:pt idx="79">
                  <c:v>3.3409844207901405E-2</c:v>
                </c:pt>
                <c:pt idx="80">
                  <c:v>3.2702114602622186E-2</c:v>
                </c:pt>
                <c:pt idx="81">
                  <c:v>3.1991281586336441E-2</c:v>
                </c:pt>
                <c:pt idx="82">
                  <c:v>3.1277307617222694E-2</c:v>
                </c:pt>
                <c:pt idx="83">
                  <c:v>3.0560154406277431E-2</c:v>
                </c:pt>
                <c:pt idx="84">
                  <c:v>3.015706161188686E-2</c:v>
                </c:pt>
                <c:pt idx="85">
                  <c:v>2.9071510201823605E-2</c:v>
                </c:pt>
                <c:pt idx="86">
                  <c:v>2.7988722358092605E-2</c:v>
                </c:pt>
                <c:pt idx="87">
                  <c:v>2.6908710909630536E-2</c:v>
                </c:pt>
                <c:pt idx="88">
                  <c:v>2.5831488839819859E-2</c:v>
                </c:pt>
                <c:pt idx="89">
                  <c:v>2.4757069289484561E-2</c:v>
                </c:pt>
                <c:pt idx="90">
                  <c:v>2.4100457005862174E-2</c:v>
                </c:pt>
                <c:pt idx="91">
                  <c:v>2.1961075648422285E-2</c:v>
                </c:pt>
                <c:pt idx="92">
                  <c:v>1.9864838486107775E-2</c:v>
                </c:pt>
                <c:pt idx="93">
                  <c:v>1.7811196644669576E-2</c:v>
                </c:pt>
                <c:pt idx="94">
                  <c:v>1.5799604087290489E-2</c:v>
                </c:pt>
                <c:pt idx="95">
                  <c:v>1.3829517621538305E-2</c:v>
                </c:pt>
                <c:pt idx="96">
                  <c:v>1.2663874113037732E-2</c:v>
                </c:pt>
                <c:pt idx="97">
                  <c:v>6.0182218456877072E-3</c:v>
                </c:pt>
                <c:pt idx="98">
                  <c:v>1.0172205701515329E-4</c:v>
                </c:pt>
                <c:pt idx="99">
                  <c:v>-5.1594167333228174E-3</c:v>
                </c:pt>
                <c:pt idx="100">
                  <c:v>-9.8321589099062048E-3</c:v>
                </c:pt>
                <c:pt idx="101">
                  <c:v>-1.3977212951379778E-2</c:v>
                </c:pt>
                <c:pt idx="102">
                  <c:v>-1.7649559988924195E-2</c:v>
                </c:pt>
                <c:pt idx="103">
                  <c:v>-2.0898942522600529E-2</c:v>
                </c:pt>
                <c:pt idx="104">
                  <c:v>-2.3770315928518693E-2</c:v>
                </c:pt>
                <c:pt idx="105">
                  <c:v>-2.6304265240742399E-2</c:v>
                </c:pt>
                <c:pt idx="106">
                  <c:v>-2.8537389549812518E-2</c:v>
                </c:pt>
                <c:pt idx="107">
                  <c:v>-3.0502656224468315E-2</c:v>
                </c:pt>
                <c:pt idx="108">
                  <c:v>-3.2229727034323495E-2</c:v>
                </c:pt>
                <c:pt idx="109">
                  <c:v>-4.361973022479089E-2</c:v>
                </c:pt>
              </c:numCache>
            </c:numRef>
          </c:xVal>
          <c:yVal>
            <c:numRef>
              <c:f>'Down-Auswert'!$AQ$5:$AQ$114</c:f>
              <c:numCache>
                <c:formatCode>General</c:formatCode>
                <c:ptCount val="110"/>
                <c:pt idx="0">
                  <c:v>2</c:v>
                </c:pt>
                <c:pt idx="1">
                  <c:v>1.861470162081682</c:v>
                </c:pt>
                <c:pt idx="2">
                  <c:v>1.7402641719234779</c:v>
                </c:pt>
                <c:pt idx="3">
                  <c:v>1.6344560391564991</c:v>
                </c:pt>
                <c:pt idx="4">
                  <c:v>1.5422868552668765</c:v>
                </c:pt>
                <c:pt idx="5">
                  <c:v>1.4621610221038943</c:v>
                </c:pt>
                <c:pt idx="6">
                  <c:v>1.4616059968409474</c:v>
                </c:pt>
                <c:pt idx="7">
                  <c:v>1.325258005807036</c:v>
                </c:pt>
                <c:pt idx="8">
                  <c:v>1.203671420905517</c:v>
                </c:pt>
                <c:pt idx="9">
                  <c:v>1.0976683578440132</c:v>
                </c:pt>
                <c:pt idx="10">
                  <c:v>1.0068296628345523</c:v>
                </c:pt>
                <c:pt idx="11">
                  <c:v>0.93011291341001956</c:v>
                </c:pt>
                <c:pt idx="12">
                  <c:v>0.93001918678854067</c:v>
                </c:pt>
                <c:pt idx="13">
                  <c:v>0.88422531437306595</c:v>
                </c:pt>
                <c:pt idx="14">
                  <c:v>0.83532949755506802</c:v>
                </c:pt>
                <c:pt idx="15">
                  <c:v>0.78259548093564724</c:v>
                </c:pt>
                <c:pt idx="16">
                  <c:v>0.72482851693670813</c:v>
                </c:pt>
                <c:pt idx="17">
                  <c:v>0.66007703583354516</c:v>
                </c:pt>
                <c:pt idx="18">
                  <c:v>0.66000334397619953</c:v>
                </c:pt>
                <c:pt idx="19">
                  <c:v>0.63968574342314044</c:v>
                </c:pt>
                <c:pt idx="20">
                  <c:v>0.61507621957380443</c:v>
                </c:pt>
                <c:pt idx="21">
                  <c:v>0.58442719027916579</c:v>
                </c:pt>
                <c:pt idx="22">
                  <c:v>0.54481698301883763</c:v>
                </c:pt>
                <c:pt idx="23">
                  <c:v>0.49090643989371363</c:v>
                </c:pt>
                <c:pt idx="24">
                  <c:v>0.49075254136969149</c:v>
                </c:pt>
                <c:pt idx="25">
                  <c:v>0.47502332743065034</c:v>
                </c:pt>
                <c:pt idx="26">
                  <c:v>0.45621573478676775</c:v>
                </c:pt>
                <c:pt idx="27">
                  <c:v>0.43333488421702082</c:v>
                </c:pt>
                <c:pt idx="28">
                  <c:v>0.4049078482680063</c:v>
                </c:pt>
                <c:pt idx="29">
                  <c:v>0.36865846759213594</c:v>
                </c:pt>
                <c:pt idx="30">
                  <c:v>0.36836040959449901</c:v>
                </c:pt>
                <c:pt idx="31">
                  <c:v>0.35439083452404707</c:v>
                </c:pt>
                <c:pt idx="32">
                  <c:v>0.33826015840677687</c:v>
                </c:pt>
                <c:pt idx="33">
                  <c:v>0.31945486510872267</c:v>
                </c:pt>
                <c:pt idx="34">
                  <c:v>0.29729030324285094</c:v>
                </c:pt>
                <c:pt idx="35">
                  <c:v>0.27083455085034153</c:v>
                </c:pt>
                <c:pt idx="36">
                  <c:v>0.27035186996590799</c:v>
                </c:pt>
                <c:pt idx="37">
                  <c:v>0.25714226714140342</c:v>
                </c:pt>
                <c:pt idx="38">
                  <c:v>0.24225418904268495</c:v>
                </c:pt>
                <c:pt idx="39">
                  <c:v>0.22537203251170584</c:v>
                </c:pt>
                <c:pt idx="40">
                  <c:v>0.20609942141697302</c:v>
                </c:pt>
                <c:pt idx="41">
                  <c:v>0.18393238638249132</c:v>
                </c:pt>
                <c:pt idx="42">
                  <c:v>0.18321833372345622</c:v>
                </c:pt>
                <c:pt idx="43">
                  <c:v>0.16887806075567702</c:v>
                </c:pt>
                <c:pt idx="44">
                  <c:v>0.15281481479318199</c:v>
                </c:pt>
                <c:pt idx="45">
                  <c:v>0.13472750943691025</c:v>
                </c:pt>
                <c:pt idx="46">
                  <c:v>0.11424432677268127</c:v>
                </c:pt>
                <c:pt idx="47">
                  <c:v>9.0901386644803156E-2</c:v>
                </c:pt>
                <c:pt idx="48">
                  <c:v>8.9833694127447711E-2</c:v>
                </c:pt>
                <c:pt idx="49">
                  <c:v>6.5295873903718729E-2</c:v>
                </c:pt>
                <c:pt idx="50">
                  <c:v>3.6546455807931727E-2</c:v>
                </c:pt>
                <c:pt idx="51">
                  <c:v>2.5212824827392233E-3</c:v>
                </c:pt>
                <c:pt idx="52">
                  <c:v>-3.8211680390595318E-2</c:v>
                </c:pt>
                <c:pt idx="53">
                  <c:v>-8.7619207113164191E-2</c:v>
                </c:pt>
                <c:pt idx="54">
                  <c:v>-8.9833694127008271E-2</c:v>
                </c:pt>
                <c:pt idx="55">
                  <c:v>-0.10601214149572863</c:v>
                </c:pt>
                <c:pt idx="56">
                  <c:v>-0.12303543973786224</c:v>
                </c:pt>
                <c:pt idx="57">
                  <c:v>-0.14096603811146102</c:v>
                </c:pt>
                <c:pt idx="58">
                  <c:v>-0.15987241384767817</c:v>
                </c:pt>
                <c:pt idx="59">
                  <c:v>-0.17982979614430167</c:v>
                </c:pt>
                <c:pt idx="60">
                  <c:v>-0.18321833372344964</c:v>
                </c:pt>
                <c:pt idx="61">
                  <c:v>-0.19860709683563632</c:v>
                </c:pt>
                <c:pt idx="62">
                  <c:v>-0.21449369526708531</c:v>
                </c:pt>
                <c:pt idx="63">
                  <c:v>-0.23090103728187275</c:v>
                </c:pt>
                <c:pt idx="64">
                  <c:v>-0.24785340670934214</c:v>
                </c:pt>
                <c:pt idx="65">
                  <c:v>-0.26537656536714688</c:v>
                </c:pt>
                <c:pt idx="66">
                  <c:v>-0.27035186996589744</c:v>
                </c:pt>
                <c:pt idx="67">
                  <c:v>-0.28764481018783217</c:v>
                </c:pt>
                <c:pt idx="68">
                  <c:v>-0.30534490456125607</c:v>
                </c:pt>
                <c:pt idx="69">
                  <c:v>-0.32346602891213311</c:v>
                </c:pt>
                <c:pt idx="70">
                  <c:v>-0.3420226811745633</c:v>
                </c:pt>
                <c:pt idx="71">
                  <c:v>-0.3610300161129858</c:v>
                </c:pt>
                <c:pt idx="72">
                  <c:v>-0.36836040959448979</c:v>
                </c:pt>
                <c:pt idx="73">
                  <c:v>-0.38984595637082142</c:v>
                </c:pt>
                <c:pt idx="74">
                  <c:v>-0.41170573190913212</c:v>
                </c:pt>
                <c:pt idx="75">
                  <c:v>-0.43394953113022472</c:v>
                </c:pt>
                <c:pt idx="76">
                  <c:v>-0.45658749256762327</c:v>
                </c:pt>
                <c:pt idx="77">
                  <c:v>-0.47963011353594875</c:v>
                </c:pt>
                <c:pt idx="78">
                  <c:v>-0.49075210650336931</c:v>
                </c:pt>
                <c:pt idx="79">
                  <c:v>-0.52036634567510964</c:v>
                </c:pt>
                <c:pt idx="80">
                  <c:v>-0.55033444370057705</c:v>
                </c:pt>
                <c:pt idx="81">
                  <c:v>-0.58066336351449122</c:v>
                </c:pt>
                <c:pt idx="82">
                  <c:v>-0.61136025969107</c:v>
                </c:pt>
                <c:pt idx="83">
                  <c:v>-0.64243248524536489</c:v>
                </c:pt>
                <c:pt idx="84">
                  <c:v>-0.66000334397619786</c:v>
                </c:pt>
                <c:pt idx="85">
                  <c:v>-0.7075959035738969</c:v>
                </c:pt>
                <c:pt idx="86">
                  <c:v>-0.7554097673159812</c:v>
                </c:pt>
                <c:pt idx="87">
                  <c:v>-0.80344757824448121</c:v>
                </c:pt>
                <c:pt idx="88">
                  <c:v>-0.85171203050311239</c:v>
                </c:pt>
                <c:pt idx="89">
                  <c:v>-0.90020587070880986</c:v>
                </c:pt>
                <c:pt idx="90">
                  <c:v>-0.93001918678854079</c:v>
                </c:pt>
                <c:pt idx="91">
                  <c:v>-1.0277472483373911</c:v>
                </c:pt>
                <c:pt idx="92">
                  <c:v>-1.1242373361368305</c:v>
                </c:pt>
                <c:pt idx="93">
                  <c:v>-1.2194958086444749</c:v>
                </c:pt>
                <c:pt idx="94">
                  <c:v>-1.3135290401908102</c:v>
                </c:pt>
                <c:pt idx="95">
                  <c:v>-1.406343421144693</c:v>
                </c:pt>
                <c:pt idx="96">
                  <c:v>-1.4616059968409425</c:v>
                </c:pt>
                <c:pt idx="97">
                  <c:v>-1.7789749612246275</c:v>
                </c:pt>
                <c:pt idx="98">
                  <c:v>-2.064377591804484</c:v>
                </c:pt>
                <c:pt idx="99">
                  <c:v>-2.3207571831762537</c:v>
                </c:pt>
                <c:pt idx="100">
                  <c:v>-2.5508119787966037</c:v>
                </c:pt>
                <c:pt idx="101">
                  <c:v>-2.7570133699322197</c:v>
                </c:pt>
                <c:pt idx="102">
                  <c:v>-2.941622909940226</c:v>
                </c:pt>
                <c:pt idx="103">
                  <c:v>-3.1067082099145713</c:v>
                </c:pt>
                <c:pt idx="104">
                  <c:v>-3.2541577786827443</c:v>
                </c:pt>
                <c:pt idx="105">
                  <c:v>-3.385694867197401</c:v>
                </c:pt>
                <c:pt idx="106">
                  <c:v>-3.5028903745365247</c:v>
                </c:pt>
                <c:pt idx="107">
                  <c:v>-3.6071748699996968</c:v>
                </c:pt>
                <c:pt idx="108">
                  <c:v>-3.6998497831648103</c:v>
                </c:pt>
                <c:pt idx="109">
                  <c:v>-4.3677426979692813</c:v>
                </c:pt>
              </c:numCache>
            </c:numRef>
          </c:yVal>
        </c:ser>
        <c:ser>
          <c:idx val="3"/>
          <c:order val="3"/>
          <c:spPr>
            <a:ln w="19050">
              <a:solidFill>
                <a:schemeClr val="accent4">
                  <a:lumMod val="60000"/>
                  <a:lumOff val="40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'Down-Auswert'!$AS$5:$AS$121</c:f>
              <c:numCache>
                <c:formatCode>General</c:formatCode>
                <c:ptCount val="117"/>
                <c:pt idx="0">
                  <c:v>4</c:v>
                </c:pt>
                <c:pt idx="1">
                  <c:v>3.2930551005024702</c:v>
                </c:pt>
                <c:pt idx="2">
                  <c:v>2.7175945333194611</c:v>
                </c:pt>
                <c:pt idx="3">
                  <c:v>2.2492549252272553</c:v>
                </c:pt>
                <c:pt idx="4">
                  <c:v>1.8681898075743164</c:v>
                </c:pt>
                <c:pt idx="5">
                  <c:v>1.5582282163853396</c:v>
                </c:pt>
                <c:pt idx="6">
                  <c:v>1.5564082710618012</c:v>
                </c:pt>
                <c:pt idx="7">
                  <c:v>1.1283961571685248</c:v>
                </c:pt>
                <c:pt idx="8">
                  <c:v>0.82475607117333682</c:v>
                </c:pt>
                <c:pt idx="9">
                  <c:v>0.60892132009620492</c:v>
                </c:pt>
                <c:pt idx="10">
                  <c:v>0.45560623594930783</c:v>
                </c:pt>
                <c:pt idx="11">
                  <c:v>0.34710406308132802</c:v>
                </c:pt>
                <c:pt idx="12">
                  <c:v>0.34699188404782344</c:v>
                </c:pt>
                <c:pt idx="13">
                  <c:v>0.29420701444789832</c:v>
                </c:pt>
                <c:pt idx="14">
                  <c:v>0.24806331417752608</c:v>
                </c:pt>
                <c:pt idx="15">
                  <c:v>0.207481010014613</c:v>
                </c:pt>
                <c:pt idx="16">
                  <c:v>0.1716650808193588</c:v>
                </c:pt>
                <c:pt idx="17">
                  <c:v>0.14006322271544297</c:v>
                </c:pt>
                <c:pt idx="18">
                  <c:v>0.14003358492961179</c:v>
                </c:pt>
                <c:pt idx="19">
                  <c:v>0.13185373146705415</c:v>
                </c:pt>
                <c:pt idx="20">
                  <c:v>0.12319818695663096</c:v>
                </c:pt>
                <c:pt idx="21">
                  <c:v>0.11392973687565293</c:v>
                </c:pt>
                <c:pt idx="22">
                  <c:v>0.10385289467073733</c:v>
                </c:pt>
                <c:pt idx="23">
                  <c:v>9.2669957340827974E-2</c:v>
                </c:pt>
                <c:pt idx="24">
                  <c:v>9.2643203545959008E-2</c:v>
                </c:pt>
                <c:pt idx="25">
                  <c:v>8.9850059583148678E-2</c:v>
                </c:pt>
                <c:pt idx="26">
                  <c:v>8.679584737198788E-2</c:v>
                </c:pt>
                <c:pt idx="27">
                  <c:v>8.3425981832102439E-2</c:v>
                </c:pt>
                <c:pt idx="28">
                  <c:v>7.9667149554644129E-2</c:v>
                </c:pt>
                <c:pt idx="29">
                  <c:v>7.5417670618788291E-2</c:v>
                </c:pt>
                <c:pt idx="30">
                  <c:v>7.5386930328783117E-2</c:v>
                </c:pt>
                <c:pt idx="31">
                  <c:v>7.3898283955263225E-2</c:v>
                </c:pt>
                <c:pt idx="32">
                  <c:v>7.2283748502738707E-2</c:v>
                </c:pt>
                <c:pt idx="33">
                  <c:v>7.0523077726312194E-2</c:v>
                </c:pt>
                <c:pt idx="34">
                  <c:v>6.8591019531614617E-2</c:v>
                </c:pt>
                <c:pt idx="35">
                  <c:v>6.6455574007535115E-2</c:v>
                </c:pt>
                <c:pt idx="36">
                  <c:v>6.6420461743740486E-2</c:v>
                </c:pt>
                <c:pt idx="37">
                  <c:v>6.5421422429914208E-2</c:v>
                </c:pt>
                <c:pt idx="38">
                  <c:v>6.434867737953695E-2</c:v>
                </c:pt>
                <c:pt idx="39">
                  <c:v>6.3192590044721858E-2</c:v>
                </c:pt>
                <c:pt idx="40">
                  <c:v>6.19416574092162E-2</c:v>
                </c:pt>
                <c:pt idx="41">
                  <c:v>6.0582016978741889E-2</c:v>
                </c:pt>
                <c:pt idx="42">
                  <c:v>6.0542118461325421E-2</c:v>
                </c:pt>
                <c:pt idx="43">
                  <c:v>5.9707583624933259E-2</c:v>
                </c:pt>
                <c:pt idx="44">
                  <c:v>5.8812967843017726E-2</c:v>
                </c:pt>
                <c:pt idx="45">
                  <c:v>5.7850866121805483E-2</c:v>
                </c:pt>
                <c:pt idx="46">
                  <c:v>5.6812544505989618E-2</c:v>
                </c:pt>
                <c:pt idx="47">
                  <c:v>5.5687618940609522E-2</c:v>
                </c:pt>
                <c:pt idx="48">
                  <c:v>5.5640603917272442E-2</c:v>
                </c:pt>
                <c:pt idx="49">
                  <c:v>5.4524437829200766E-2</c:v>
                </c:pt>
                <c:pt idx="50">
                  <c:v>5.3292577275529898E-2</c:v>
                </c:pt>
                <c:pt idx="51">
                  <c:v>5.1924454601909101E-2</c:v>
                </c:pt>
                <c:pt idx="52">
                  <c:v>5.0394104590824579E-2</c:v>
                </c:pt>
                <c:pt idx="53">
                  <c:v>4.8668220030087236E-2</c:v>
                </c:pt>
                <c:pt idx="54">
                  <c:v>4.8598359402941632E-2</c:v>
                </c:pt>
                <c:pt idx="55">
                  <c:v>4.806026138049229E-2</c:v>
                </c:pt>
                <c:pt idx="56">
                  <c:v>4.7505075279275277E-2</c:v>
                </c:pt>
                <c:pt idx="57">
                  <c:v>4.693189736910397E-2</c:v>
                </c:pt>
                <c:pt idx="58">
                  <c:v>4.6339756252621746E-2</c:v>
                </c:pt>
                <c:pt idx="59">
                  <c:v>4.572760624704416E-2</c:v>
                </c:pt>
                <c:pt idx="60">
                  <c:v>4.5631354765130777E-2</c:v>
                </c:pt>
                <c:pt idx="61">
                  <c:v>4.5168407630230806E-2</c:v>
                </c:pt>
                <c:pt idx="62">
                  <c:v>4.4696560964278834E-2</c:v>
                </c:pt>
                <c:pt idx="63">
                  <c:v>4.4215523862311354E-2</c:v>
                </c:pt>
                <c:pt idx="64">
                  <c:v>4.3724991893077922E-2</c:v>
                </c:pt>
                <c:pt idx="65">
                  <c:v>4.3224646278215047E-2</c:v>
                </c:pt>
                <c:pt idx="66">
                  <c:v>4.3092776622040987E-2</c:v>
                </c:pt>
                <c:pt idx="67">
                  <c:v>4.2606154319478166E-2</c:v>
                </c:pt>
                <c:pt idx="68">
                  <c:v>4.2113036600095993E-2</c:v>
                </c:pt>
                <c:pt idx="69">
                  <c:v>4.1613268971117855E-2</c:v>
                </c:pt>
                <c:pt idx="70">
                  <c:v>4.11066916211347E-2</c:v>
                </c:pt>
                <c:pt idx="71">
                  <c:v>4.0593139179201397E-2</c:v>
                </c:pt>
                <c:pt idx="72">
                  <c:v>4.0409252640442248E-2</c:v>
                </c:pt>
                <c:pt idx="73">
                  <c:v>3.9835967398041905E-2</c:v>
                </c:pt>
                <c:pt idx="74">
                  <c:v>3.9257581628225874E-2</c:v>
                </c:pt>
                <c:pt idx="75">
                  <c:v>3.8674005544130724E-2</c:v>
                </c:pt>
                <c:pt idx="76">
                  <c:v>3.8085146984282524E-2</c:v>
                </c:pt>
                <c:pt idx="77">
                  <c:v>3.7490911328412126E-2</c:v>
                </c:pt>
                <c:pt idx="78">
                  <c:v>3.7224710909028493E-2</c:v>
                </c:pt>
                <c:pt idx="79">
                  <c:v>3.6469747795563043E-2</c:v>
                </c:pt>
                <c:pt idx="80">
                  <c:v>3.5711476672555323E-2</c:v>
                </c:pt>
                <c:pt idx="81">
                  <c:v>3.4949857543959101E-2</c:v>
                </c:pt>
                <c:pt idx="82">
                  <c:v>3.418484961822621E-2</c:v>
                </c:pt>
                <c:pt idx="83">
                  <c:v>3.341641128617083E-2</c:v>
                </c:pt>
                <c:pt idx="84">
                  <c:v>3.3013333642520674E-2</c:v>
                </c:pt>
                <c:pt idx="85">
                  <c:v>3.1849598659959587E-2</c:v>
                </c:pt>
                <c:pt idx="86">
                  <c:v>3.0688849342890349E-2</c:v>
                </c:pt>
                <c:pt idx="87">
                  <c:v>2.9531099646710718E-2</c:v>
                </c:pt>
                <c:pt idx="88">
                  <c:v>2.8376363696221388E-2</c:v>
                </c:pt>
                <c:pt idx="89">
                  <c:v>2.722465578893556E-2</c:v>
                </c:pt>
                <c:pt idx="90">
                  <c:v>2.656815291105551E-2</c:v>
                </c:pt>
                <c:pt idx="91">
                  <c:v>2.4275132722761286E-2</c:v>
                </c:pt>
                <c:pt idx="92">
                  <c:v>2.2028698708647688E-2</c:v>
                </c:pt>
                <c:pt idx="93">
                  <c:v>1.982825373290972E-2</c:v>
                </c:pt>
                <c:pt idx="94">
                  <c:v>1.7673203771427469E-2</c:v>
                </c:pt>
                <c:pt idx="95">
                  <c:v>1.556295791941702E-2</c:v>
                </c:pt>
                <c:pt idx="96">
                  <c:v>1.4397922171547829E-2</c:v>
                </c:pt>
                <c:pt idx="97">
                  <c:v>7.3251969411100501E-3</c:v>
                </c:pt>
                <c:pt idx="98">
                  <c:v>1.0287054056920767E-3</c:v>
                </c:pt>
                <c:pt idx="99">
                  <c:v>-4.5701317309539361E-3</c:v>
                </c:pt>
                <c:pt idx="100">
                  <c:v>-9.5426215082695543E-3</c:v>
                </c:pt>
                <c:pt idx="101">
                  <c:v>-1.3953407333630296E-2</c:v>
                </c:pt>
                <c:pt idx="102">
                  <c:v>-1.7861032166836814E-2</c:v>
                </c:pt>
                <c:pt idx="103">
                  <c:v>-2.131845923841566E-2</c:v>
                </c:pt>
                <c:pt idx="104">
                  <c:v>-2.4373553109066311E-2</c:v>
                </c:pt>
                <c:pt idx="105">
                  <c:v>-2.7069523718640437E-2</c:v>
                </c:pt>
                <c:pt idx="106">
                  <c:v>-2.9445335921527926E-2</c:v>
                </c:pt>
                <c:pt idx="107">
                  <c:v>-3.15360868610257E-2</c:v>
                </c:pt>
                <c:pt idx="108">
                  <c:v>-3.3373353397855299E-2</c:v>
                </c:pt>
                <c:pt idx="109">
                  <c:v>-4.548575471868848E-2</c:v>
                </c:pt>
              </c:numCache>
            </c:numRef>
          </c:xVal>
          <c:yVal>
            <c:numRef>
              <c:f>'Down-Auswert'!$AT$5:$AT$121</c:f>
              <c:numCache>
                <c:formatCode>General</c:formatCode>
                <c:ptCount val="117"/>
                <c:pt idx="0">
                  <c:v>2</c:v>
                </c:pt>
                <c:pt idx="1">
                  <c:v>1.8623605576124316</c:v>
                </c:pt>
                <c:pt idx="2">
                  <c:v>1.7411416008338432</c:v>
                </c:pt>
                <c:pt idx="3">
                  <c:v>1.6349686386357574</c:v>
                </c:pt>
                <c:pt idx="4">
                  <c:v>1.5424206523916202</c:v>
                </c:pt>
                <c:pt idx="5">
                  <c:v>1.4620931510961137</c:v>
                </c:pt>
                <c:pt idx="6">
                  <c:v>1.4616059968409481</c:v>
                </c:pt>
                <c:pt idx="7">
                  <c:v>1.3292885714977807</c:v>
                </c:pt>
                <c:pt idx="8">
                  <c:v>1.2077797302286495</c:v>
                </c:pt>
                <c:pt idx="9">
                  <c:v>1.1004480699241646</c:v>
                </c:pt>
                <c:pt idx="10">
                  <c:v>1.0080711191014355</c:v>
                </c:pt>
                <c:pt idx="11">
                  <c:v>0.93010723309304444</c:v>
                </c:pt>
                <c:pt idx="12">
                  <c:v>0.93001918678854079</c:v>
                </c:pt>
                <c:pt idx="13">
                  <c:v>0.88418433822909559</c:v>
                </c:pt>
                <c:pt idx="14">
                  <c:v>0.83520508114734771</c:v>
                </c:pt>
                <c:pt idx="15">
                  <c:v>0.78241798923557515</c:v>
                </c:pt>
                <c:pt idx="16">
                  <c:v>0.72467764104559884</c:v>
                </c:pt>
                <c:pt idx="17">
                  <c:v>0.66007237131873908</c:v>
                </c:pt>
                <c:pt idx="18">
                  <c:v>0.66000334397619942</c:v>
                </c:pt>
                <c:pt idx="19">
                  <c:v>0.6396838298476043</c:v>
                </c:pt>
                <c:pt idx="20">
                  <c:v>0.61507528582162674</c:v>
                </c:pt>
                <c:pt idx="21">
                  <c:v>0.58442923933588498</c:v>
                </c:pt>
                <c:pt idx="22">
                  <c:v>0.54482033422274301</c:v>
                </c:pt>
                <c:pt idx="23">
                  <c:v>0.49089755391476753</c:v>
                </c:pt>
                <c:pt idx="24">
                  <c:v>0.49075336506203115</c:v>
                </c:pt>
                <c:pt idx="25">
                  <c:v>0.4750307746458895</c:v>
                </c:pt>
                <c:pt idx="26">
                  <c:v>0.45622777941411935</c:v>
                </c:pt>
                <c:pt idx="27">
                  <c:v>0.43334738086688895</c:v>
                </c:pt>
                <c:pt idx="28">
                  <c:v>0.40491271513804772</c:v>
                </c:pt>
                <c:pt idx="29">
                  <c:v>0.36864001638919297</c:v>
                </c:pt>
                <c:pt idx="30">
                  <c:v>0.36836040959449901</c:v>
                </c:pt>
                <c:pt idx="31">
                  <c:v>0.35439185907597842</c:v>
                </c:pt>
                <c:pt idx="32">
                  <c:v>0.33826014956179989</c:v>
                </c:pt>
                <c:pt idx="33">
                  <c:v>0.31945067958374895</c:v>
                </c:pt>
                <c:pt idx="34">
                  <c:v>0.2972771353170463</c:v>
                </c:pt>
                <c:pt idx="35">
                  <c:v>0.27080499448103035</c:v>
                </c:pt>
                <c:pt idx="36">
                  <c:v>0.27035186996590782</c:v>
                </c:pt>
                <c:pt idx="37">
                  <c:v>0.25713930775141591</c:v>
                </c:pt>
                <c:pt idx="38">
                  <c:v>0.2422462614867264</c:v>
                </c:pt>
                <c:pt idx="39">
                  <c:v>0.22535641981875337</c:v>
                </c:pt>
                <c:pt idx="40">
                  <c:v>0.20607242745924367</c:v>
                </c:pt>
                <c:pt idx="41">
                  <c:v>0.18388894330313826</c:v>
                </c:pt>
                <c:pt idx="42">
                  <c:v>0.18321833372345625</c:v>
                </c:pt>
                <c:pt idx="43">
                  <c:v>0.16887174412397654</c:v>
                </c:pt>
                <c:pt idx="44">
                  <c:v>0.15279974479740932</c:v>
                </c:pt>
                <c:pt idx="45">
                  <c:v>0.13470051302386943</c:v>
                </c:pt>
                <c:pt idx="46">
                  <c:v>0.11420124475105949</c:v>
                </c:pt>
                <c:pt idx="47">
                  <c:v>9.0836724076960987E-2</c:v>
                </c:pt>
                <c:pt idx="48">
                  <c:v>8.9833694127448543E-2</c:v>
                </c:pt>
                <c:pt idx="49">
                  <c:v>6.5285430371854275E-2</c:v>
                </c:pt>
                <c:pt idx="50">
                  <c:v>3.6520333849046016E-2</c:v>
                </c:pt>
                <c:pt idx="51">
                  <c:v>2.4719891190825433E-3</c:v>
                </c:pt>
                <c:pt idx="52">
                  <c:v>-3.8295024613173217E-2</c:v>
                </c:pt>
                <c:pt idx="53">
                  <c:v>-8.7752678842664245E-2</c:v>
                </c:pt>
                <c:pt idx="54">
                  <c:v>-8.9833694127151087E-2</c:v>
                </c:pt>
                <c:pt idx="55">
                  <c:v>-0.10604481610952178</c:v>
                </c:pt>
                <c:pt idx="56">
                  <c:v>-0.12310441177106128</c:v>
                </c:pt>
                <c:pt idx="57">
                  <c:v>-0.14107534325655305</c:v>
                </c:pt>
                <c:pt idx="58">
                  <c:v>-0.1600265548742987</c:v>
                </c:pt>
                <c:pt idx="59">
                  <c:v>-0.18003380536136199</c:v>
                </c:pt>
                <c:pt idx="60">
                  <c:v>-0.18321833372345325</c:v>
                </c:pt>
                <c:pt idx="61">
                  <c:v>-0.19865945798041421</c:v>
                </c:pt>
                <c:pt idx="62">
                  <c:v>-0.21460191894960789</c:v>
                </c:pt>
                <c:pt idx="63">
                  <c:v>-0.23106887067037729</c:v>
                </c:pt>
                <c:pt idx="64">
                  <c:v>-0.24808486267640639</c:v>
                </c:pt>
                <c:pt idx="65">
                  <c:v>-0.26567594429440033</c:v>
                </c:pt>
                <c:pt idx="66">
                  <c:v>-0.27035186996590138</c:v>
                </c:pt>
                <c:pt idx="67">
                  <c:v>-0.28772487385108669</c:v>
                </c:pt>
                <c:pt idx="68">
                  <c:v>-0.30550889297573042</c:v>
                </c:pt>
                <c:pt idx="69">
                  <c:v>-0.32371800317823368</c:v>
                </c:pt>
                <c:pt idx="70">
                  <c:v>-0.34236691448768364</c:v>
                </c:pt>
                <c:pt idx="71">
                  <c:v>-0.36147100669702348</c:v>
                </c:pt>
                <c:pt idx="72">
                  <c:v>-0.36836040959449434</c:v>
                </c:pt>
                <c:pt idx="73">
                  <c:v>-0.38997057859341527</c:v>
                </c:pt>
                <c:pt idx="74">
                  <c:v>-0.41195940210728932</c:v>
                </c:pt>
                <c:pt idx="75">
                  <c:v>-0.43433685085083756</c:v>
                </c:pt>
                <c:pt idx="76">
                  <c:v>-0.45711324745300796</c:v>
                </c:pt>
                <c:pt idx="77">
                  <c:v>-0.48029928208743156</c:v>
                </c:pt>
                <c:pt idx="78">
                  <c:v>-0.49075210650337087</c:v>
                </c:pt>
                <c:pt idx="79">
                  <c:v>-0.52056782654868639</c:v>
                </c:pt>
                <c:pt idx="80">
                  <c:v>-0.55074230159125015</c:v>
                </c:pt>
                <c:pt idx="81">
                  <c:v>-0.58128264069261748</c:v>
                </c:pt>
                <c:pt idx="82">
                  <c:v>-0.61219614996592053</c:v>
                </c:pt>
                <c:pt idx="83">
                  <c:v>-0.64349033961939872</c:v>
                </c:pt>
                <c:pt idx="84">
                  <c:v>-0.66000334397619964</c:v>
                </c:pt>
                <c:pt idx="85">
                  <c:v>-0.70794875889665021</c:v>
                </c:pt>
                <c:pt idx="86">
                  <c:v>-0.75611880524229069</c:v>
                </c:pt>
                <c:pt idx="87">
                  <c:v>-0.80451618644133804</c:v>
                </c:pt>
                <c:pt idx="88">
                  <c:v>-0.85314365859444252</c:v>
                </c:pt>
                <c:pt idx="89">
                  <c:v>-0.9020040318993896</c:v>
                </c:pt>
                <c:pt idx="90">
                  <c:v>-0.93001918678854201</c:v>
                </c:pt>
                <c:pt idx="91">
                  <c:v>-1.0284536010495808</c:v>
                </c:pt>
                <c:pt idx="92">
                  <c:v>-1.1256317988982827</c:v>
                </c:pt>
                <c:pt idx="93">
                  <c:v>-1.2215602817938127</c:v>
                </c:pt>
                <c:pt idx="94">
                  <c:v>-1.3162455675265385</c:v>
                </c:pt>
                <c:pt idx="95">
                  <c:v>-1.4096941903896929</c:v>
                </c:pt>
                <c:pt idx="96">
                  <c:v>-1.4616059968409465</c:v>
                </c:pt>
                <c:pt idx="97">
                  <c:v>-1.7790109069630018</c:v>
                </c:pt>
                <c:pt idx="98">
                  <c:v>-2.0644366833764103</c:v>
                </c:pt>
                <c:pt idx="99">
                  <c:v>-2.3208286631558352</c:v>
                </c:pt>
                <c:pt idx="100">
                  <c:v>-2.5508868882765245</c:v>
                </c:pt>
                <c:pt idx="101">
                  <c:v>-2.7570843283683919</c:v>
                </c:pt>
                <c:pt idx="102">
                  <c:v>-2.9416839168627709</c:v>
                </c:pt>
                <c:pt idx="103">
                  <c:v>-3.1067544666982023</c:v>
                </c:pt>
                <c:pt idx="104">
                  <c:v>-3.2541855286934132</c:v>
                </c:pt>
                <c:pt idx="105">
                  <c:v>-3.3857012527496138</c:v>
                </c:pt>
                <c:pt idx="106">
                  <c:v>-3.502873309205635</c:v>
                </c:pt>
                <c:pt idx="107">
                  <c:v>-3.6071329249381394</c:v>
                </c:pt>
                <c:pt idx="108">
                  <c:v>-3.6997820861690234</c:v>
                </c:pt>
                <c:pt idx="109">
                  <c:v>-4.3672526364269046</c:v>
                </c:pt>
              </c:numCache>
            </c:numRef>
          </c:yVal>
        </c:ser>
        <c:ser>
          <c:idx val="4"/>
          <c:order val="4"/>
          <c:spPr>
            <a:ln w="19050">
              <a:solidFill>
                <a:schemeClr val="accent4">
                  <a:lumMod val="40000"/>
                  <a:lumOff val="60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'Down-Auswert'!$AV$5:$AV$114</c:f>
              <c:numCache>
                <c:formatCode>General</c:formatCode>
                <c:ptCount val="110"/>
                <c:pt idx="0">
                  <c:v>4</c:v>
                </c:pt>
                <c:pt idx="1">
                  <c:v>3.7132258320242739</c:v>
                </c:pt>
                <c:pt idx="2">
                  <c:v>3.4485079998995918</c:v>
                </c:pt>
                <c:pt idx="3">
                  <c:v>3.2041360017372273</c:v>
                </c:pt>
                <c:pt idx="4">
                  <c:v>2.9785336921600214</c:v>
                </c:pt>
                <c:pt idx="5">
                  <c:v>2.7702485511547739</c:v>
                </c:pt>
                <c:pt idx="6">
                  <c:v>2.7668712108694602</c:v>
                </c:pt>
                <c:pt idx="7">
                  <c:v>1.8080135998617213</c:v>
                </c:pt>
                <c:pt idx="8">
                  <c:v>1.2010363218941429</c:v>
                </c:pt>
                <c:pt idx="9">
                  <c:v>0.81217510981684327</c:v>
                </c:pt>
                <c:pt idx="10">
                  <c:v>0.5612669269806223</c:v>
                </c:pt>
                <c:pt idx="11">
                  <c:v>0.39905446272390943</c:v>
                </c:pt>
                <c:pt idx="12">
                  <c:v>0.39892918143944867</c:v>
                </c:pt>
                <c:pt idx="13">
                  <c:v>0.33448716798094952</c:v>
                </c:pt>
                <c:pt idx="14">
                  <c:v>0.27940215641038346</c:v>
                </c:pt>
                <c:pt idx="15">
                  <c:v>0.23186732713876115</c:v>
                </c:pt>
                <c:pt idx="109">
                  <c:v>-5.4934070352134323E-2</c:v>
                </c:pt>
              </c:numCache>
            </c:numRef>
          </c:xVal>
          <c:yVal>
            <c:numRef>
              <c:f>'Down-Auswert'!$AW$5:$AW$114</c:f>
              <c:numCache>
                <c:formatCode>General</c:formatCode>
                <c:ptCount val="110"/>
                <c:pt idx="0">
                  <c:v>1.5</c:v>
                </c:pt>
                <c:pt idx="1">
                  <c:v>1.4942111786698753</c:v>
                </c:pt>
                <c:pt idx="2">
                  <c:v>1.4872995338557868</c:v>
                </c:pt>
                <c:pt idx="3">
                  <c:v>1.4794711266811684</c:v>
                </c:pt>
                <c:pt idx="4">
                  <c:v>1.4709067306693107</c:v>
                </c:pt>
                <c:pt idx="5">
                  <c:v>1.4617645570612408</c:v>
                </c:pt>
                <c:pt idx="6">
                  <c:v>1.4616059968409476</c:v>
                </c:pt>
                <c:pt idx="7">
                  <c:v>1.3705715280361512</c:v>
                </c:pt>
                <c:pt idx="8">
                  <c:v>1.2487666408994249</c:v>
                </c:pt>
                <c:pt idx="9">
                  <c:v>1.1278832296371919</c:v>
                </c:pt>
                <c:pt idx="10">
                  <c:v>1.0204051816219126</c:v>
                </c:pt>
                <c:pt idx="11">
                  <c:v>0.9300982351258188</c:v>
                </c:pt>
                <c:pt idx="12">
                  <c:v>0.93001918678854067</c:v>
                </c:pt>
                <c:pt idx="13">
                  <c:v>0.88426141080785703</c:v>
                </c:pt>
                <c:pt idx="14">
                  <c:v>0.83513262543430899</c:v>
                </c:pt>
                <c:pt idx="15">
                  <c:v>0.78218814162412853</c:v>
                </c:pt>
                <c:pt idx="109">
                  <c:v>-4.3674921608274797</c:v>
                </c:pt>
              </c:numCache>
            </c:numRef>
          </c:yVal>
        </c:ser>
        <c:ser>
          <c:idx val="5"/>
          <c:order val="5"/>
          <c:spPr>
            <a:ln w="19050">
              <a:solidFill>
                <a:schemeClr val="accent4">
                  <a:lumMod val="75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'Down-Auswert'!$AY$5:$AY$114</c:f>
              <c:numCache>
                <c:formatCode>General</c:formatCode>
                <c:ptCount val="110"/>
                <c:pt idx="0">
                  <c:v>4</c:v>
                </c:pt>
                <c:pt idx="1">
                  <c:v>3.0983676103941225</c:v>
                </c:pt>
                <c:pt idx="2">
                  <c:v>2.4075373741999604</c:v>
                </c:pt>
                <c:pt idx="3">
                  <c:v>1.878799553311072</c:v>
                </c:pt>
                <c:pt idx="4">
                  <c:v>1.4746119942635985</c:v>
                </c:pt>
                <c:pt idx="5">
                  <c:v>1.1660490651463182</c:v>
                </c:pt>
                <c:pt idx="6">
                  <c:v>1.164672644998261</c:v>
                </c:pt>
                <c:pt idx="7" formatCode="0.000">
                  <c:v>0.8748139592772084</c:v>
                </c:pt>
                <c:pt idx="8">
                  <c:v>0.65987769310709254</c:v>
                </c:pt>
                <c:pt idx="9">
                  <c:v>0.50081774708311877</c:v>
                </c:pt>
                <c:pt idx="10">
                  <c:v>0.38360464623986923</c:v>
                </c:pt>
                <c:pt idx="11">
                  <c:v>0.29781677869910406</c:v>
                </c:pt>
                <c:pt idx="12">
                  <c:v>0.2977137904779148</c:v>
                </c:pt>
                <c:pt idx="13">
                  <c:v>0.25402584256262967</c:v>
                </c:pt>
                <c:pt idx="14">
                  <c:v>0.21508727149045673</c:v>
                </c:pt>
                <c:pt idx="109">
                  <c:v>-4.4396835515792335E-2</c:v>
                </c:pt>
              </c:numCache>
            </c:numRef>
          </c:xVal>
          <c:yVal>
            <c:numRef>
              <c:f>'Down-Auswert'!$AZ$5:$AZ$114</c:f>
              <c:numCache>
                <c:formatCode>General</c:formatCode>
                <c:ptCount val="110"/>
                <c:pt idx="0">
                  <c:v>2.5</c:v>
                </c:pt>
                <c:pt idx="1">
                  <c:v>2.1993009999988584</c:v>
                </c:pt>
                <c:pt idx="2">
                  <c:v>1.9538335634761395</c:v>
                </c:pt>
                <c:pt idx="3">
                  <c:v>1.7542646666459776</c:v>
                </c:pt>
                <c:pt idx="4">
                  <c:v>1.5926327000251181</c:v>
                </c:pt>
                <c:pt idx="5">
                  <c:v>1.4622044700846459</c:v>
                </c:pt>
                <c:pt idx="6">
                  <c:v>1.4616059968409485</c:v>
                </c:pt>
                <c:pt idx="7" formatCode="0.000">
                  <c:v>1.323727680280687</c:v>
                </c:pt>
                <c:pt idx="8">
                  <c:v>1.2021557866077861</c:v>
                </c:pt>
                <c:pt idx="9">
                  <c:v>1.096689184474106</c:v>
                </c:pt>
                <c:pt idx="10">
                  <c:v>1.0064235430975419</c:v>
                </c:pt>
                <c:pt idx="11">
                  <c:v>0.93011783401296622</c:v>
                </c:pt>
                <c:pt idx="12">
                  <c:v>0.93001918678854134</c:v>
                </c:pt>
                <c:pt idx="13">
                  <c:v>0.88428050072791231</c:v>
                </c:pt>
                <c:pt idx="14">
                  <c:v>0.83544733571291308</c:v>
                </c:pt>
                <c:pt idx="109">
                  <c:v>-4.3683674663202989</c:v>
                </c:pt>
              </c:numCache>
            </c:numRef>
          </c:yVal>
        </c:ser>
        <c:axId val="157092864"/>
        <c:axId val="157119232"/>
      </c:scatterChart>
      <c:valAx>
        <c:axId val="157092864"/>
        <c:scaling>
          <c:orientation val="minMax"/>
          <c:max val="4"/>
          <c:min val="-1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57119232"/>
        <c:crosses val="autoZero"/>
        <c:crossBetween val="midCat"/>
      </c:valAx>
      <c:valAx>
        <c:axId val="157119232"/>
        <c:scaling>
          <c:orientation val="minMax"/>
          <c:max val="2.5"/>
          <c:min val="-2.5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57092864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lineMarker"/>
        <c:ser>
          <c:idx val="1"/>
          <c:order val="0"/>
          <c:tx>
            <c:v>Zentral v=0</c:v>
          </c:tx>
          <c:spPr>
            <a:ln w="254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'Up-Auswert'!$C$5:$C$114</c:f>
              <c:numCache>
                <c:formatCode>0.00</c:formatCode>
                <c:ptCount val="110"/>
                <c:pt idx="0">
                  <c:v>2</c:v>
                </c:pt>
                <c:pt idx="1">
                  <c:v>1.9657015922689496</c:v>
                </c:pt>
                <c:pt idx="2">
                  <c:v>1.931849122406156</c:v>
                </c:pt>
                <c:pt idx="3">
                  <c:v>1.8984364367011339</c:v>
                </c:pt>
                <c:pt idx="4">
                  <c:v>1.8654574712819783</c:v>
                </c:pt>
                <c:pt idx="5">
                  <c:v>1.8329062507319385</c:v>
                </c:pt>
                <c:pt idx="6">
                  <c:v>1.8208223712364151</c:v>
                </c:pt>
                <c:pt idx="7">
                  <c:v>1.7845676292946178</c:v>
                </c:pt>
                <c:pt idx="8">
                  <c:v>1.7489678361160521</c:v>
                </c:pt>
                <c:pt idx="9">
                  <c:v>1.7140094331705686</c:v>
                </c:pt>
                <c:pt idx="10">
                  <c:v>1.6796791782227578</c:v>
                </c:pt>
                <c:pt idx="11">
                  <c:v>1.6459641371264155</c:v>
                </c:pt>
                <c:pt idx="12">
                  <c:v>1.6421737338465265</c:v>
                </c:pt>
                <c:pt idx="13">
                  <c:v>1.6236291350589389</c:v>
                </c:pt>
                <c:pt idx="14">
                  <c:v>1.6053222727107823</c:v>
                </c:pt>
                <c:pt idx="15">
                  <c:v>1.5872493960380667</c:v>
                </c:pt>
                <c:pt idx="16">
                  <c:v>1.5694068243948114</c:v>
                </c:pt>
                <c:pt idx="17">
                  <c:v>1.551790945739439</c:v>
                </c:pt>
                <c:pt idx="18">
                  <c:v>1.5500005209177459</c:v>
                </c:pt>
                <c:pt idx="19">
                  <c:v>1.5381935563693974</c:v>
                </c:pt>
                <c:pt idx="20">
                  <c:v>1.5265170085592767</c:v>
                </c:pt>
                <c:pt idx="21">
                  <c:v>1.5149690042741559</c:v>
                </c:pt>
                <c:pt idx="22">
                  <c:v>1.5035477032604436</c:v>
                </c:pt>
                <c:pt idx="23">
                  <c:v>1.4922512975389102</c:v>
                </c:pt>
                <c:pt idx="24">
                  <c:v>1.4912252804040258</c:v>
                </c:pt>
                <c:pt idx="25">
                  <c:v>1.4825069651292531</c:v>
                </c:pt>
                <c:pt idx="26">
                  <c:v>1.4738824465726534</c:v>
                </c:pt>
                <c:pt idx="27">
                  <c:v>1.465350358750608</c:v>
                </c:pt>
                <c:pt idx="28">
                  <c:v>1.4569093605719723</c:v>
                </c:pt>
                <c:pt idx="29">
                  <c:v>1.4485581352944656</c:v>
                </c:pt>
                <c:pt idx="30">
                  <c:v>1.4479001349363869</c:v>
                </c:pt>
                <c:pt idx="31">
                  <c:v>1.4407353915764547</c:v>
                </c:pt>
                <c:pt idx="32">
                  <c:v>1.4336524102848602</c:v>
                </c:pt>
                <c:pt idx="33">
                  <c:v>1.4266498900295572</c:v>
                </c:pt>
                <c:pt idx="34">
                  <c:v>1.4197265560449479</c:v>
                </c:pt>
                <c:pt idx="35">
                  <c:v>1.412881159190688</c:v>
                </c:pt>
                <c:pt idx="36">
                  <c:v>1.4124304365647959</c:v>
                </c:pt>
                <c:pt idx="37">
                  <c:v>1.4058482925478974</c:v>
                </c:pt>
                <c:pt idx="38">
                  <c:v>1.399352738634644</c:v>
                </c:pt>
                <c:pt idx="39">
                  <c:v>1.3929421521123424</c:v>
                </c:pt>
                <c:pt idx="40">
                  <c:v>1.386614949185289</c:v>
                </c:pt>
                <c:pt idx="41">
                  <c:v>1.3803695838401704</c:v>
                </c:pt>
                <c:pt idx="42">
                  <c:v>1.3800444004239829</c:v>
                </c:pt>
                <c:pt idx="43">
                  <c:v>1.372634927306696</c:v>
                </c:pt>
                <c:pt idx="44">
                  <c:v>1.3653596344554397</c:v>
                </c:pt>
                <c:pt idx="45">
                  <c:v>1.3582150083183571</c:v>
                </c:pt>
                <c:pt idx="46">
                  <c:v>1.351197653587435</c:v>
                </c:pt>
                <c:pt idx="47">
                  <c:v>1.3443042883508545</c:v>
                </c:pt>
                <c:pt idx="48">
                  <c:v>1.3440642034318724</c:v>
                </c:pt>
                <c:pt idx="49">
                  <c:v>1.3277086012401231</c:v>
                </c:pt>
                <c:pt idx="50">
                  <c:v>1.3121197029046465</c:v>
                </c:pt>
                <c:pt idx="51">
                  <c:v>1.2972454961542943</c:v>
                </c:pt>
                <c:pt idx="52">
                  <c:v>1.2830384657710046</c:v>
                </c:pt>
                <c:pt idx="53">
                  <c:v>1.2694551242760737</c:v>
                </c:pt>
                <c:pt idx="54">
                  <c:v>1.2692920784801782</c:v>
                </c:pt>
                <c:pt idx="55">
                  <c:v>1.2603747568764769</c:v>
                </c:pt>
                <c:pt idx="56">
                  <c:v>1.2516869231681294</c:v>
                </c:pt>
                <c:pt idx="57">
                  <c:v>1.2432199741606995</c:v>
                </c:pt>
                <c:pt idx="58">
                  <c:v>1.2349657198551545</c:v>
                </c:pt>
                <c:pt idx="59">
                  <c:v>1.2269163593419372</c:v>
                </c:pt>
                <c:pt idx="60">
                  <c:v>1.226749080225497</c:v>
                </c:pt>
                <c:pt idx="61">
                  <c:v>1.2179714114175326</c:v>
                </c:pt>
                <c:pt idx="62">
                  <c:v>1.2093957677991898</c:v>
                </c:pt>
                <c:pt idx="63">
                  <c:v>1.201015448393115</c:v>
                </c:pt>
                <c:pt idx="64">
                  <c:v>1.1928240356618167</c:v>
                </c:pt>
                <c:pt idx="65">
                  <c:v>1.1848153809833188</c:v>
                </c:pt>
                <c:pt idx="66">
                  <c:v>1.1846309967991069</c:v>
                </c:pt>
                <c:pt idx="67">
                  <c:v>1.1741761985699815</c:v>
                </c:pt>
                <c:pt idx="68">
                  <c:v>1.1639734516813653</c:v>
                </c:pt>
                <c:pt idx="69">
                  <c:v>1.1540141716386789</c:v>
                </c:pt>
                <c:pt idx="70">
                  <c:v>1.1442901435522783</c:v>
                </c:pt>
                <c:pt idx="71">
                  <c:v>1.1347935029737886</c:v>
                </c:pt>
                <c:pt idx="72">
                  <c:v>1.1345815346728203</c:v>
                </c:pt>
                <c:pt idx="73">
                  <c:v>1.1206662715574862</c:v>
                </c:pt>
                <c:pt idx="74">
                  <c:v>1.1071361319271553</c:v>
                </c:pt>
                <c:pt idx="75">
                  <c:v>1.093976519965542</c:v>
                </c:pt>
                <c:pt idx="76">
                  <c:v>1.0811735294879039</c:v>
                </c:pt>
                <c:pt idx="77">
                  <c:v>1.0687139050794128</c:v>
                </c:pt>
                <c:pt idx="78">
                  <c:v>1.0684596507800799</c:v>
                </c:pt>
                <c:pt idx="79">
                  <c:v>1.0476565998813152</c:v>
                </c:pt>
                <c:pt idx="80">
                  <c:v>1.0275968109919649</c:v>
                </c:pt>
                <c:pt idx="81">
                  <c:v>1.0082455337307716</c:v>
                </c:pt>
                <c:pt idx="82">
                  <c:v>0.98956999919530964</c:v>
                </c:pt>
                <c:pt idx="83">
                  <c:v>0.97153928725730532</c:v>
                </c:pt>
                <c:pt idx="84">
                  <c:v>0.97122556718621489</c:v>
                </c:pt>
                <c:pt idx="85">
                  <c:v>0.93398384466124307</c:v>
                </c:pt>
                <c:pt idx="86">
                  <c:v>0.89885080800902417</c:v>
                </c:pt>
                <c:pt idx="87">
                  <c:v>0.86568006100543593</c:v>
                </c:pt>
                <c:pt idx="88">
                  <c:v>0.83433715729358371</c:v>
                </c:pt>
                <c:pt idx="89">
                  <c:v>0.80469848396595045</c:v>
                </c:pt>
                <c:pt idx="90">
                  <c:v>0.80430981508299715</c:v>
                </c:pt>
                <c:pt idx="91">
                  <c:v>0.70744520767681729</c:v>
                </c:pt>
                <c:pt idx="92">
                  <c:v>0.62454529297523786</c:v>
                </c:pt>
                <c:pt idx="93">
                  <c:v>0.5533498956113142</c:v>
                </c:pt>
                <c:pt idx="94">
                  <c:v>0.4920032340286411</c:v>
                </c:pt>
                <c:pt idx="95">
                  <c:v>0.43897491948533829</c:v>
                </c:pt>
                <c:pt idx="96">
                  <c:v>0.43861250108217659</c:v>
                </c:pt>
                <c:pt idx="97">
                  <c:v>0.24338790477858033</c:v>
                </c:pt>
                <c:pt idx="98">
                  <c:v>0.13765126621369034</c:v>
                </c:pt>
                <c:pt idx="99">
                  <c:v>7.922396980925156E-2</c:v>
                </c:pt>
                <c:pt idx="100">
                  <c:v>4.633494738219629E-2</c:v>
                </c:pt>
                <c:pt idx="101">
                  <c:v>2.7500966564281415E-2</c:v>
                </c:pt>
                <c:pt idx="102">
                  <c:v>1.6542312198949638E-2</c:v>
                </c:pt>
                <c:pt idx="103">
                  <c:v>1.0070680324133996E-2</c:v>
                </c:pt>
                <c:pt idx="104">
                  <c:v>6.1956709379441532E-3</c:v>
                </c:pt>
                <c:pt idx="105">
                  <c:v>3.8453177547939643E-3</c:v>
                </c:pt>
                <c:pt idx="106">
                  <c:v>2.4024464806571277E-3</c:v>
                </c:pt>
                <c:pt idx="107">
                  <c:v>1.5066309513607767E-3</c:v>
                </c:pt>
                <c:pt idx="108">
                  <c:v>9.4455498443418717E-4</c:v>
                </c:pt>
                <c:pt idx="109">
                  <c:v>-7.0117775286149264E-5</c:v>
                </c:pt>
              </c:numCache>
            </c:numRef>
          </c:xVal>
          <c:yVal>
            <c:numRef>
              <c:f>'Up-Auswert'!$D$5:$D$114</c:f>
              <c:numCache>
                <c:formatCode>0.00</c:formatCode>
                <c:ptCount val="110"/>
                <c:pt idx="0">
                  <c:v>-2</c:v>
                </c:pt>
                <c:pt idx="1">
                  <c:v>-1.8967416968990323</c:v>
                </c:pt>
                <c:pt idx="2">
                  <c:v>-1.7949168064099099</c:v>
                </c:pt>
                <c:pt idx="3">
                  <c:v>-1.6945042970778759</c:v>
                </c:pt>
                <c:pt idx="4">
                  <c:v>-1.5954834627110668</c:v>
                </c:pt>
                <c:pt idx="5">
                  <c:v>-1.4978339170911714</c:v>
                </c:pt>
                <c:pt idx="6">
                  <c:v>-1.4616059968463011</c:v>
                </c:pt>
                <c:pt idx="7">
                  <c:v>-1.3530896772301138</c:v>
                </c:pt>
                <c:pt idx="8">
                  <c:v>-1.2468451057994026</c:v>
                </c:pt>
                <c:pt idx="9">
                  <c:v>-1.1428188766521319</c:v>
                </c:pt>
                <c:pt idx="10">
                  <c:v>-1.0409589772972838</c:v>
                </c:pt>
                <c:pt idx="11">
                  <c:v>-0.94121474870326227</c:v>
                </c:pt>
                <c:pt idx="12">
                  <c:v>-0.93001918678852913</c:v>
                </c:pt>
                <c:pt idx="13">
                  <c:v>-0.87534147507588189</c:v>
                </c:pt>
                <c:pt idx="14">
                  <c:v>-0.82153759014810501</c:v>
                </c:pt>
                <c:pt idx="15">
                  <c:v>-0.76859107668203841</c:v>
                </c:pt>
                <c:pt idx="16">
                  <c:v>-0.71648583630613694</c:v>
                </c:pt>
                <c:pt idx="17">
                  <c:v>-0.66520611883829384</c:v>
                </c:pt>
                <c:pt idx="18">
                  <c:v>-0.66000334397620597</c:v>
                </c:pt>
                <c:pt idx="19">
                  <c:v>-0.62575995609202317</c:v>
                </c:pt>
                <c:pt idx="20">
                  <c:v>-0.59201470278178792</c:v>
                </c:pt>
                <c:pt idx="21">
                  <c:v>-0.5587587638475211</c:v>
                </c:pt>
                <c:pt idx="22">
                  <c:v>-0.52598350322836207</c:v>
                </c:pt>
                <c:pt idx="23">
                  <c:v>-0.49368046457481829</c:v>
                </c:pt>
                <c:pt idx="24">
                  <c:v>-0.49075210650337309</c:v>
                </c:pt>
                <c:pt idx="25">
                  <c:v>-0.46592321263735204</c:v>
                </c:pt>
                <c:pt idx="26">
                  <c:v>-0.44146024000520551</c:v>
                </c:pt>
                <c:pt idx="27">
                  <c:v>-0.41735648357269051</c:v>
                </c:pt>
                <c:pt idx="28">
                  <c:v>-0.39360538527108996</c:v>
                </c:pt>
                <c:pt idx="29">
                  <c:v>-0.37020053025054034</c:v>
                </c:pt>
                <c:pt idx="30">
                  <c:v>-0.36836040959450334</c:v>
                </c:pt>
                <c:pt idx="31">
                  <c:v>-0.34837458268389754</c:v>
                </c:pt>
                <c:pt idx="32">
                  <c:v>-0.32871033002437539</c:v>
                </c:pt>
                <c:pt idx="33">
                  <c:v>-0.30936112648198899</c:v>
                </c:pt>
                <c:pt idx="34">
                  <c:v>-0.29032060677462901</c:v>
                </c:pt>
                <c:pt idx="35">
                  <c:v>-0.2715825608886735</c:v>
                </c:pt>
                <c:pt idx="36">
                  <c:v>-0.27035186996590721</c:v>
                </c:pt>
                <c:pt idx="37">
                  <c:v>-0.2524349803324229</c:v>
                </c:pt>
                <c:pt idx="38">
                  <c:v>-0.23485745150929335</c:v>
                </c:pt>
                <c:pt idx="39">
                  <c:v>-0.21761110377547171</c:v>
                </c:pt>
                <c:pt idx="40">
                  <c:v>-0.20068799678162264</c:v>
                </c:pt>
                <c:pt idx="41">
                  <c:v>-0.18408042132235075</c:v>
                </c:pt>
                <c:pt idx="42">
                  <c:v>-0.18321833372345564</c:v>
                </c:pt>
                <c:pt idx="43">
                  <c:v>-0.16366210821090649</c:v>
                </c:pt>
                <c:pt idx="44">
                  <c:v>-0.14462368993427721</c:v>
                </c:pt>
                <c:pt idx="45">
                  <c:v>-0.12608555122040582</c:v>
                </c:pt>
                <c:pt idx="46">
                  <c:v>-0.10803088637331064</c:v>
                </c:pt>
                <c:pt idx="47">
                  <c:v>-9.04435767162797E-2</c:v>
                </c:pt>
                <c:pt idx="48">
                  <c:v>-8.983369412745007E-2</c:v>
                </c:pt>
                <c:pt idx="49">
                  <c:v>-4.877768838489626E-2</c:v>
                </c:pt>
                <c:pt idx="50">
                  <c:v>-1.0554967242690477E-2</c:v>
                </c:pt>
                <c:pt idx="51">
                  <c:v>2.5082317362613751E-2</c:v>
                </c:pt>
                <c:pt idx="52">
                  <c:v>5.8355875611985158E-2</c:v>
                </c:pt>
                <c:pt idx="53">
                  <c:v>8.9464487717265589E-2</c:v>
                </c:pt>
                <c:pt idx="54">
                  <c:v>8.9833694127448988E-2</c:v>
                </c:pt>
                <c:pt idx="55">
                  <c:v>0.10989535838577673</c:v>
                </c:pt>
                <c:pt idx="56">
                  <c:v>0.1291931846276535</c:v>
                </c:pt>
                <c:pt idx="57">
                  <c:v>0.14776415471747364</c:v>
                </c:pt>
                <c:pt idx="58">
                  <c:v>0.16564307867138456</c:v>
                </c:pt>
                <c:pt idx="59">
                  <c:v>0.18286274409621378</c:v>
                </c:pt>
                <c:pt idx="60">
                  <c:v>0.18321833372345536</c:v>
                </c:pt>
                <c:pt idx="61">
                  <c:v>0.20177188528457204</c:v>
                </c:pt>
                <c:pt idx="62">
                  <c:v>0.2196988762294346</c:v>
                </c:pt>
                <c:pt idx="63">
                  <c:v>0.23702602965297251</c:v>
                </c:pt>
                <c:pt idx="64">
                  <c:v>0.25377869049644991</c:v>
                </c:pt>
                <c:pt idx="65">
                  <c:v>0.26998090868098074</c:v>
                </c:pt>
                <c:pt idx="66">
                  <c:v>0.27035186996590721</c:v>
                </c:pt>
                <c:pt idx="67">
                  <c:v>0.29126755139630822</c:v>
                </c:pt>
                <c:pt idx="68">
                  <c:v>0.31145503578717143</c:v>
                </c:pt>
                <c:pt idx="69">
                  <c:v>0.33094598152429611</c:v>
                </c:pt>
                <c:pt idx="70">
                  <c:v>0.34977039386351227</c:v>
                </c:pt>
                <c:pt idx="71">
                  <c:v>0.3679567254501262</c:v>
                </c:pt>
                <c:pt idx="72">
                  <c:v>0.3683604095945</c:v>
                </c:pt>
                <c:pt idx="73">
                  <c:v>0.39470429271343632</c:v>
                </c:pt>
                <c:pt idx="74">
                  <c:v>0.42002200524317423</c:v>
                </c:pt>
                <c:pt idx="75">
                  <c:v>0.44436262991374276</c:v>
                </c:pt>
                <c:pt idx="76">
                  <c:v>0.46777245990783711</c:v>
                </c:pt>
                <c:pt idx="77">
                  <c:v>0.4902951821062897</c:v>
                </c:pt>
                <c:pt idx="78">
                  <c:v>0.49075210650337253</c:v>
                </c:pt>
                <c:pt idx="79">
                  <c:v>0.52788801212073888</c:v>
                </c:pt>
                <c:pt idx="80">
                  <c:v>0.56322764018053295</c:v>
                </c:pt>
                <c:pt idx="81">
                  <c:v>0.59687510898426999</c:v>
                </c:pt>
                <c:pt idx="82">
                  <c:v>0.62892748584701608</c:v>
                </c:pt>
                <c:pt idx="83">
                  <c:v>0.6594753324168755</c:v>
                </c:pt>
                <c:pt idx="84">
                  <c:v>0.66000334397619786</c:v>
                </c:pt>
                <c:pt idx="85">
                  <c:v>0.72215693584303897</c:v>
                </c:pt>
                <c:pt idx="86">
                  <c:v>0.77981730570413033</c:v>
                </c:pt>
                <c:pt idx="87">
                  <c:v>0.83335969098832363</c:v>
                </c:pt>
                <c:pt idx="88">
                  <c:v>0.88312371374956766</c:v>
                </c:pt>
                <c:pt idx="89">
                  <c:v>0.92941716218792259</c:v>
                </c:pt>
                <c:pt idx="90">
                  <c:v>0.93001918678854056</c:v>
                </c:pt>
                <c:pt idx="91">
                  <c:v>1.0778900607754904</c:v>
                </c:pt>
                <c:pt idx="92">
                  <c:v>1.2007631521019984</c:v>
                </c:pt>
                <c:pt idx="93">
                  <c:v>1.303252806201425</c:v>
                </c:pt>
                <c:pt idx="94">
                  <c:v>1.3890498732203709</c:v>
                </c:pt>
                <c:pt idx="95">
                  <c:v>1.4611206233667593</c:v>
                </c:pt>
                <c:pt idx="96">
                  <c:v>1.4616059968409458</c:v>
                </c:pt>
                <c:pt idx="97">
                  <c:v>1.7170479998998383</c:v>
                </c:pt>
                <c:pt idx="98">
                  <c:v>1.8484434319199512</c:v>
                </c:pt>
                <c:pt idx="99">
                  <c:v>1.9174380270953091</c:v>
                </c:pt>
                <c:pt idx="100">
                  <c:v>1.9543597608837109</c:v>
                </c:pt>
                <c:pt idx="101">
                  <c:v>1.9744661793221945</c:v>
                </c:pt>
                <c:pt idx="102">
                  <c:v>1.9855933545240465</c:v>
                </c:pt>
                <c:pt idx="103">
                  <c:v>1.991843573163697</c:v>
                </c:pt>
                <c:pt idx="104">
                  <c:v>1.9954029314652741</c:v>
                </c:pt>
                <c:pt idx="105">
                  <c:v>1.9974557864026345</c:v>
                </c:pt>
                <c:pt idx="106">
                  <c:v>1.9986537157528113</c:v>
                </c:pt>
                <c:pt idx="107">
                  <c:v>1.999360350140496</c:v>
                </c:pt>
                <c:pt idx="108">
                  <c:v>1.9997813451332402</c:v>
                </c:pt>
                <c:pt idx="109">
                  <c:v>2.0004346804046045</c:v>
                </c:pt>
              </c:numCache>
            </c:numRef>
          </c:yVal>
        </c:ser>
        <c:ser>
          <c:idx val="0"/>
          <c:order val="1"/>
          <c:tx>
            <c:v>0,5 m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'Up-Auswert'!$F$5:$F$114</c:f>
              <c:numCache>
                <c:formatCode>General</c:formatCode>
                <c:ptCount val="110"/>
                <c:pt idx="0">
                  <c:v>2</c:v>
                </c:pt>
                <c:pt idx="1">
                  <c:v>1.9633438141286075</c:v>
                </c:pt>
                <c:pt idx="2">
                  <c:v>1.9271410291579127</c:v>
                </c:pt>
                <c:pt idx="3">
                  <c:v>1.8913856941354004</c:v>
                </c:pt>
                <c:pt idx="4">
                  <c:v>1.8560719407285826</c:v>
                </c:pt>
                <c:pt idx="5">
                  <c:v>1.821193982015229</c:v>
                </c:pt>
                <c:pt idx="6">
                  <c:v>1.8083790408665454</c:v>
                </c:pt>
                <c:pt idx="7">
                  <c:v>1.7696966514213568</c:v>
                </c:pt>
                <c:pt idx="8">
                  <c:v>1.7316750882190037</c:v>
                </c:pt>
                <c:pt idx="9">
                  <c:v>1.6943014139746233</c:v>
                </c:pt>
                <c:pt idx="10">
                  <c:v>1.6575629768427094</c:v>
                </c:pt>
                <c:pt idx="11">
                  <c:v>1.6214474034127158</c:v>
                </c:pt>
                <c:pt idx="12">
                  <c:v>1.6174068803753261</c:v>
                </c:pt>
                <c:pt idx="13">
                  <c:v>1.5976288942778019</c:v>
                </c:pt>
                <c:pt idx="14">
                  <c:v>1.5780892779270952</c:v>
                </c:pt>
                <c:pt idx="15">
                  <c:v>1.5587844933125994</c:v>
                </c:pt>
                <c:pt idx="16">
                  <c:v>1.5397110646690078</c:v>
                </c:pt>
                <c:pt idx="17">
                  <c:v>1.5208655772114734</c:v>
                </c:pt>
                <c:pt idx="18">
                  <c:v>1.5189494488061235</c:v>
                </c:pt>
                <c:pt idx="19">
                  <c:v>1.5063679235603895</c:v>
                </c:pt>
                <c:pt idx="20">
                  <c:v>1.493916426550834</c:v>
                </c:pt>
                <c:pt idx="21">
                  <c:v>1.4815932077608387</c:v>
                </c:pt>
                <c:pt idx="22">
                  <c:v>1.4693965460409564</c:v>
                </c:pt>
                <c:pt idx="23">
                  <c:v>1.457324748546057</c:v>
                </c:pt>
                <c:pt idx="24">
                  <c:v>1.4562227049902159</c:v>
                </c:pt>
                <c:pt idx="25">
                  <c:v>1.4469432692210507</c:v>
                </c:pt>
                <c:pt idx="26">
                  <c:v>1.4377568291030245</c:v>
                </c:pt>
                <c:pt idx="27">
                  <c:v>1.4286621202311869</c:v>
                </c:pt>
                <c:pt idx="28">
                  <c:v>1.419657899723936</c:v>
                </c:pt>
                <c:pt idx="29">
                  <c:v>1.410742945783789</c:v>
                </c:pt>
                <c:pt idx="30">
                  <c:v>1.4100335412777052</c:v>
                </c:pt>
                <c:pt idx="31">
                  <c:v>1.4024192246032883</c:v>
                </c:pt>
                <c:pt idx="32">
                  <c:v>1.3948854835516113</c:v>
                </c:pt>
                <c:pt idx="33">
                  <c:v>1.3874311256451806</c:v>
                </c:pt>
                <c:pt idx="34">
                  <c:v>1.3800549808097113</c:v>
                </c:pt>
                <c:pt idx="35">
                  <c:v>1.372755900865003</c:v>
                </c:pt>
                <c:pt idx="36">
                  <c:v>1.3722679271244049</c:v>
                </c:pt>
                <c:pt idx="37">
                  <c:v>1.3652871097542105</c:v>
                </c:pt>
                <c:pt idx="38">
                  <c:v>1.3583910211789445</c:v>
                </c:pt>
                <c:pt idx="39">
                  <c:v>1.3515781911357623</c:v>
                </c:pt>
                <c:pt idx="40">
                  <c:v>1.3448471820300123</c:v>
                </c:pt>
                <c:pt idx="41">
                  <c:v>1.3381965880523956</c:v>
                </c:pt>
                <c:pt idx="42">
                  <c:v>1.3378427227725525</c:v>
                </c:pt>
                <c:pt idx="43">
                  <c:v>1.330010875843612</c:v>
                </c:pt>
                <c:pt idx="44">
                  <c:v>1.3223090198624361</c:v>
                </c:pt>
                <c:pt idx="45">
                  <c:v>1.3147340216809638</c:v>
                </c:pt>
                <c:pt idx="46">
                  <c:v>1.3072828452736778</c:v>
                </c:pt>
                <c:pt idx="47">
                  <c:v>1.2999525480674019</c:v>
                </c:pt>
                <c:pt idx="48">
                  <c:v>1.2996893048805451</c:v>
                </c:pt>
                <c:pt idx="49">
                  <c:v>1.282602105879775</c:v>
                </c:pt>
                <c:pt idx="50">
                  <c:v>1.2662380724186602</c:v>
                </c:pt>
                <c:pt idx="51">
                  <c:v>1.2505526484354568</c:v>
                </c:pt>
                <c:pt idx="52">
                  <c:v>1.2355047830188606</c:v>
                </c:pt>
                <c:pt idx="53">
                  <c:v>1.2210565969517011</c:v>
                </c:pt>
                <c:pt idx="54">
                  <c:v>1.220873756301794</c:v>
                </c:pt>
                <c:pt idx="55">
                  <c:v>1.2116071164610702</c:v>
                </c:pt>
                <c:pt idx="56">
                  <c:v>1.2025517830869037</c:v>
                </c:pt>
                <c:pt idx="57">
                  <c:v>1.1937007016724182</c:v>
                </c:pt>
                <c:pt idx="58">
                  <c:v>1.1850471197972197</c:v>
                </c:pt>
                <c:pt idx="59">
                  <c:v>1.1765845713935514</c:v>
                </c:pt>
                <c:pt idx="60">
                  <c:v>1.1763942312028872</c:v>
                </c:pt>
                <c:pt idx="61">
                  <c:v>1.1673314203907379</c:v>
                </c:pt>
                <c:pt idx="62">
                  <c:v>1.1584507785239366</c:v>
                </c:pt>
                <c:pt idx="63">
                  <c:v>1.1497470050031104</c:v>
                </c:pt>
                <c:pt idx="64">
                  <c:v>1.1412149961485643</c:v>
                </c:pt>
                <c:pt idx="65">
                  <c:v>1.1328498363263992</c:v>
                </c:pt>
                <c:pt idx="66">
                  <c:v>1.1326369685317048</c:v>
                </c:pt>
                <c:pt idx="67">
                  <c:v>1.1219251501846381</c:v>
                </c:pt>
                <c:pt idx="68">
                  <c:v>1.1114353994032211</c:v>
                </c:pt>
                <c:pt idx="69">
                  <c:v>1.1011611875017506</c:v>
                </c:pt>
                <c:pt idx="70">
                  <c:v>1.091096228771895</c:v>
                </c:pt>
                <c:pt idx="71">
                  <c:v>1.0812344695780272</c:v>
                </c:pt>
                <c:pt idx="72">
                  <c:v>1.0809856063702172</c:v>
                </c:pt>
                <c:pt idx="73">
                  <c:v>1.0668662482061024</c:v>
                </c:pt>
                <c:pt idx="74">
                  <c:v>1.053076586004515</c:v>
                </c:pt>
                <c:pt idx="75">
                  <c:v>1.0396060439686128</c:v>
                </c:pt>
                <c:pt idx="76">
                  <c:v>1.0264444699325901</c:v>
                </c:pt>
                <c:pt idx="77">
                  <c:v>1.0135821150919877</c:v>
                </c:pt>
                <c:pt idx="78">
                  <c:v>1.0132770945118497</c:v>
                </c:pt>
                <c:pt idx="79">
                  <c:v>0.99246053139546864</c:v>
                </c:pt>
                <c:pt idx="80">
                  <c:v>0.972255025231192</c:v>
                </c:pt>
                <c:pt idx="81">
                  <c:v>0.952637040123406</c:v>
                </c:pt>
                <c:pt idx="82">
                  <c:v>0.93358414799562506</c:v>
                </c:pt>
                <c:pt idx="83">
                  <c:v>0.91507496722880266</c:v>
                </c:pt>
                <c:pt idx="84">
                  <c:v>0.91468639373538851</c:v>
                </c:pt>
                <c:pt idx="85">
                  <c:v>0.87836114400434429</c:v>
                </c:pt>
                <c:pt idx="86">
                  <c:v>0.84364969627288466</c:v>
                </c:pt>
                <c:pt idx="87">
                  <c:v>0.81046388024806459</c:v>
                </c:pt>
                <c:pt idx="88">
                  <c:v>0.77872120541533407</c:v>
                </c:pt>
                <c:pt idx="89">
                  <c:v>0.74834444113176091</c:v>
                </c:pt>
                <c:pt idx="90">
                  <c:v>0.74783229530016304</c:v>
                </c:pt>
                <c:pt idx="91">
                  <c:v>0.66170019431361604</c:v>
                </c:pt>
                <c:pt idx="92">
                  <c:v>0.58407286211823228</c:v>
                </c:pt>
                <c:pt idx="93">
                  <c:v>0.51400114756158333</c:v>
                </c:pt>
                <c:pt idx="94">
                  <c:v>0.45065376444793065</c:v>
                </c:pt>
                <c:pt idx="95">
                  <c:v>0.3933012100863606</c:v>
                </c:pt>
                <c:pt idx="96">
                  <c:v>0.39269120750799652</c:v>
                </c:pt>
                <c:pt idx="97">
                  <c:v>6.5276124258884405E-2</c:v>
                </c:pt>
                <c:pt idx="98">
                  <c:v>-0.1066039971198095</c:v>
                </c:pt>
                <c:pt idx="99">
                  <c:v>-0.19887689880573939</c:v>
                </c:pt>
                <c:pt idx="100">
                  <c:v>-0.24944550336406385</c:v>
                </c:pt>
                <c:pt idx="101">
                  <c:v>-0.27769191009744781</c:v>
                </c:pt>
                <c:pt idx="102">
                  <c:v>-0.29375049948740045</c:v>
                </c:pt>
                <c:pt idx="103">
                  <c:v>-0.30303075726923107</c:v>
                </c:pt>
                <c:pt idx="104">
                  <c:v>-0.30847603302527077</c:v>
                </c:pt>
                <c:pt idx="105">
                  <c:v>-0.31171667659929553</c:v>
                </c:pt>
                <c:pt idx="106">
                  <c:v>-0.31367091978899481</c:v>
                </c:pt>
                <c:pt idx="107">
                  <c:v>-0.3148640327509698</c:v>
                </c:pt>
                <c:pt idx="108">
                  <c:v>-0.31560090292331028</c:v>
                </c:pt>
                <c:pt idx="109">
                  <c:v>-0.31688026633973526</c:v>
                </c:pt>
              </c:numCache>
            </c:numRef>
          </c:xVal>
          <c:yVal>
            <c:numRef>
              <c:f>'Up-Auswert'!$G$5:$G$114</c:f>
              <c:numCache>
                <c:formatCode>General</c:formatCode>
                <c:ptCount val="110"/>
                <c:pt idx="0">
                  <c:v>-2</c:v>
                </c:pt>
                <c:pt idx="1">
                  <c:v>-1.8968178802628624</c:v>
                </c:pt>
                <c:pt idx="2">
                  <c:v>-1.7949991349025642</c:v>
                </c:pt>
                <c:pt idx="3">
                  <c:v>-1.6945247289474177</c:v>
                </c:pt>
                <c:pt idx="4">
                  <c:v>-1.5953759074924685</c:v>
                </c:pt>
                <c:pt idx="5">
                  <c:v>-1.4975341913674889</c:v>
                </c:pt>
                <c:pt idx="6">
                  <c:v>-1.4616059968439361</c:v>
                </c:pt>
                <c:pt idx="7">
                  <c:v>-1.3533235142274957</c:v>
                </c:pt>
                <c:pt idx="8">
                  <c:v>-1.2471875752647004</c:v>
                </c:pt>
                <c:pt idx="9">
                  <c:v>-1.1431504149115832</c:v>
                </c:pt>
                <c:pt idx="10">
                  <c:v>-1.0411654475474479</c:v>
                </c:pt>
                <c:pt idx="11">
                  <c:v>-0.94118723497298507</c:v>
                </c:pt>
                <c:pt idx="12">
                  <c:v>-0.9300191867885288</c:v>
                </c:pt>
                <c:pt idx="13">
                  <c:v>-0.87544430548477392</c:v>
                </c:pt>
                <c:pt idx="14">
                  <c:v>-0.8216911851640174</c:v>
                </c:pt>
                <c:pt idx="15">
                  <c:v>-0.76874525219693579</c:v>
                </c:pt>
                <c:pt idx="16">
                  <c:v>-0.71659223065466837</c:v>
                </c:pt>
                <c:pt idx="17">
                  <c:v>-0.66521813542682273</c:v>
                </c:pt>
                <c:pt idx="18">
                  <c:v>-0.66000334397618832</c:v>
                </c:pt>
                <c:pt idx="19">
                  <c:v>-0.62582507388283803</c:v>
                </c:pt>
                <c:pt idx="20">
                  <c:v>-0.5921133498016381</c:v>
                </c:pt>
                <c:pt idx="21">
                  <c:v>-0.55886042330665475</c:v>
                </c:pt>
                <c:pt idx="22">
                  <c:v>-0.52605869770430425</c:v>
                </c:pt>
                <c:pt idx="23">
                  <c:v>-0.49370072461216058</c:v>
                </c:pt>
                <c:pt idx="24">
                  <c:v>-0.49075210650337675</c:v>
                </c:pt>
                <c:pt idx="25">
                  <c:v>-0.46597503402345153</c:v>
                </c:pt>
                <c:pt idx="26">
                  <c:v>-0.44153930696084859</c:v>
                </c:pt>
                <c:pt idx="27">
                  <c:v>-0.41743908070817526</c:v>
                </c:pt>
                <c:pt idx="28">
                  <c:v>-0.3936686303807545</c:v>
                </c:pt>
                <c:pt idx="29">
                  <c:v>-0.37022234796366915</c:v>
                </c:pt>
                <c:pt idx="30">
                  <c:v>-0.36836040959450267</c:v>
                </c:pt>
                <c:pt idx="31">
                  <c:v>-0.34842296592120786</c:v>
                </c:pt>
                <c:pt idx="32">
                  <c:v>-0.32878419770407136</c:v>
                </c:pt>
                <c:pt idx="33">
                  <c:v>-0.30943846414548914</c:v>
                </c:pt>
                <c:pt idx="34">
                  <c:v>-0.29038025309686788</c:v>
                </c:pt>
                <c:pt idx="35">
                  <c:v>-0.27160417762364919</c:v>
                </c:pt>
                <c:pt idx="36">
                  <c:v>-0.27035186996590999</c:v>
                </c:pt>
                <c:pt idx="37">
                  <c:v>-0.25248853155118994</c:v>
                </c:pt>
                <c:pt idx="38">
                  <c:v>-0.23493875731383146</c:v>
                </c:pt>
                <c:pt idx="39">
                  <c:v>-0.21769554450482437</c:v>
                </c:pt>
                <c:pt idx="40">
                  <c:v>-0.20075208032068487</c:v>
                </c:pt>
                <c:pt idx="41">
                  <c:v>-0.18410173584976314</c:v>
                </c:pt>
                <c:pt idx="42">
                  <c:v>-0.18321833372345783</c:v>
                </c:pt>
                <c:pt idx="43">
                  <c:v>-0.1637470640079654</c:v>
                </c:pt>
                <c:pt idx="44">
                  <c:v>-0.1447506491952176</c:v>
                </c:pt>
                <c:pt idx="45">
                  <c:v>-0.12621428498346554</c:v>
                </c:pt>
                <c:pt idx="46">
                  <c:v>-0.10812372905580411</c:v>
                </c:pt>
                <c:pt idx="47">
                  <c:v>-9.0465275988421356E-2</c:v>
                </c:pt>
                <c:pt idx="48">
                  <c:v>-8.9833694127449598E-2</c:v>
                </c:pt>
                <c:pt idx="49">
                  <c:v>-4.9281460304221598E-2</c:v>
                </c:pt>
                <c:pt idx="50">
                  <c:v>-1.1270737591883948E-2</c:v>
                </c:pt>
                <c:pt idx="51">
                  <c:v>2.440061953052329E-2</c:v>
                </c:pt>
                <c:pt idx="52">
                  <c:v>5.7915337663080907E-2</c:v>
                </c:pt>
                <c:pt idx="53">
                  <c:v>8.9438899160411395E-2</c:v>
                </c:pt>
                <c:pt idx="54">
                  <c:v>8.983369412744896E-2</c:v>
                </c:pt>
                <c:pt idx="55">
                  <c:v>0.10972574027927783</c:v>
                </c:pt>
                <c:pt idx="56">
                  <c:v>0.12894303757752457</c:v>
                </c:pt>
                <c:pt idx="57">
                  <c:v>0.14751470214819018</c:v>
                </c:pt>
                <c:pt idx="58">
                  <c:v>0.16546832427021016</c:v>
                </c:pt>
                <c:pt idx="59">
                  <c:v>0.18283006216873993</c:v>
                </c:pt>
                <c:pt idx="60">
                  <c:v>0.18321833372345658</c:v>
                </c:pt>
                <c:pt idx="61">
                  <c:v>0.20161288091022961</c:v>
                </c:pt>
                <c:pt idx="62">
                  <c:v>0.2194621915562649</c:v>
                </c:pt>
                <c:pt idx="63">
                  <c:v>0.23678668348313839</c:v>
                </c:pt>
                <c:pt idx="64">
                  <c:v>0.25360584890502491</c:v>
                </c:pt>
                <c:pt idx="65">
                  <c:v>0.2699383035629101</c:v>
                </c:pt>
                <c:pt idx="66">
                  <c:v>0.27035186996590721</c:v>
                </c:pt>
                <c:pt idx="67">
                  <c:v>0.29106116644553909</c:v>
                </c:pt>
                <c:pt idx="68">
                  <c:v>0.31114770165952876</c:v>
                </c:pt>
                <c:pt idx="69">
                  <c:v>0.33063487128411401</c:v>
                </c:pt>
                <c:pt idx="70">
                  <c:v>0.34954501402023319</c:v>
                </c:pt>
                <c:pt idx="71">
                  <c:v>0.36789946726540351</c:v>
                </c:pt>
                <c:pt idx="72">
                  <c:v>0.36836040959450045</c:v>
                </c:pt>
                <c:pt idx="73">
                  <c:v>0.39437987858658907</c:v>
                </c:pt>
                <c:pt idx="74">
                  <c:v>0.41954105009889725</c:v>
                </c:pt>
                <c:pt idx="75">
                  <c:v>0.44387871524530664</c:v>
                </c:pt>
                <c:pt idx="76">
                  <c:v>0.46742598710495753</c:v>
                </c:pt>
                <c:pt idx="77">
                  <c:v>0.49021439439890285</c:v>
                </c:pt>
                <c:pt idx="78">
                  <c:v>0.49075210650337203</c:v>
                </c:pt>
                <c:pt idx="79">
                  <c:v>0.52724620792734367</c:v>
                </c:pt>
                <c:pt idx="80">
                  <c:v>0.56228586223202304</c:v>
                </c:pt>
                <c:pt idx="81">
                  <c:v>0.59594062305293138</c:v>
                </c:pt>
                <c:pt idx="82">
                  <c:v>0.62827615116298197</c:v>
                </c:pt>
                <c:pt idx="83">
                  <c:v>0.65935446373859885</c:v>
                </c:pt>
                <c:pt idx="84">
                  <c:v>0.66000334397620031</c:v>
                </c:pt>
                <c:pt idx="85">
                  <c:v>0.72026261949481429</c:v>
                </c:pt>
                <c:pt idx="86">
                  <c:v>0.77709651892607012</c:v>
                </c:pt>
                <c:pt idx="87">
                  <c:v>0.830730544219763</c:v>
                </c:pt>
                <c:pt idx="88">
                  <c:v>0.88137328021327521</c:v>
                </c:pt>
                <c:pt idx="89">
                  <c:v>0.9292178180874564</c:v>
                </c:pt>
                <c:pt idx="90">
                  <c:v>0.93001918678853923</c:v>
                </c:pt>
                <c:pt idx="91">
                  <c:v>1.0634849698771114</c:v>
                </c:pt>
                <c:pt idx="92">
                  <c:v>1.1814432358057054</c:v>
                </c:pt>
                <c:pt idx="93">
                  <c:v>1.285874490186222</c:v>
                </c:pt>
                <c:pt idx="94">
                  <c:v>1.3784832400616556</c:v>
                </c:pt>
                <c:pt idx="95">
                  <c:v>1.4607396457471098</c:v>
                </c:pt>
                <c:pt idx="96">
                  <c:v>1.4616059968409489</c:v>
                </c:pt>
                <c:pt idx="97">
                  <c:v>1.9156788438393244</c:v>
                </c:pt>
                <c:pt idx="98">
                  <c:v>2.1417507717340643</c:v>
                </c:pt>
                <c:pt idx="99">
                  <c:v>2.2569406249436406</c:v>
                </c:pt>
                <c:pt idx="100">
                  <c:v>2.3168919636073015</c:v>
                </c:pt>
                <c:pt idx="101">
                  <c:v>2.3487086755816109</c:v>
                </c:pt>
                <c:pt idx="102">
                  <c:v>2.3659000314908782</c:v>
                </c:pt>
                <c:pt idx="103">
                  <c:v>2.3753439431219769</c:v>
                </c:pt>
                <c:pt idx="104">
                  <c:v>2.3806116601782659</c:v>
                </c:pt>
                <c:pt idx="105">
                  <c:v>2.3835916133479675</c:v>
                </c:pt>
                <c:pt idx="106">
                  <c:v>2.3852994261211222</c:v>
                </c:pt>
                <c:pt idx="107">
                  <c:v>2.3862899759600209</c:v>
                </c:pt>
                <c:pt idx="108">
                  <c:v>2.3868708852374607</c:v>
                </c:pt>
                <c:pt idx="109">
                  <c:v>2.3877418376208901</c:v>
                </c:pt>
              </c:numCache>
            </c:numRef>
          </c:yVal>
        </c:ser>
        <c:ser>
          <c:idx val="2"/>
          <c:order val="2"/>
          <c:tx>
            <c:v>Vmax</c:v>
          </c:tx>
          <c:marker>
            <c:symbol val="none"/>
          </c:marker>
          <c:xVal>
            <c:numRef>
              <c:f>'Up-Auswert'!$I$5:$I$114</c:f>
              <c:numCache>
                <c:formatCode>General</c:formatCode>
                <c:ptCount val="110"/>
                <c:pt idx="0">
                  <c:v>2</c:v>
                </c:pt>
                <c:pt idx="1">
                  <c:v>1.9607392871772793</c:v>
                </c:pt>
                <c:pt idx="2">
                  <c:v>1.9219188749606184</c:v>
                </c:pt>
                <c:pt idx="3">
                  <c:v>1.8835335248860283</c:v>
                </c:pt>
                <c:pt idx="4">
                  <c:v>1.8455780644037489</c:v>
                </c:pt>
                <c:pt idx="5">
                  <c:v>1.8080473860035193</c:v>
                </c:pt>
                <c:pt idx="6">
                  <c:v>1.7937879352403632</c:v>
                </c:pt>
                <c:pt idx="7">
                  <c:v>1.7523744361905946</c:v>
                </c:pt>
                <c:pt idx="8">
                  <c:v>1.7115976644496023</c:v>
                </c:pt>
                <c:pt idx="9">
                  <c:v>1.6714463997877729</c:v>
                </c:pt>
                <c:pt idx="10">
                  <c:v>1.6319096448431303</c:v>
                </c:pt>
                <c:pt idx="11">
                  <c:v>1.5929766201967588</c:v>
                </c:pt>
                <c:pt idx="12">
                  <c:v>1.5884407840204278</c:v>
                </c:pt>
                <c:pt idx="13">
                  <c:v>1.5672806848095824</c:v>
                </c:pt>
                <c:pt idx="14">
                  <c:v>1.5463479479417461</c:v>
                </c:pt>
                <c:pt idx="15">
                  <c:v>1.525639562117397</c:v>
                </c:pt>
                <c:pt idx="16">
                  <c:v>1.5051525633361573</c:v>
                </c:pt>
                <c:pt idx="17">
                  <c:v>1.4848840340383631</c:v>
                </c:pt>
                <c:pt idx="18">
                  <c:v>1.4827186402914077</c:v>
                </c:pt>
                <c:pt idx="19">
                  <c:v>1.4692770178756727</c:v>
                </c:pt>
                <c:pt idx="20">
                  <c:v>1.4559583042605608</c:v>
                </c:pt>
                <c:pt idx="21">
                  <c:v>1.4427610331037304</c:v>
                </c:pt>
                <c:pt idx="22">
                  <c:v>1.4296837595187797</c:v>
                </c:pt>
                <c:pt idx="23">
                  <c:v>1.4167250597039538</c:v>
                </c:pt>
                <c:pt idx="24">
                  <c:v>1.4154721215482111</c:v>
                </c:pt>
                <c:pt idx="25">
                  <c:v>1.4055775448978807</c:v>
                </c:pt>
                <c:pt idx="26">
                  <c:v>1.3957700914226077</c:v>
                </c:pt>
                <c:pt idx="27">
                  <c:v>1.3860487174146896</c:v>
                </c:pt>
                <c:pt idx="28">
                  <c:v>1.376412394832162</c:v>
                </c:pt>
                <c:pt idx="29">
                  <c:v>1.3668601110167533</c:v>
                </c:pt>
                <c:pt idx="30">
                  <c:v>1.3660486103180955</c:v>
                </c:pt>
                <c:pt idx="31">
                  <c:v>1.3579499186971702</c:v>
                </c:pt>
                <c:pt idx="32">
                  <c:v>1.3499259920531277</c:v>
                </c:pt>
                <c:pt idx="33">
                  <c:v>1.3419758615692314</c:v>
                </c:pt>
                <c:pt idx="34">
                  <c:v>1.3340985743776481</c:v>
                </c:pt>
                <c:pt idx="35">
                  <c:v>1.3262931932416466</c:v>
                </c:pt>
                <c:pt idx="36">
                  <c:v>1.325731190021971</c:v>
                </c:pt>
                <c:pt idx="37">
                  <c:v>1.3183313442207412</c:v>
                </c:pt>
                <c:pt idx="38">
                  <c:v>1.3110092334837102</c:v>
                </c:pt>
                <c:pt idx="39">
                  <c:v>1.3037636852147692</c:v>
                </c:pt>
                <c:pt idx="40">
                  <c:v>1.2965935494848957</c:v>
                </c:pt>
                <c:pt idx="41">
                  <c:v>1.2894976984988196</c:v>
                </c:pt>
                <c:pt idx="42">
                  <c:v>1.2890868023633295</c:v>
                </c:pt>
                <c:pt idx="43">
                  <c:v>1.2808299505046885</c:v>
                </c:pt>
                <c:pt idx="44">
                  <c:v>1.2726904967194723</c:v>
                </c:pt>
                <c:pt idx="45">
                  <c:v>1.2646660045786431</c:v>
                </c:pt>
                <c:pt idx="46">
                  <c:v>1.2567541027508704</c:v>
                </c:pt>
                <c:pt idx="47">
                  <c:v>1.2489524828798444</c:v>
                </c:pt>
                <c:pt idx="48">
                  <c:v>1.2486431633434441</c:v>
                </c:pt>
                <c:pt idx="49">
                  <c:v>1.2309545282006908</c:v>
                </c:pt>
                <c:pt idx="50">
                  <c:v>1.2138925378064374</c:v>
                </c:pt>
                <c:pt idx="51">
                  <c:v>1.1974246379965465</c:v>
                </c:pt>
                <c:pt idx="52">
                  <c:v>1.1815204400058905</c:v>
                </c:pt>
                <c:pt idx="53">
                  <c:v>1.1661515457825429</c:v>
                </c:pt>
                <c:pt idx="54">
                  <c:v>1.1659292672156862</c:v>
                </c:pt>
                <c:pt idx="55">
                  <c:v>1.1564190557287399</c:v>
                </c:pt>
                <c:pt idx="56">
                  <c:v>1.1470853319129977</c:v>
                </c:pt>
                <c:pt idx="57">
                  <c:v>1.1379232754763944</c:v>
                </c:pt>
                <c:pt idx="58">
                  <c:v>1.128928235287878</c:v>
                </c:pt>
                <c:pt idx="59">
                  <c:v>1.1200957221434658</c:v>
                </c:pt>
                <c:pt idx="60">
                  <c:v>1.1198593981585911</c:v>
                </c:pt>
                <c:pt idx="61">
                  <c:v>1.110648466762427</c:v>
                </c:pt>
                <c:pt idx="62">
                  <c:v>1.1015850826606803</c:v>
                </c:pt>
                <c:pt idx="63">
                  <c:v>1.0926658101950195</c:v>
                </c:pt>
                <c:pt idx="64">
                  <c:v>1.0838873160201594</c:v>
                </c:pt>
                <c:pt idx="65">
                  <c:v>1.075246365401658</c:v>
                </c:pt>
                <c:pt idx="66">
                  <c:v>1.0749766526375419</c:v>
                </c:pt>
                <c:pt idx="67">
                  <c:v>1.0642086674794842</c:v>
                </c:pt>
                <c:pt idx="68">
                  <c:v>1.0536147409646097</c:v>
                </c:pt>
                <c:pt idx="69">
                  <c:v>1.0431908698935586</c:v>
                </c:pt>
                <c:pt idx="70">
                  <c:v>1.0329331678297691</c:v>
                </c:pt>
                <c:pt idx="71">
                  <c:v>1.0228378609853133</c:v>
                </c:pt>
                <c:pt idx="72">
                  <c:v>1.0225152913504798</c:v>
                </c:pt>
                <c:pt idx="73">
                  <c:v>1.0085070427492531</c:v>
                </c:pt>
                <c:pt idx="74">
                  <c:v>0.99474734674042276</c:v>
                </c:pt>
                <c:pt idx="75">
                  <c:v>0.9812301293763438</c:v>
                </c:pt>
                <c:pt idx="76">
                  <c:v>0.96794950243358968</c:v>
                </c:pt>
                <c:pt idx="77">
                  <c:v>0.95489975661631699</c:v>
                </c:pt>
                <c:pt idx="78">
                  <c:v>0.95449318735311561</c:v>
                </c:pt>
                <c:pt idx="79">
                  <c:v>0.93419658058730903</c:v>
                </c:pt>
                <c:pt idx="80">
                  <c:v>0.91433747042319247</c:v>
                </c:pt>
                <c:pt idx="81">
                  <c:v>0.89490345499526003</c:v>
                </c:pt>
                <c:pt idx="82">
                  <c:v>0.87588256304991208</c:v>
                </c:pt>
                <c:pt idx="83">
                  <c:v>0.85726323631111423</c:v>
                </c:pt>
                <c:pt idx="84">
                  <c:v>0.85672468051866613</c:v>
                </c:pt>
                <c:pt idx="85">
                  <c:v>0.8222948689832974</c:v>
                </c:pt>
                <c:pt idx="86">
                  <c:v>0.78892887702124925</c:v>
                </c:pt>
                <c:pt idx="87">
                  <c:v>0.75658616426512504</c:v>
                </c:pt>
                <c:pt idx="88">
                  <c:v>0.72522801739355758</c:v>
                </c:pt>
                <c:pt idx="89">
                  <c:v>0.69481745534914174</c:v>
                </c:pt>
                <c:pt idx="90">
                  <c:v>0.69405740455798248</c:v>
                </c:pt>
                <c:pt idx="91">
                  <c:v>0.61837646433125237</c:v>
                </c:pt>
                <c:pt idx="92">
                  <c:v>0.54727488885145115</c:v>
                </c:pt>
                <c:pt idx="93">
                  <c:v>0.48043766668069665</c:v>
                </c:pt>
                <c:pt idx="94">
                  <c:v>0.41757403354528039</c:v>
                </c:pt>
                <c:pt idx="95">
                  <c:v>0.35841541049440345</c:v>
                </c:pt>
                <c:pt idx="96">
                  <c:v>0.3573092436370785</c:v>
                </c:pt>
                <c:pt idx="97">
                  <c:v>0.32567748807861679</c:v>
                </c:pt>
                <c:pt idx="98">
                  <c:v>0.29491367065386243</c:v>
                </c:pt>
                <c:pt idx="99">
                  <c:v>0.26499264657195326</c:v>
                </c:pt>
                <c:pt idx="100">
                  <c:v>0.23589003843452042</c:v>
                </c:pt>
                <c:pt idx="101">
                  <c:v>0.20758221161867604</c:v>
                </c:pt>
                <c:pt idx="102">
                  <c:v>0.18004625048827172</c:v>
                </c:pt>
                <c:pt idx="103">
                  <c:v>0.15325993540427438</c:v>
                </c:pt>
                <c:pt idx="104">
                  <c:v>0.12720172050612807</c:v>
                </c:pt>
                <c:pt idx="105">
                  <c:v>0.10185071223710157</c:v>
                </c:pt>
                <c:pt idx="106">
                  <c:v>7.7186648587474982E-2</c:v>
                </c:pt>
                <c:pt idx="107">
                  <c:v>5.3189879030485998E-2</c:v>
                </c:pt>
                <c:pt idx="108">
                  <c:v>2.9841345126816909E-2</c:v>
                </c:pt>
                <c:pt idx="109">
                  <c:v>-0.86212979679112645</c:v>
                </c:pt>
              </c:numCache>
            </c:numRef>
          </c:xVal>
          <c:yVal>
            <c:numRef>
              <c:f>'Up-Auswert'!$J$5:$J$114</c:f>
              <c:numCache>
                <c:formatCode>General</c:formatCode>
                <c:ptCount val="110"/>
                <c:pt idx="0">
                  <c:v>-2</c:v>
                </c:pt>
                <c:pt idx="1">
                  <c:v>-1.897321510063317</c:v>
                </c:pt>
                <c:pt idx="2">
                  <c:v>-1.7958739654169773</c:v>
                </c:pt>
                <c:pt idx="3">
                  <c:v>-1.6956417784867963</c:v>
                </c:pt>
                <c:pt idx="4">
                  <c:v>-1.5966095696598863</c:v>
                </c:pt>
                <c:pt idx="5">
                  <c:v>-1.4987621643684439</c:v>
                </c:pt>
                <c:pt idx="6">
                  <c:v>-1.4616059968426138</c:v>
                </c:pt>
                <c:pt idx="7">
                  <c:v>-1.3538467376596357</c:v>
                </c:pt>
                <c:pt idx="8">
                  <c:v>-1.2480133148943382</c:v>
                </c:pt>
                <c:pt idx="9">
                  <c:v>-1.1440671110524416</c:v>
                </c:pt>
                <c:pt idx="10">
                  <c:v>-1.0419703678095225</c:v>
                </c:pt>
                <c:pt idx="11">
                  <c:v>-0.94168616500588598</c:v>
                </c:pt>
                <c:pt idx="12">
                  <c:v>-0.9300191867885631</c:v>
                </c:pt>
                <c:pt idx="13">
                  <c:v>-0.87567440769481542</c:v>
                </c:pt>
                <c:pt idx="14">
                  <c:v>-0.82206115528833024</c:v>
                </c:pt>
                <c:pt idx="15">
                  <c:v>-0.76916783756962392</c:v>
                </c:pt>
                <c:pt idx="16">
                  <c:v>-0.71698307411794504</c:v>
                </c:pt>
                <c:pt idx="17">
                  <c:v>-0.66549569172040468</c:v>
                </c:pt>
                <c:pt idx="18">
                  <c:v>-0.66000334397619587</c:v>
                </c:pt>
                <c:pt idx="19">
                  <c:v>-0.62596597446032243</c:v>
                </c:pt>
                <c:pt idx="20">
                  <c:v>-0.59234117105087569</c:v>
                </c:pt>
                <c:pt idx="21">
                  <c:v>-0.55912285229764391</c:v>
                </c:pt>
                <c:pt idx="22">
                  <c:v>-0.52630504246296661</c:v>
                </c:pt>
                <c:pt idx="23">
                  <c:v>-0.49388186940536011</c:v>
                </c:pt>
                <c:pt idx="24">
                  <c:v>-0.49075210650337392</c:v>
                </c:pt>
                <c:pt idx="25">
                  <c:v>-0.46608144797585993</c:v>
                </c:pt>
                <c:pt idx="26">
                  <c:v>-0.44171069673760183</c:v>
                </c:pt>
                <c:pt idx="27">
                  <c:v>-0.4176353233494331</c:v>
                </c:pt>
                <c:pt idx="28">
                  <c:v>-0.39385088023459891</c:v>
                </c:pt>
                <c:pt idx="29">
                  <c:v>-0.37035299995700732</c:v>
                </c:pt>
                <c:pt idx="30">
                  <c:v>-0.36836040959449923</c:v>
                </c:pt>
                <c:pt idx="31">
                  <c:v>-0.34851659285788883</c:v>
                </c:pt>
                <c:pt idx="32">
                  <c:v>-0.32893337482800528</c:v>
                </c:pt>
                <c:pt idx="33">
                  <c:v>-0.30960644220857153</c:v>
                </c:pt>
                <c:pt idx="34">
                  <c:v>-0.29053156795359592</c:v>
                </c:pt>
                <c:pt idx="35">
                  <c:v>-0.27170460924734202</c:v>
                </c:pt>
                <c:pt idx="36">
                  <c:v>-0.27035186996591054</c:v>
                </c:pt>
                <c:pt idx="37">
                  <c:v>-0.25258595226379238</c:v>
                </c:pt>
                <c:pt idx="38">
                  <c:v>-0.23509137693445056</c:v>
                </c:pt>
                <c:pt idx="39">
                  <c:v>-0.21786287203624349</c:v>
                </c:pt>
                <c:pt idx="40">
                  <c:v>-0.20089529011167298</c:v>
                </c:pt>
                <c:pt idx="41">
                  <c:v>-0.18418360473159451</c:v>
                </c:pt>
                <c:pt idx="42">
                  <c:v>-0.18321833372345828</c:v>
                </c:pt>
                <c:pt idx="43">
                  <c:v>-0.16389109868576687</c:v>
                </c:pt>
                <c:pt idx="44">
                  <c:v>-0.14496994289945794</c:v>
                </c:pt>
                <c:pt idx="45">
                  <c:v>-0.12644395690981503</c:v>
                </c:pt>
                <c:pt idx="46">
                  <c:v>-0.10830258848361077</c:v>
                </c:pt>
                <c:pt idx="47">
                  <c:v>-9.0535628838749244E-2</c:v>
                </c:pt>
                <c:pt idx="48">
                  <c:v>-8.9833694127448668E-2</c:v>
                </c:pt>
                <c:pt idx="49">
                  <c:v>-5.0062147031548508E-2</c:v>
                </c:pt>
                <c:pt idx="50">
                  <c:v>-1.2391222660792844E-2</c:v>
                </c:pt>
                <c:pt idx="51">
                  <c:v>2.3320182432856329E-2</c:v>
                </c:pt>
                <c:pt idx="52">
                  <c:v>5.7201691250136535E-2</c:v>
                </c:pt>
                <c:pt idx="53">
                  <c:v>8.9372538173102492E-2</c:v>
                </c:pt>
                <c:pt idx="54">
                  <c:v>8.9833694127448668E-2</c:v>
                </c:pt>
                <c:pt idx="55">
                  <c:v>0.10946916907155115</c:v>
                </c:pt>
                <c:pt idx="56">
                  <c:v>0.12855974126331332</c:v>
                </c:pt>
                <c:pt idx="57">
                  <c:v>0.1471246669635895</c:v>
                </c:pt>
                <c:pt idx="58">
                  <c:v>0.16518237450163431</c:v>
                </c:pt>
                <c:pt idx="59">
                  <c:v>0.18275050610022334</c:v>
                </c:pt>
                <c:pt idx="60">
                  <c:v>0.18321833372345619</c:v>
                </c:pt>
                <c:pt idx="61">
                  <c:v>0.20137857189616218</c:v>
                </c:pt>
                <c:pt idx="62">
                  <c:v>0.2191080182594681</c:v>
                </c:pt>
                <c:pt idx="63">
                  <c:v>0.23641959613864588</c:v>
                </c:pt>
                <c:pt idx="64">
                  <c:v>0.25332575875509983</c:v>
                </c:pt>
                <c:pt idx="65">
                  <c:v>0.26983850928223246</c:v>
                </c:pt>
                <c:pt idx="66">
                  <c:v>0.27035186996590721</c:v>
                </c:pt>
                <c:pt idx="67">
                  <c:v>0.29076801060821172</c:v>
                </c:pt>
                <c:pt idx="68">
                  <c:v>0.31070391932503011</c:v>
                </c:pt>
                <c:pt idx="69">
                  <c:v>0.33017372555460489</c:v>
                </c:pt>
                <c:pt idx="70">
                  <c:v>0.34919105794064959</c:v>
                </c:pt>
                <c:pt idx="71">
                  <c:v>0.36776906506068663</c:v>
                </c:pt>
                <c:pt idx="72">
                  <c:v>0.36836040959449989</c:v>
                </c:pt>
                <c:pt idx="73">
                  <c:v>0.39394123320966645</c:v>
                </c:pt>
                <c:pt idx="74">
                  <c:v>0.41887953643425158</c:v>
                </c:pt>
                <c:pt idx="75">
                  <c:v>0.44319518382830136</c:v>
                </c:pt>
                <c:pt idx="76">
                  <c:v>0.46690730780634154</c:v>
                </c:pt>
                <c:pt idx="77">
                  <c:v>0.49003433992916912</c:v>
                </c:pt>
                <c:pt idx="78">
                  <c:v>0.49075210650337242</c:v>
                </c:pt>
                <c:pt idx="79">
                  <c:v>0.52643826789213788</c:v>
                </c:pt>
                <c:pt idx="80">
                  <c:v>0.56107901452476749</c:v>
                </c:pt>
                <c:pt idx="81">
                  <c:v>0.59471118134937972</c:v>
                </c:pt>
                <c:pt idx="82">
                  <c:v>0.62737008081216872</c:v>
                </c:pt>
                <c:pt idx="83">
                  <c:v>0.65908957501538501</c:v>
                </c:pt>
                <c:pt idx="84">
                  <c:v>0.66000334397619886</c:v>
                </c:pt>
                <c:pt idx="85">
                  <c:v>0.718153386779259</c:v>
                </c:pt>
                <c:pt idx="86">
                  <c:v>0.77400371686874647</c:v>
                </c:pt>
                <c:pt idx="87">
                  <c:v>0.82766004304895435</c:v>
                </c:pt>
                <c:pt idx="88">
                  <c:v>0.87922251916205729</c:v>
                </c:pt>
                <c:pt idx="89">
                  <c:v>0.92878607251282985</c:v>
                </c:pt>
                <c:pt idx="90">
                  <c:v>0.93001918678853812</c:v>
                </c:pt>
                <c:pt idx="91">
                  <c:v>1.0520897689365403</c:v>
                </c:pt>
                <c:pt idx="92">
                  <c:v>1.1654570859038451</c:v>
                </c:pt>
                <c:pt idx="93">
                  <c:v>1.2708075092293645</c:v>
                </c:pt>
                <c:pt idx="94">
                  <c:v>1.3687679969116913</c:v>
                </c:pt>
                <c:pt idx="95">
                  <c:v>1.4599116940720105</c:v>
                </c:pt>
                <c:pt idx="96">
                  <c:v>1.4616059968409492</c:v>
                </c:pt>
                <c:pt idx="97">
                  <c:v>1.5099980782667328</c:v>
                </c:pt>
                <c:pt idx="98">
                  <c:v>1.5569597290494512</c:v>
                </c:pt>
                <c:pt idx="99">
                  <c:v>1.6025353434293925</c:v>
                </c:pt>
                <c:pt idx="100">
                  <c:v>1.6467678712145151</c:v>
                </c:pt>
                <c:pt idx="101">
                  <c:v>1.6896988669714981</c:v>
                </c:pt>
                <c:pt idx="102">
                  <c:v>1.7313685374661092</c:v>
                </c:pt>
                <c:pt idx="103">
                  <c:v>1.7718157874179967</c:v>
                </c:pt>
                <c:pt idx="104">
                  <c:v>1.8110782636323677</c:v>
                </c:pt>
                <c:pt idx="105">
                  <c:v>1.8491923975685345</c:v>
                </c:pt>
                <c:pt idx="106">
                  <c:v>1.8861934464032466</c:v>
                </c:pt>
                <c:pt idx="107">
                  <c:v>1.9221155326442259</c:v>
                </c:pt>
                <c:pt idx="108">
                  <c:v>1.9569916823473363</c:v>
                </c:pt>
                <c:pt idx="109">
                  <c:v>3.1824924335859377</c:v>
                </c:pt>
              </c:numCache>
            </c:numRef>
          </c:yVal>
        </c:ser>
        <c:ser>
          <c:idx val="3"/>
          <c:order val="3"/>
          <c:tx>
            <c:v>Vmin</c:v>
          </c:tx>
          <c:marker>
            <c:symbol val="none"/>
          </c:marker>
          <c:xVal>
            <c:numRef>
              <c:f>'Up-Auswert'!$L$6:$L$122</c:f>
              <c:numCache>
                <c:formatCode>General</c:formatCode>
                <c:ptCount val="117"/>
                <c:pt idx="0">
                  <c:v>2</c:v>
                </c:pt>
                <c:pt idx="1">
                  <c:v>1.9666360805194365</c:v>
                </c:pt>
                <c:pt idx="2">
                  <c:v>1.9337035874816686</c:v>
                </c:pt>
                <c:pt idx="3">
                  <c:v>1.9011965992837196</c:v>
                </c:pt>
                <c:pt idx="4">
                  <c:v>1.869109280316402</c:v>
                </c:pt>
                <c:pt idx="5">
                  <c:v>1.8374358796468591</c:v>
                </c:pt>
                <c:pt idx="6">
                  <c:v>1.8253343653945604</c:v>
                </c:pt>
                <c:pt idx="7">
                  <c:v>1.7900210286821252</c:v>
                </c:pt>
                <c:pt idx="8">
                  <c:v>1.7553431149748719</c:v>
                </c:pt>
                <c:pt idx="9">
                  <c:v>1.7212875212956513</c:v>
                </c:pt>
                <c:pt idx="10">
                  <c:v>1.6878414491506477</c:v>
                </c:pt>
                <c:pt idx="11">
                  <c:v>1.6549923966607749</c:v>
                </c:pt>
                <c:pt idx="12">
                  <c:v>1.6511954061839587</c:v>
                </c:pt>
                <c:pt idx="13">
                  <c:v>1.6331326487736184</c:v>
                </c:pt>
                <c:pt idx="14">
                  <c:v>1.6153005650599723</c:v>
                </c:pt>
                <c:pt idx="15">
                  <c:v>1.5976955302287648</c:v>
                </c:pt>
                <c:pt idx="16">
                  <c:v>1.5803139869553087</c:v>
                </c:pt>
                <c:pt idx="17">
                  <c:v>1.563152443953534</c:v>
                </c:pt>
                <c:pt idx="18">
                  <c:v>1.5613585395936456</c:v>
                </c:pt>
                <c:pt idx="19">
                  <c:v>1.5498589936348113</c:v>
                </c:pt>
                <c:pt idx="20">
                  <c:v>1.5384859997920273</c:v>
                </c:pt>
                <c:pt idx="21">
                  <c:v>1.5272377478784616</c:v>
                </c:pt>
                <c:pt idx="22">
                  <c:v>1.5161124594232582</c:v>
                </c:pt>
                <c:pt idx="23">
                  <c:v>1.5051083870149313</c:v>
                </c:pt>
                <c:pt idx="24">
                  <c:v>1.5040801959525505</c:v>
                </c:pt>
                <c:pt idx="25">
                  <c:v>1.4955895621306845</c:v>
                </c:pt>
                <c:pt idx="26">
                  <c:v>1.4871899466907805</c:v>
                </c:pt>
                <c:pt idx="27">
                  <c:v>1.4788800298394562</c:v>
                </c:pt>
                <c:pt idx="28">
                  <c:v>1.47065851572783</c:v>
                </c:pt>
                <c:pt idx="29">
                  <c:v>1.4625241319309235</c:v>
                </c:pt>
                <c:pt idx="30">
                  <c:v>1.4618646256914121</c:v>
                </c:pt>
                <c:pt idx="31">
                  <c:v>1.4548877790534489</c:v>
                </c:pt>
                <c:pt idx="32">
                  <c:v>1.4479902669453417</c:v>
                </c:pt>
                <c:pt idx="33">
                  <c:v>1.4411708326972008</c:v>
                </c:pt>
                <c:pt idx="34">
                  <c:v>1.4344282448927892</c:v>
                </c:pt>
                <c:pt idx="35">
                  <c:v>1.4277612967559139</c:v>
                </c:pt>
                <c:pt idx="36">
                  <c:v>1.4273094608865726</c:v>
                </c:pt>
                <c:pt idx="37">
                  <c:v>1.4209009936505286</c:v>
                </c:pt>
                <c:pt idx="38">
                  <c:v>1.414576529496804</c:v>
                </c:pt>
                <c:pt idx="39">
                  <c:v>1.4083345017638871</c:v>
                </c:pt>
                <c:pt idx="40">
                  <c:v>1.4021733811806656</c:v>
                </c:pt>
                <c:pt idx="41">
                  <c:v>1.3960916747816385</c:v>
                </c:pt>
                <c:pt idx="42">
                  <c:v>1.3957656183759459</c:v>
                </c:pt>
                <c:pt idx="43">
                  <c:v>1.3885536113981798</c:v>
                </c:pt>
                <c:pt idx="44">
                  <c:v>1.3814717241311527</c:v>
                </c:pt>
                <c:pt idx="45">
                  <c:v>1.3745165669469499</c:v>
                </c:pt>
                <c:pt idx="46">
                  <c:v>1.3676848637019441</c:v>
                </c:pt>
                <c:pt idx="47">
                  <c:v>1.3609734471083326</c:v>
                </c:pt>
                <c:pt idx="48">
                  <c:v>1.3607326427021871</c:v>
                </c:pt>
                <c:pt idx="49">
                  <c:v>1.344827793408893</c:v>
                </c:pt>
                <c:pt idx="50">
                  <c:v>1.3296652658932775</c:v>
                </c:pt>
                <c:pt idx="51">
                  <c:v>1.3151950055317678</c:v>
                </c:pt>
                <c:pt idx="52">
                  <c:v>1.3013712599259171</c:v>
                </c:pt>
                <c:pt idx="53">
                  <c:v>1.2881521325461469</c:v>
                </c:pt>
                <c:pt idx="54">
                  <c:v>1.2879884436857663</c:v>
                </c:pt>
                <c:pt idx="55">
                  <c:v>1.2793261191348009</c:v>
                </c:pt>
                <c:pt idx="56">
                  <c:v>1.2708855128228567</c:v>
                </c:pt>
                <c:pt idx="57">
                  <c:v>1.2626583748821865</c:v>
                </c:pt>
                <c:pt idx="58">
                  <c:v>1.2546368487430728</c:v>
                </c:pt>
                <c:pt idx="59">
                  <c:v>1.246813448358137</c:v>
                </c:pt>
                <c:pt idx="60">
                  <c:v>1.2466453987438619</c:v>
                </c:pt>
                <c:pt idx="61">
                  <c:v>1.2381264983483962</c:v>
                </c:pt>
                <c:pt idx="62">
                  <c:v>1.2298024052286414</c:v>
                </c:pt>
                <c:pt idx="63">
                  <c:v>1.2216667130369057</c:v>
                </c:pt>
                <c:pt idx="64">
                  <c:v>1.2137132840970553</c:v>
                </c:pt>
                <c:pt idx="65">
                  <c:v>1.2059362357542076</c:v>
                </c:pt>
                <c:pt idx="66">
                  <c:v>1.2057508712377385</c:v>
                </c:pt>
                <c:pt idx="67">
                  <c:v>1.1956143939214174</c:v>
                </c:pt>
                <c:pt idx="68">
                  <c:v>1.1857204096861205</c:v>
                </c:pt>
                <c:pt idx="69">
                  <c:v>1.1760607397425538</c:v>
                </c:pt>
                <c:pt idx="70">
                  <c:v>1.1666275540141029</c:v>
                </c:pt>
                <c:pt idx="71">
                  <c:v>1.1574133532323936</c:v>
                </c:pt>
                <c:pt idx="72">
                  <c:v>1.1572000671146074</c:v>
                </c:pt>
                <c:pt idx="73">
                  <c:v>1.1437249713167472</c:v>
                </c:pt>
                <c:pt idx="74">
                  <c:v>1.1306192767309975</c:v>
                </c:pt>
                <c:pt idx="75">
                  <c:v>1.1178691399167484</c:v>
                </c:pt>
                <c:pt idx="76">
                  <c:v>1.1054613641504243</c:v>
                </c:pt>
                <c:pt idx="77">
                  <c:v>1.0933833633925054</c:v>
                </c:pt>
                <c:pt idx="78">
                  <c:v>1.0931272011400253</c:v>
                </c:pt>
                <c:pt idx="79">
                  <c:v>1.0730163270764455</c:v>
                </c:pt>
                <c:pt idx="80">
                  <c:v>1.0536151866718706</c:v>
                </c:pt>
                <c:pt idx="81">
                  <c:v>1.0348910412761883</c:v>
                </c:pt>
                <c:pt idx="82">
                  <c:v>1.0168129938268857</c:v>
                </c:pt>
                <c:pt idx="83">
                  <c:v>0.99935186717326674</c:v>
                </c:pt>
                <c:pt idx="84">
                  <c:v>0.99903511036118886</c:v>
                </c:pt>
                <c:pt idx="85">
                  <c:v>0.96314097568813706</c:v>
                </c:pt>
                <c:pt idx="86">
                  <c:v>0.92924404785780146</c:v>
                </c:pt>
                <c:pt idx="87">
                  <c:v>0.89720811459873862</c:v>
                </c:pt>
                <c:pt idx="88">
                  <c:v>0.86690788662117813</c:v>
                </c:pt>
                <c:pt idx="89">
                  <c:v>0.83822799495077216</c:v>
                </c:pt>
                <c:pt idx="90">
                  <c:v>0.83783361839513948</c:v>
                </c:pt>
                <c:pt idx="91">
                  <c:v>0.7455218600699075</c:v>
                </c:pt>
                <c:pt idx="92">
                  <c:v>0.66608076648234216</c:v>
                </c:pt>
                <c:pt idx="93">
                  <c:v>0.59749399923827839</c:v>
                </c:pt>
                <c:pt idx="94">
                  <c:v>0.53809468260445992</c:v>
                </c:pt>
                <c:pt idx="95">
                  <c:v>0.48649922757191771</c:v>
                </c:pt>
                <c:pt idx="96">
                  <c:v>0.48612183295985489</c:v>
                </c:pt>
                <c:pt idx="97">
                  <c:v>0.28334308171972666</c:v>
                </c:pt>
                <c:pt idx="98">
                  <c:v>0.17600047963705701</c:v>
                </c:pt>
                <c:pt idx="99">
                  <c:v>0.11792865964710414</c:v>
                </c:pt>
                <c:pt idx="100">
                  <c:v>8.587561939721039E-2</c:v>
                </c:pt>
                <c:pt idx="101">
                  <c:v>6.7852639628824263E-2</c:v>
                </c:pt>
                <c:pt idx="102">
                  <c:v>5.7542929386571962E-2</c:v>
                </c:pt>
                <c:pt idx="103">
                  <c:v>5.1550611592683815E-2</c:v>
                </c:pt>
                <c:pt idx="104">
                  <c:v>4.8015627227383173E-2</c:v>
                </c:pt>
                <c:pt idx="105">
                  <c:v>4.5901243776528933E-2</c:v>
                </c:pt>
                <c:pt idx="106">
                  <c:v>4.4620149257383224E-2</c:v>
                </c:pt>
                <c:pt idx="107">
                  <c:v>4.383453187171632E-2</c:v>
                </c:pt>
                <c:pt idx="108">
                  <c:v>4.3347301136267335E-2</c:v>
                </c:pt>
                <c:pt idx="109">
                  <c:v>4.304192179894939E-2</c:v>
                </c:pt>
                <c:pt idx="110">
                  <c:v>4.2848619369695418E-2</c:v>
                </c:pt>
                <c:pt idx="111">
                  <c:v>4.2725121332701788E-2</c:v>
                </c:pt>
                <c:pt idx="112">
                  <c:v>4.2645531219024924E-2</c:v>
                </c:pt>
                <c:pt idx="113">
                  <c:v>4.2593817867076611E-2</c:v>
                </c:pt>
                <c:pt idx="114">
                  <c:v>4.2494175537927448E-2</c:v>
                </c:pt>
                <c:pt idx="115">
                  <c:v>4.2491978824945764E-2</c:v>
                </c:pt>
                <c:pt idx="116">
                  <c:v>4.2491909099868275E-2</c:v>
                </c:pt>
              </c:numCache>
            </c:numRef>
          </c:xVal>
          <c:yVal>
            <c:numRef>
              <c:f>'Up-Auswert'!$M$6:$M$122</c:f>
              <c:numCache>
                <c:formatCode>General</c:formatCode>
                <c:ptCount val="117"/>
                <c:pt idx="0">
                  <c:v>-2</c:v>
                </c:pt>
                <c:pt idx="1">
                  <c:v>-1.8969614726236912</c:v>
                </c:pt>
                <c:pt idx="2">
                  <c:v>-1.7953452732086956</c:v>
                </c:pt>
                <c:pt idx="3">
                  <c:v>-1.6951306476852599</c:v>
                </c:pt>
                <c:pt idx="4">
                  <c:v>-1.5962971612217796</c:v>
                </c:pt>
                <c:pt idx="5">
                  <c:v>-1.4988246930612532</c:v>
                </c:pt>
                <c:pt idx="6">
                  <c:v>-1.461605996847559</c:v>
                </c:pt>
                <c:pt idx="7">
                  <c:v>-1.3531742459705258</c:v>
                </c:pt>
                <c:pt idx="8">
                  <c:v>-1.2470025214501372</c:v>
                </c:pt>
                <c:pt idx="9">
                  <c:v>-1.1430379152506058</c:v>
                </c:pt>
                <c:pt idx="10">
                  <c:v>-1.0412288941445749</c:v>
                </c:pt>
                <c:pt idx="11">
                  <c:v>-0.94152526045222285</c:v>
                </c:pt>
                <c:pt idx="12">
                  <c:v>-0.93001918678854367</c:v>
                </c:pt>
                <c:pt idx="13">
                  <c:v>-0.87537953956733838</c:v>
                </c:pt>
                <c:pt idx="14">
                  <c:v>-0.8216091331882649</c:v>
                </c:pt>
                <c:pt idx="15">
                  <c:v>-0.76869166948982959</c:v>
                </c:pt>
                <c:pt idx="16">
                  <c:v>-0.71661120235878117</c:v>
                </c:pt>
                <c:pt idx="17">
                  <c:v>-0.66535212912435227</c:v>
                </c:pt>
                <c:pt idx="18">
                  <c:v>-0.66000334397620364</c:v>
                </c:pt>
                <c:pt idx="19">
                  <c:v>-0.62578171330392929</c:v>
                </c:pt>
                <c:pt idx="20">
                  <c:v>-0.59205556477321586</c:v>
                </c:pt>
                <c:pt idx="21">
                  <c:v>-0.55881616424408509</c:v>
                </c:pt>
                <c:pt idx="22">
                  <c:v>-0.52605495911825528</c:v>
                </c:pt>
                <c:pt idx="23">
                  <c:v>-0.49376357399471577</c:v>
                </c:pt>
                <c:pt idx="24">
                  <c:v>-0.49075210650337375</c:v>
                </c:pt>
                <c:pt idx="25">
                  <c:v>-0.46593761056997274</c:v>
                </c:pt>
                <c:pt idx="26">
                  <c:v>-0.4414870556017817</c:v>
                </c:pt>
                <c:pt idx="27">
                  <c:v>-0.41739380349966526</c:v>
                </c:pt>
                <c:pt idx="28">
                  <c:v>-0.39365136100237708</c:v>
                </c:pt>
                <c:pt idx="29">
                  <c:v>-0.37025337601076436</c:v>
                </c:pt>
                <c:pt idx="30">
                  <c:v>-0.36836040959450012</c:v>
                </c:pt>
                <c:pt idx="31">
                  <c:v>-0.34838517359075338</c:v>
                </c:pt>
                <c:pt idx="32">
                  <c:v>-0.32872973280451179</c:v>
                </c:pt>
                <c:pt idx="33">
                  <c:v>-0.30938762909381329</c:v>
                </c:pt>
                <c:pt idx="34">
                  <c:v>-0.29035256178099311</c:v>
                </c:pt>
                <c:pt idx="35">
                  <c:v>-0.27161838315892745</c:v>
                </c:pt>
                <c:pt idx="36">
                  <c:v>-0.27035186996590954</c:v>
                </c:pt>
                <c:pt idx="37">
                  <c:v>-0.25244379402064504</c:v>
                </c:pt>
                <c:pt idx="38">
                  <c:v>-0.2348731379579668</c:v>
                </c:pt>
                <c:pt idx="39">
                  <c:v>-0.21763180928098663</c:v>
                </c:pt>
                <c:pt idx="40">
                  <c:v>-0.20071195114285534</c:v>
                </c:pt>
                <c:pt idx="41">
                  <c:v>-0.18410593428659533</c:v>
                </c:pt>
                <c:pt idx="42">
                  <c:v>-0.18321833372345758</c:v>
                </c:pt>
                <c:pt idx="43">
                  <c:v>-0.16367168753119349</c:v>
                </c:pt>
                <c:pt idx="44">
                  <c:v>-0.14463971691094424</c:v>
                </c:pt>
                <c:pt idx="45">
                  <c:v>-0.1261050920607831</c:v>
                </c:pt>
                <c:pt idx="46">
                  <c:v>-0.10805119326827393</c:v>
                </c:pt>
                <c:pt idx="47">
                  <c:v>-9.0462076706474798E-2</c:v>
                </c:pt>
                <c:pt idx="48">
                  <c:v>-8.9833694127450056E-2</c:v>
                </c:pt>
                <c:pt idx="49">
                  <c:v>-4.8815780354944598E-2</c:v>
                </c:pt>
                <c:pt idx="50">
                  <c:v>-1.0610237068261252E-2</c:v>
                </c:pt>
                <c:pt idx="51">
                  <c:v>2.5027466541007529E-2</c:v>
                </c:pt>
                <c:pt idx="52">
                  <c:v>5.8316226530770163E-2</c:v>
                </c:pt>
                <c:pt idx="53">
                  <c:v>8.9452432063243534E-2</c:v>
                </c:pt>
                <c:pt idx="54">
                  <c:v>8.9833694127449668E-2</c:v>
                </c:pt>
                <c:pt idx="55">
                  <c:v>0.1098806583124063</c:v>
                </c:pt>
                <c:pt idx="56">
                  <c:v>0.12917049342339165</c:v>
                </c:pt>
                <c:pt idx="57">
                  <c:v>0.14773957990120343</c:v>
                </c:pt>
                <c:pt idx="58">
                  <c:v>0.16562217765166598</c:v>
                </c:pt>
                <c:pt idx="59">
                  <c:v>0.18285057087562068</c:v>
                </c:pt>
                <c:pt idx="60">
                  <c:v>0.18321833372345692</c:v>
                </c:pt>
                <c:pt idx="61">
                  <c:v>0.20175753321055223</c:v>
                </c:pt>
                <c:pt idx="62">
                  <c:v>0.2196764997335294</c:v>
                </c:pt>
                <c:pt idx="63">
                  <c:v>0.23700145598723632</c:v>
                </c:pt>
                <c:pt idx="64">
                  <c:v>0.25375728401123337</c:v>
                </c:pt>
                <c:pt idx="65">
                  <c:v>0.2699676053703311</c:v>
                </c:pt>
                <c:pt idx="66">
                  <c:v>0.27035186996590749</c:v>
                </c:pt>
                <c:pt idx="67">
                  <c:v>0.29124886445440518</c:v>
                </c:pt>
                <c:pt idx="68">
                  <c:v>0.31142613543294095</c:v>
                </c:pt>
                <c:pt idx="69">
                  <c:v>0.33091465965151468</c:v>
                </c:pt>
                <c:pt idx="70">
                  <c:v>0.34974381234853963</c:v>
                </c:pt>
                <c:pt idx="71">
                  <c:v>0.3679414636785413</c:v>
                </c:pt>
                <c:pt idx="72">
                  <c:v>0.36836040959449995</c:v>
                </c:pt>
                <c:pt idx="73">
                  <c:v>0.39467492552460354</c:v>
                </c:pt>
                <c:pt idx="74">
                  <c:v>0.41997729649725679</c:v>
                </c:pt>
                <c:pt idx="75">
                  <c:v>0.44431536866138777</c:v>
                </c:pt>
                <c:pt idx="76">
                  <c:v>0.46773430019744522</c:v>
                </c:pt>
                <c:pt idx="77">
                  <c:v>0.49027673588483689</c:v>
                </c:pt>
                <c:pt idx="78">
                  <c:v>0.49075210650337298</c:v>
                </c:pt>
                <c:pt idx="79">
                  <c:v>0.52782927040628858</c:v>
                </c:pt>
                <c:pt idx="80">
                  <c:v>0.56314022934166852</c:v>
                </c:pt>
                <c:pt idx="81">
                  <c:v>0.59678591013124405</c:v>
                </c:pt>
                <c:pt idx="82">
                  <c:v>0.62886049935123089</c:v>
                </c:pt>
                <c:pt idx="83">
                  <c:v>0.65945195751763519</c:v>
                </c:pt>
                <c:pt idx="84">
                  <c:v>0.66000334397619898</c:v>
                </c:pt>
                <c:pt idx="85">
                  <c:v>0.72197542319156682</c:v>
                </c:pt>
                <c:pt idx="86">
                  <c:v>0.77955623924614925</c:v>
                </c:pt>
                <c:pt idx="87">
                  <c:v>0.83310568164417032</c:v>
                </c:pt>
                <c:pt idx="88">
                  <c:v>0.88295009925386814</c:v>
                </c:pt>
                <c:pt idx="89">
                  <c:v>0.92938579842943292</c:v>
                </c:pt>
                <c:pt idx="90">
                  <c:v>0.9300191867885399</c:v>
                </c:pt>
                <c:pt idx="91">
                  <c:v>1.076236343727337</c:v>
                </c:pt>
                <c:pt idx="92">
                  <c:v>1.1985855023002385</c:v>
                </c:pt>
                <c:pt idx="93">
                  <c:v>1.3013275659828702</c:v>
                </c:pt>
                <c:pt idx="94">
                  <c:v>1.3878977925967957</c:v>
                </c:pt>
                <c:pt idx="95">
                  <c:v>1.4610781357008662</c:v>
                </c:pt>
                <c:pt idx="96">
                  <c:v>1.4616059968409461</c:v>
                </c:pt>
                <c:pt idx="97">
                  <c:v>1.7386016704410707</c:v>
                </c:pt>
                <c:pt idx="98">
                  <c:v>1.8777190146083838</c:v>
                </c:pt>
                <c:pt idx="99">
                  <c:v>1.949174790706854</c:v>
                </c:pt>
                <c:pt idx="100">
                  <c:v>1.9866413281248199</c:v>
                </c:pt>
                <c:pt idx="101">
                  <c:v>2.006662149474904</c:v>
                </c:pt>
                <c:pt idx="102">
                  <c:v>2.0175490066974624</c:v>
                </c:pt>
                <c:pt idx="103">
                  <c:v>2.0235650970623724</c:v>
                </c:pt>
                <c:pt idx="104">
                  <c:v>2.0269393437948136</c:v>
                </c:pt>
                <c:pt idx="105">
                  <c:v>2.0288579821030499</c:v>
                </c:pt>
                <c:pt idx="106">
                  <c:v>2.0299628337162243</c:v>
                </c:pt>
                <c:pt idx="107">
                  <c:v>2.0306065322613764</c:v>
                </c:pt>
                <c:pt idx="108">
                  <c:v>2.0309856112507978</c:v>
                </c:pt>
                <c:pt idx="109">
                  <c:v>2.0312110714605471</c:v>
                </c:pt>
                <c:pt idx="110">
                  <c:v>2.0313463868350099</c:v>
                </c:pt>
                <c:pt idx="111">
                  <c:v>2.0314282750645534</c:v>
                </c:pt>
                <c:pt idx="112">
                  <c:v>2.0314782055166662</c:v>
                </c:pt>
                <c:pt idx="113">
                  <c:v>2.0315088576582783</c:v>
                </c:pt>
                <c:pt idx="114">
                  <c:v>2.0315587858884054</c:v>
                </c:pt>
                <c:pt idx="115">
                  <c:v>2.0315592464409411</c:v>
                </c:pt>
                <c:pt idx="116">
                  <c:v>2.0315592424380267</c:v>
                </c:pt>
              </c:numCache>
            </c:numRef>
          </c:yVal>
        </c:ser>
        <c:axId val="157246976"/>
        <c:axId val="157248512"/>
      </c:scatterChart>
      <c:valAx>
        <c:axId val="157246976"/>
        <c:scaling>
          <c:orientation val="minMax"/>
          <c:max val="2.5"/>
          <c:min val="-2.5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57248512"/>
        <c:crosses val="autoZero"/>
        <c:crossBetween val="midCat"/>
      </c:valAx>
      <c:valAx>
        <c:axId val="157248512"/>
        <c:scaling>
          <c:orientation val="minMax"/>
          <c:max val="2.5"/>
          <c:min val="-2.5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57246976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plotArea>
      <c:layout/>
      <c:scatterChart>
        <c:scatterStyle val="lineMarker"/>
        <c:ser>
          <c:idx val="0"/>
          <c:order val="0"/>
          <c:tx>
            <c:v>Y-Werte</c:v>
          </c:tx>
          <c:spPr>
            <a:ln w="28575">
              <a:noFill/>
            </a:ln>
          </c:spPr>
          <c:xVal>
            <c:numRef>
              <c:f>'Up-Auswert'!$AI$10:$AI$25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</c:numCache>
            </c:numRef>
          </c:xVal>
          <c:yVal>
            <c:numRef>
              <c:f>'Up-Auswert'!$AJ$10:$AJ$25</c:f>
              <c:numCache>
                <c:formatCode>General</c:formatCode>
                <c:ptCount val="16"/>
                <c:pt idx="0">
                  <c:v>-1</c:v>
                </c:pt>
                <c:pt idx="1">
                  <c:v>-2</c:v>
                </c:pt>
                <c:pt idx="2">
                  <c:v>-3</c:v>
                </c:pt>
                <c:pt idx="3">
                  <c:v>-4</c:v>
                </c:pt>
                <c:pt idx="4">
                  <c:v>-1</c:v>
                </c:pt>
                <c:pt idx="5">
                  <c:v>-2</c:v>
                </c:pt>
                <c:pt idx="6">
                  <c:v>-3</c:v>
                </c:pt>
                <c:pt idx="7">
                  <c:v>-4</c:v>
                </c:pt>
                <c:pt idx="8">
                  <c:v>-1</c:v>
                </c:pt>
                <c:pt idx="9">
                  <c:v>-2</c:v>
                </c:pt>
                <c:pt idx="10">
                  <c:v>-3</c:v>
                </c:pt>
                <c:pt idx="11">
                  <c:v>-4</c:v>
                </c:pt>
                <c:pt idx="12">
                  <c:v>-1</c:v>
                </c:pt>
                <c:pt idx="13">
                  <c:v>-2</c:v>
                </c:pt>
                <c:pt idx="14">
                  <c:v>-3</c:v>
                </c:pt>
                <c:pt idx="15">
                  <c:v>-4</c:v>
                </c:pt>
              </c:numCache>
            </c:numRef>
          </c:yVal>
        </c:ser>
        <c:ser>
          <c:idx val="1"/>
          <c:order val="1"/>
          <c:tx>
            <c:v>GH=0,2m</c:v>
          </c:tx>
          <c:spPr>
            <a:ln w="28575">
              <a:noFill/>
            </a:ln>
          </c:spPr>
          <c:trendline>
            <c:trendlineType val="linear"/>
            <c:dispEq val="1"/>
            <c:trendlineLbl>
              <c:numFmt formatCode="General" sourceLinked="0"/>
            </c:trendlineLbl>
          </c:trendline>
          <c:xVal>
            <c:numRef>
              <c:f>'Up-Auswert'!$AI$10:$AI$25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</c:numCache>
            </c:numRef>
          </c:xVal>
          <c:yVal>
            <c:numRef>
              <c:f>'Up-Auswert'!$AM$10:$AM$25</c:f>
              <c:numCache>
                <c:formatCode>General</c:formatCode>
                <c:ptCount val="16"/>
                <c:pt idx="0">
                  <c:v>2.8220000000000001</c:v>
                </c:pt>
                <c:pt idx="1">
                  <c:v>2.85</c:v>
                </c:pt>
                <c:pt idx="2">
                  <c:v>2.8540000000000001</c:v>
                </c:pt>
                <c:pt idx="3">
                  <c:v>2.86</c:v>
                </c:pt>
                <c:pt idx="4">
                  <c:v>2.9569999999999999</c:v>
                </c:pt>
                <c:pt idx="5">
                  <c:v>2.944</c:v>
                </c:pt>
                <c:pt idx="6">
                  <c:v>2.923</c:v>
                </c:pt>
                <c:pt idx="7">
                  <c:v>2.9039999999999999</c:v>
                </c:pt>
                <c:pt idx="8">
                  <c:v>3.1629999999999998</c:v>
                </c:pt>
                <c:pt idx="9">
                  <c:v>3.093</c:v>
                </c:pt>
                <c:pt idx="10">
                  <c:v>3.032</c:v>
                </c:pt>
                <c:pt idx="11">
                  <c:v>2.9940000000000002</c:v>
                </c:pt>
                <c:pt idx="12">
                  <c:v>3.4</c:v>
                </c:pt>
                <c:pt idx="13">
                  <c:v>3.286</c:v>
                </c:pt>
                <c:pt idx="14">
                  <c:v>3.181</c:v>
                </c:pt>
                <c:pt idx="15">
                  <c:v>3.105</c:v>
                </c:pt>
              </c:numCache>
            </c:numRef>
          </c:yVal>
        </c:ser>
        <c:ser>
          <c:idx val="2"/>
          <c:order val="2"/>
          <c:tx>
            <c:v>GH=0,4m</c:v>
          </c:tx>
          <c:spPr>
            <a:ln w="28575">
              <a:noFill/>
            </a:ln>
          </c:spPr>
          <c:trendline>
            <c:trendlineType val="linear"/>
            <c:dispEq val="1"/>
            <c:trendlineLbl>
              <c:numFmt formatCode="General" sourceLinked="0"/>
            </c:trendlineLbl>
          </c:trendline>
          <c:xVal>
            <c:numRef>
              <c:f>'Up-Auswert'!$AI$10:$AI$25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</c:numCache>
            </c:numRef>
          </c:xVal>
          <c:yVal>
            <c:numRef>
              <c:f>'Up-Auswert'!$AP$10:$AP$25</c:f>
              <c:numCache>
                <c:formatCode>General</c:formatCode>
                <c:ptCount val="16"/>
                <c:pt idx="0">
                  <c:v>3.3879999999999999</c:v>
                </c:pt>
                <c:pt idx="1">
                  <c:v>3.4369999999999998</c:v>
                </c:pt>
                <c:pt idx="2">
                  <c:v>3.45</c:v>
                </c:pt>
                <c:pt idx="3">
                  <c:v>3.468</c:v>
                </c:pt>
                <c:pt idx="4">
                  <c:v>3.657</c:v>
                </c:pt>
                <c:pt idx="5">
                  <c:v>3.6320000000000001</c:v>
                </c:pt>
                <c:pt idx="6">
                  <c:v>3.5880000000000001</c:v>
                </c:pt>
                <c:pt idx="7">
                  <c:v>3.5590000000000002</c:v>
                </c:pt>
                <c:pt idx="8">
                  <c:v>4.0229999999999997</c:v>
                </c:pt>
                <c:pt idx="9">
                  <c:v>3.9260000000000002</c:v>
                </c:pt>
                <c:pt idx="10">
                  <c:v>3.8170000000000002</c:v>
                </c:pt>
                <c:pt idx="11">
                  <c:v>3.7410000000000001</c:v>
                </c:pt>
                <c:pt idx="12">
                  <c:v>4.4329999999999998</c:v>
                </c:pt>
                <c:pt idx="13">
                  <c:v>4.2759999999999998</c:v>
                </c:pt>
                <c:pt idx="14">
                  <c:v>4.109</c:v>
                </c:pt>
                <c:pt idx="15">
                  <c:v>3.9790000000000001</c:v>
                </c:pt>
              </c:numCache>
            </c:numRef>
          </c:yVal>
        </c:ser>
        <c:ser>
          <c:idx val="3"/>
          <c:order val="3"/>
          <c:tx>
            <c:v>GH=0,6m</c:v>
          </c:tx>
          <c:spPr>
            <a:ln w="28575">
              <a:noFill/>
            </a:ln>
          </c:spPr>
          <c:trendline>
            <c:trendlineType val="linear"/>
            <c:dispEq val="1"/>
            <c:trendlineLbl>
              <c:numFmt formatCode="General" sourceLinked="0"/>
            </c:trendlineLbl>
          </c:trendline>
          <c:xVal>
            <c:numRef>
              <c:f>'Up-Auswert'!$AI$10:$AI$25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</c:numCache>
            </c:numRef>
          </c:xVal>
          <c:yVal>
            <c:numRef>
              <c:f>'Up-Auswert'!$AS$10:$AS$25</c:f>
              <c:numCache>
                <c:formatCode>General</c:formatCode>
                <c:ptCount val="16"/>
                <c:pt idx="0">
                  <c:v>3.83</c:v>
                </c:pt>
                <c:pt idx="1">
                  <c:v>3.8860000000000001</c:v>
                </c:pt>
                <c:pt idx="2">
                  <c:v>3.903</c:v>
                </c:pt>
                <c:pt idx="3">
                  <c:v>3.9009999999999998</c:v>
                </c:pt>
                <c:pt idx="4">
                  <c:v>4.21</c:v>
                </c:pt>
                <c:pt idx="5">
                  <c:v>4.1790000000000003</c:v>
                </c:pt>
                <c:pt idx="6">
                  <c:v>4.1210000000000004</c:v>
                </c:pt>
                <c:pt idx="7">
                  <c:v>4.0730000000000004</c:v>
                </c:pt>
                <c:pt idx="8">
                  <c:v>4.7190000000000003</c:v>
                </c:pt>
                <c:pt idx="9">
                  <c:v>4.6029999999999998</c:v>
                </c:pt>
                <c:pt idx="10">
                  <c:v>4.46</c:v>
                </c:pt>
                <c:pt idx="11">
                  <c:v>4.3490000000000002</c:v>
                </c:pt>
                <c:pt idx="12">
                  <c:v>5.2690000000000001</c:v>
                </c:pt>
                <c:pt idx="13">
                  <c:v>5.0979999999999999</c:v>
                </c:pt>
                <c:pt idx="14">
                  <c:v>4.8879999999999999</c:v>
                </c:pt>
                <c:pt idx="15">
                  <c:v>4.7089999999999996</c:v>
                </c:pt>
              </c:numCache>
            </c:numRef>
          </c:yVal>
        </c:ser>
        <c:ser>
          <c:idx val="4"/>
          <c:order val="4"/>
          <c:tx>
            <c:v>GH=0,8m</c:v>
          </c:tx>
          <c:spPr>
            <a:ln w="28575">
              <a:noFill/>
            </a:ln>
          </c:spPr>
          <c:trendline>
            <c:trendlineType val="linear"/>
            <c:dispEq val="1"/>
            <c:trendlineLbl>
              <c:numFmt formatCode="General" sourceLinked="0"/>
            </c:trendlineLbl>
          </c:trendline>
          <c:xVal>
            <c:numRef>
              <c:f>'Up-Auswert'!$AI$10:$AI$25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</c:numCache>
            </c:numRef>
          </c:xVal>
          <c:yVal>
            <c:numRef>
              <c:f>'Up-Auswert'!$AV$10:$AV$25</c:f>
              <c:numCache>
                <c:formatCode>General</c:formatCode>
                <c:ptCount val="16"/>
                <c:pt idx="0">
                  <c:v>4.1840000000000002</c:v>
                </c:pt>
                <c:pt idx="1">
                  <c:v>4.2439999999999998</c:v>
                </c:pt>
                <c:pt idx="2">
                  <c:v>4.2560000000000002</c:v>
                </c:pt>
                <c:pt idx="3">
                  <c:v>4.266</c:v>
                </c:pt>
                <c:pt idx="4">
                  <c:v>4.6619999999999999</c:v>
                </c:pt>
                <c:pt idx="5">
                  <c:v>4.6260000000000003</c:v>
                </c:pt>
                <c:pt idx="6">
                  <c:v>4.5540000000000003</c:v>
                </c:pt>
                <c:pt idx="7">
                  <c:v>4.49</c:v>
                </c:pt>
                <c:pt idx="8">
                  <c:v>5.2949999999999999</c:v>
                </c:pt>
                <c:pt idx="9">
                  <c:v>5.1669999999999998</c:v>
                </c:pt>
                <c:pt idx="10">
                  <c:v>5.0060000000000002</c:v>
                </c:pt>
                <c:pt idx="11">
                  <c:v>4.8639999999999999</c:v>
                </c:pt>
                <c:pt idx="12">
                  <c:v>5.9809999999999999</c:v>
                </c:pt>
                <c:pt idx="13">
                  <c:v>5.8010000000000002</c:v>
                </c:pt>
                <c:pt idx="14">
                  <c:v>5.5640000000000001</c:v>
                </c:pt>
                <c:pt idx="15">
                  <c:v>5.3490000000000002</c:v>
                </c:pt>
              </c:numCache>
            </c:numRef>
          </c:yVal>
        </c:ser>
        <c:axId val="157188096"/>
        <c:axId val="157189632"/>
      </c:scatterChart>
      <c:valAx>
        <c:axId val="157188096"/>
        <c:scaling>
          <c:orientation val="minMax"/>
        </c:scaling>
        <c:axPos val="b"/>
        <c:majorGridlines/>
        <c:numFmt formatCode="General" sourceLinked="1"/>
        <c:tickLblPos val="nextTo"/>
        <c:crossAx val="157189632"/>
        <c:crosses val="autoZero"/>
        <c:crossBetween val="midCat"/>
        <c:majorUnit val="1"/>
      </c:valAx>
      <c:valAx>
        <c:axId val="157189632"/>
        <c:scaling>
          <c:orientation val="minMax"/>
          <c:max val="6"/>
          <c:min val="-4"/>
        </c:scaling>
        <c:axPos val="l"/>
        <c:majorGridlines/>
        <c:numFmt formatCode="General" sourceLinked="1"/>
        <c:tickLblPos val="nextTo"/>
        <c:crossAx val="157188096"/>
        <c:crosses val="autoZero"/>
        <c:crossBetween val="midCat"/>
        <c:majorUnit val="1"/>
        <c:minorUnit val="1"/>
      </c:valAx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plotArea>
      <c:layout>
        <c:manualLayout>
          <c:layoutTarget val="inner"/>
          <c:xMode val="edge"/>
          <c:yMode val="edge"/>
          <c:x val="4.9721700313796226E-2"/>
          <c:y val="1.9870281315506739E-2"/>
          <c:w val="0.90814476391667454"/>
          <c:h val="0.93529454455776917"/>
        </c:manualLayout>
      </c:layout>
      <c:scatterChart>
        <c:scatterStyle val="lineMarker"/>
        <c:ser>
          <c:idx val="0"/>
          <c:order val="0"/>
          <c:tx>
            <c:v>X-Werte</c:v>
          </c:tx>
          <c:spPr>
            <a:ln w="28575">
              <a:noFill/>
            </a:ln>
          </c:spPr>
          <c:xVal>
            <c:numRef>
              <c:f>'Up-Auswert'!$AI$14:$AI$21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xVal>
          <c:yVal>
            <c:numRef>
              <c:f>'Up-Auswert'!$AJ$14:$AJ$21</c:f>
              <c:numCache>
                <c:formatCode>General</c:formatCode>
                <c:ptCount val="8"/>
                <c:pt idx="0">
                  <c:v>-1</c:v>
                </c:pt>
                <c:pt idx="1">
                  <c:v>-2</c:v>
                </c:pt>
                <c:pt idx="2">
                  <c:v>-3</c:v>
                </c:pt>
                <c:pt idx="3">
                  <c:v>-4</c:v>
                </c:pt>
                <c:pt idx="4">
                  <c:v>-1</c:v>
                </c:pt>
                <c:pt idx="5">
                  <c:v>-2</c:v>
                </c:pt>
                <c:pt idx="6">
                  <c:v>-3</c:v>
                </c:pt>
                <c:pt idx="7">
                  <c:v>-4</c:v>
                </c:pt>
              </c:numCache>
            </c:numRef>
          </c:yVal>
        </c:ser>
        <c:ser>
          <c:idx val="1"/>
          <c:order val="1"/>
          <c:tx>
            <c:v>GH=0,2m</c:v>
          </c:tx>
          <c:spPr>
            <a:ln w="28575">
              <a:noFill/>
            </a:ln>
          </c:spPr>
          <c:xVal>
            <c:numRef>
              <c:f>'Up-Auswert'!$AI$14:$AI$21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xVal>
          <c:yVal>
            <c:numRef>
              <c:f>'Up-Auswert'!$AM$14:$AM$21</c:f>
              <c:numCache>
                <c:formatCode>General</c:formatCode>
                <c:ptCount val="8"/>
                <c:pt idx="0">
                  <c:v>2.9569999999999999</c:v>
                </c:pt>
                <c:pt idx="1">
                  <c:v>2.944</c:v>
                </c:pt>
                <c:pt idx="2">
                  <c:v>2.923</c:v>
                </c:pt>
                <c:pt idx="3">
                  <c:v>2.9039999999999999</c:v>
                </c:pt>
                <c:pt idx="4">
                  <c:v>3.1629999999999998</c:v>
                </c:pt>
                <c:pt idx="5">
                  <c:v>3.093</c:v>
                </c:pt>
                <c:pt idx="6">
                  <c:v>3.032</c:v>
                </c:pt>
                <c:pt idx="7">
                  <c:v>2.9940000000000002</c:v>
                </c:pt>
              </c:numCache>
            </c:numRef>
          </c:yVal>
        </c:ser>
        <c:ser>
          <c:idx val="2"/>
          <c:order val="2"/>
          <c:tx>
            <c:v>GH=0,4m</c:v>
          </c:tx>
          <c:spPr>
            <a:ln w="28575">
              <a:noFill/>
            </a:ln>
          </c:spPr>
          <c:xVal>
            <c:numRef>
              <c:f>'Up-Auswert'!$AI$14:$AI$21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xVal>
          <c:yVal>
            <c:numRef>
              <c:f>'Up-Auswert'!$AP$14:$AP$21</c:f>
              <c:numCache>
                <c:formatCode>General</c:formatCode>
                <c:ptCount val="8"/>
                <c:pt idx="0">
                  <c:v>3.657</c:v>
                </c:pt>
                <c:pt idx="1">
                  <c:v>3.6320000000000001</c:v>
                </c:pt>
                <c:pt idx="2">
                  <c:v>3.5880000000000001</c:v>
                </c:pt>
                <c:pt idx="3">
                  <c:v>3.5590000000000002</c:v>
                </c:pt>
                <c:pt idx="4">
                  <c:v>4.0229999999999997</c:v>
                </c:pt>
                <c:pt idx="5">
                  <c:v>3.9260000000000002</c:v>
                </c:pt>
                <c:pt idx="6">
                  <c:v>3.8170000000000002</c:v>
                </c:pt>
                <c:pt idx="7">
                  <c:v>3.7410000000000001</c:v>
                </c:pt>
              </c:numCache>
            </c:numRef>
          </c:yVal>
        </c:ser>
        <c:ser>
          <c:idx val="3"/>
          <c:order val="3"/>
          <c:tx>
            <c:v>GH=0,6m</c:v>
          </c:tx>
          <c:spPr>
            <a:ln w="28575">
              <a:noFill/>
            </a:ln>
          </c:spPr>
          <c:xVal>
            <c:numRef>
              <c:f>'Up-Auswert'!$AI$14:$AI$21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xVal>
          <c:yVal>
            <c:numRef>
              <c:f>'Up-Auswert'!$AS$14:$AS$21</c:f>
              <c:numCache>
                <c:formatCode>General</c:formatCode>
                <c:ptCount val="8"/>
                <c:pt idx="0">
                  <c:v>4.21</c:v>
                </c:pt>
                <c:pt idx="1">
                  <c:v>4.1790000000000003</c:v>
                </c:pt>
                <c:pt idx="2">
                  <c:v>4.1210000000000004</c:v>
                </c:pt>
                <c:pt idx="3">
                  <c:v>4.0730000000000004</c:v>
                </c:pt>
                <c:pt idx="4">
                  <c:v>4.7190000000000003</c:v>
                </c:pt>
                <c:pt idx="5">
                  <c:v>4.6029999999999998</c:v>
                </c:pt>
                <c:pt idx="6">
                  <c:v>4.46</c:v>
                </c:pt>
                <c:pt idx="7">
                  <c:v>4.3490000000000002</c:v>
                </c:pt>
              </c:numCache>
            </c:numRef>
          </c:yVal>
        </c:ser>
        <c:axId val="157451392"/>
        <c:axId val="157452928"/>
      </c:scatterChart>
      <c:valAx>
        <c:axId val="157451392"/>
        <c:scaling>
          <c:orientation val="minMax"/>
          <c:min val="1"/>
        </c:scaling>
        <c:axPos val="b"/>
        <c:majorGridlines/>
        <c:numFmt formatCode="General" sourceLinked="1"/>
        <c:tickLblPos val="nextTo"/>
        <c:crossAx val="157452928"/>
        <c:crosses val="autoZero"/>
        <c:crossBetween val="midCat"/>
        <c:majorUnit val="1"/>
      </c:valAx>
      <c:valAx>
        <c:axId val="157452928"/>
        <c:scaling>
          <c:orientation val="minMax"/>
          <c:max val="5"/>
          <c:min val="2"/>
        </c:scaling>
        <c:axPos val="l"/>
        <c:majorGridlines/>
        <c:numFmt formatCode="General" sourceLinked="1"/>
        <c:tickLblPos val="nextTo"/>
        <c:crossAx val="157451392"/>
        <c:crosses val="autoZero"/>
        <c:crossBetween val="midCat"/>
        <c:majorUnit val="1"/>
        <c:minorUnit val="1"/>
      </c:valAx>
    </c:plotArea>
    <c:legend>
      <c:legendPos val="r"/>
      <c:layout>
        <c:manualLayout>
          <c:xMode val="edge"/>
          <c:yMode val="edge"/>
          <c:x val="0.11047678095356209"/>
          <c:y val="4.666709286022909E-2"/>
          <c:w val="0.19292923030290543"/>
          <c:h val="0.25312921600959376"/>
        </c:manualLayout>
      </c:layout>
    </c:legend>
    <c:plotVisOnly val="1"/>
  </c:chart>
  <c:spPr>
    <a:ln>
      <a:solidFill>
        <a:srgbClr val="FF0000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plotArea>
      <c:layout>
        <c:manualLayout>
          <c:layoutTarget val="inner"/>
          <c:xMode val="edge"/>
          <c:yMode val="edge"/>
          <c:x val="4.972170031379626E-2"/>
          <c:y val="1.9870281315506746E-2"/>
          <c:w val="0.90814476391667454"/>
          <c:h val="0.93529454455776917"/>
        </c:manualLayout>
      </c:layout>
      <c:scatterChart>
        <c:scatterStyle val="lineMarker"/>
        <c:ser>
          <c:idx val="0"/>
          <c:order val="0"/>
          <c:tx>
            <c:v>X-Werte</c:v>
          </c:tx>
          <c:spPr>
            <a:ln w="28575">
              <a:noFill/>
            </a:ln>
          </c:spPr>
          <c:xVal>
            <c:numRef>
              <c:f>'Up-Auswert'!$AI$14:$AI$21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xVal>
          <c:yVal>
            <c:numRef>
              <c:f>'Up-Auswert'!$AJ$14:$AJ$21</c:f>
              <c:numCache>
                <c:formatCode>General</c:formatCode>
                <c:ptCount val="8"/>
                <c:pt idx="0">
                  <c:v>-1</c:v>
                </c:pt>
                <c:pt idx="1">
                  <c:v>-2</c:v>
                </c:pt>
                <c:pt idx="2">
                  <c:v>-3</c:v>
                </c:pt>
                <c:pt idx="3">
                  <c:v>-4</c:v>
                </c:pt>
                <c:pt idx="4">
                  <c:v>-1</c:v>
                </c:pt>
                <c:pt idx="5">
                  <c:v>-2</c:v>
                </c:pt>
                <c:pt idx="6">
                  <c:v>-3</c:v>
                </c:pt>
                <c:pt idx="7">
                  <c:v>-4</c:v>
                </c:pt>
              </c:numCache>
            </c:numRef>
          </c:yVal>
        </c:ser>
        <c:ser>
          <c:idx val="1"/>
          <c:order val="1"/>
          <c:tx>
            <c:v>SF=1</c:v>
          </c:tx>
          <c:spPr>
            <a:ln w="28575">
              <a:noFill/>
            </a:ln>
          </c:spPr>
          <c:trendline>
            <c:trendlineType val="linear"/>
          </c:trendline>
          <c:xVal>
            <c:numRef>
              <c:f>'Up-Auswert'!$AI$14:$AI$21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xVal>
          <c:yVal>
            <c:numRef>
              <c:f>'Up-Auswert'!$AZ$14:$AZ$21</c:f>
              <c:numCache>
                <c:formatCode>General</c:formatCode>
                <c:ptCount val="8"/>
                <c:pt idx="0">
                  <c:v>3.1520000000000001</c:v>
                </c:pt>
                <c:pt idx="1">
                  <c:v>3.25</c:v>
                </c:pt>
                <c:pt idx="2">
                  <c:v>3.2629999999999999</c:v>
                </c:pt>
                <c:pt idx="3">
                  <c:v>3.2669999999999999</c:v>
                </c:pt>
                <c:pt idx="4">
                  <c:v>3.4649999999999999</c:v>
                </c:pt>
                <c:pt idx="5">
                  <c:v>3.4940000000000002</c:v>
                </c:pt>
                <c:pt idx="6">
                  <c:v>3.4609999999999999</c:v>
                </c:pt>
                <c:pt idx="7">
                  <c:v>3.4249999999999998</c:v>
                </c:pt>
              </c:numCache>
            </c:numRef>
          </c:yVal>
        </c:ser>
        <c:ser>
          <c:idx val="2"/>
          <c:order val="2"/>
          <c:tx>
            <c:v>SF=2</c:v>
          </c:tx>
          <c:spPr>
            <a:ln w="28575">
              <a:noFill/>
            </a:ln>
          </c:spPr>
          <c:trendline>
            <c:trendlineType val="linear"/>
          </c:trendline>
          <c:xVal>
            <c:numRef>
              <c:f>'Up-Auswert'!$AI$14:$AI$21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xVal>
          <c:yVal>
            <c:numRef>
              <c:f>'Up-Auswert'!$BC$14:$BC$21</c:f>
              <c:numCache>
                <c:formatCode>General</c:formatCode>
                <c:ptCount val="8"/>
                <c:pt idx="0">
                  <c:v>3.5070000000000001</c:v>
                </c:pt>
                <c:pt idx="1">
                  <c:v>3.52</c:v>
                </c:pt>
                <c:pt idx="2">
                  <c:v>3.4910000000000001</c:v>
                </c:pt>
                <c:pt idx="3">
                  <c:v>3.4689999999999999</c:v>
                </c:pt>
                <c:pt idx="4">
                  <c:v>3.8650000000000002</c:v>
                </c:pt>
                <c:pt idx="5">
                  <c:v>3.8050000000000002</c:v>
                </c:pt>
                <c:pt idx="6">
                  <c:v>3.7189999999999999</c:v>
                </c:pt>
                <c:pt idx="7">
                  <c:v>3.649</c:v>
                </c:pt>
              </c:numCache>
            </c:numRef>
          </c:yVal>
        </c:ser>
        <c:ser>
          <c:idx val="3"/>
          <c:order val="3"/>
          <c:tx>
            <c:v>SF=3</c:v>
          </c:tx>
          <c:spPr>
            <a:ln w="28575">
              <a:noFill/>
            </a:ln>
          </c:spPr>
          <c:trendline>
            <c:trendlineType val="linear"/>
          </c:trendline>
          <c:xVal>
            <c:numRef>
              <c:f>'Up-Auswert'!$AI$14:$AI$21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xVal>
          <c:yVal>
            <c:numRef>
              <c:f>'Up-Auswert'!$BF$14:$BF$21</c:f>
              <c:numCache>
                <c:formatCode>General</c:formatCode>
                <c:ptCount val="8"/>
                <c:pt idx="0">
                  <c:v>3.657</c:v>
                </c:pt>
                <c:pt idx="1">
                  <c:v>3.6320000000000001</c:v>
                </c:pt>
                <c:pt idx="2">
                  <c:v>3.5880000000000001</c:v>
                </c:pt>
                <c:pt idx="3">
                  <c:v>3.5590000000000002</c:v>
                </c:pt>
                <c:pt idx="4">
                  <c:v>4.0229999999999997</c:v>
                </c:pt>
                <c:pt idx="5">
                  <c:v>3.9260000000000002</c:v>
                </c:pt>
                <c:pt idx="6">
                  <c:v>3.8170000000000002</c:v>
                </c:pt>
                <c:pt idx="7">
                  <c:v>3.7410000000000001</c:v>
                </c:pt>
              </c:numCache>
            </c:numRef>
          </c:yVal>
        </c:ser>
        <c:axId val="157323264"/>
        <c:axId val="157324800"/>
      </c:scatterChart>
      <c:valAx>
        <c:axId val="157323264"/>
        <c:scaling>
          <c:orientation val="minMax"/>
          <c:max val="3.5"/>
          <c:min val="1.5"/>
        </c:scaling>
        <c:axPos val="b"/>
        <c:majorGridlines/>
        <c:numFmt formatCode="General" sourceLinked="1"/>
        <c:tickLblPos val="nextTo"/>
        <c:crossAx val="157324800"/>
        <c:crosses val="autoZero"/>
        <c:crossBetween val="midCat"/>
        <c:majorUnit val="0.5"/>
      </c:valAx>
      <c:valAx>
        <c:axId val="157324800"/>
        <c:scaling>
          <c:orientation val="minMax"/>
          <c:max val="4.5"/>
          <c:min val="2.5"/>
        </c:scaling>
        <c:axPos val="l"/>
        <c:majorGridlines/>
        <c:numFmt formatCode="General" sourceLinked="1"/>
        <c:tickLblPos val="nextTo"/>
        <c:crossAx val="157323264"/>
        <c:crosses val="autoZero"/>
        <c:crossBetween val="midCat"/>
        <c:majorUnit val="0.5"/>
      </c:valAx>
    </c:plotArea>
    <c:legend>
      <c:legendPos val="r"/>
      <c:legendEntry>
        <c:idx val="0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10476780953562"/>
          <c:y val="3.6168394517967585E-2"/>
          <c:w val="0.21042704307630858"/>
          <c:h val="0.20041911647587601"/>
        </c:manualLayout>
      </c:layout>
      <c:spPr>
        <a:noFill/>
      </c:spPr>
    </c:legend>
    <c:plotVisOnly val="1"/>
  </c:chart>
  <c:txPr>
    <a:bodyPr/>
    <a:lstStyle/>
    <a:p>
      <a:pPr>
        <a:defRPr sz="1200">
          <a:latin typeface="Arial" pitchFamily="34" charset="0"/>
          <a:cs typeface="Arial" pitchFamily="34" charset="0"/>
        </a:defRPr>
      </a:pPr>
      <a:endParaRPr lang="de-DE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Stufengrün!$C$83</c:f>
              <c:strCache>
                <c:ptCount val="1"/>
                <c:pt idx="0">
                  <c:v>Zref</c:v>
                </c:pt>
              </c:strCache>
            </c:strRef>
          </c:tx>
          <c:marker>
            <c:symbol val="none"/>
          </c:marker>
          <c:xVal>
            <c:numRef>
              <c:f>Stufengrün!$B$84:$B$114</c:f>
              <c:numCache>
                <c:formatCode>General</c:formatCode>
                <c:ptCount val="31"/>
                <c:pt idx="0">
                  <c:v>-3</c:v>
                </c:pt>
                <c:pt idx="1">
                  <c:v>-2.8</c:v>
                </c:pt>
                <c:pt idx="2">
                  <c:v>-2.5999999999999996</c:v>
                </c:pt>
                <c:pt idx="3">
                  <c:v>-2.3999999999999995</c:v>
                </c:pt>
                <c:pt idx="4">
                  <c:v>-2.1999999999999993</c:v>
                </c:pt>
                <c:pt idx="5">
                  <c:v>-1.9999999999999993</c:v>
                </c:pt>
                <c:pt idx="6">
                  <c:v>-1.7999999999999994</c:v>
                </c:pt>
                <c:pt idx="7">
                  <c:v>-1.5999999999999994</c:v>
                </c:pt>
                <c:pt idx="8">
                  <c:v>-1.3999999999999995</c:v>
                </c:pt>
                <c:pt idx="9">
                  <c:v>-1.1999999999999995</c:v>
                </c:pt>
                <c:pt idx="10">
                  <c:v>-0.99999999999999956</c:v>
                </c:pt>
                <c:pt idx="11">
                  <c:v>-0.7999999999999996</c:v>
                </c:pt>
                <c:pt idx="12">
                  <c:v>-0.59999999999999964</c:v>
                </c:pt>
                <c:pt idx="13">
                  <c:v>-0.39999999999999963</c:v>
                </c:pt>
                <c:pt idx="14">
                  <c:v>-0.19999999999999962</c:v>
                </c:pt>
                <c:pt idx="15">
                  <c:v>3.8857805861880479E-16</c:v>
                </c:pt>
                <c:pt idx="16">
                  <c:v>0.19999999999999962</c:v>
                </c:pt>
                <c:pt idx="17">
                  <c:v>0.39999999999999963</c:v>
                </c:pt>
                <c:pt idx="18">
                  <c:v>0.59999999999999964</c:v>
                </c:pt>
                <c:pt idx="19">
                  <c:v>0.7999999999999996</c:v>
                </c:pt>
                <c:pt idx="20">
                  <c:v>0.99999999999999956</c:v>
                </c:pt>
                <c:pt idx="21">
                  <c:v>1.1999999999999995</c:v>
                </c:pt>
                <c:pt idx="22">
                  <c:v>1.3999999999999995</c:v>
                </c:pt>
                <c:pt idx="23">
                  <c:v>1.5999999999999994</c:v>
                </c:pt>
                <c:pt idx="24">
                  <c:v>1.7999999999999994</c:v>
                </c:pt>
                <c:pt idx="25">
                  <c:v>1.9999999999999993</c:v>
                </c:pt>
                <c:pt idx="26">
                  <c:v>2.1999999999999993</c:v>
                </c:pt>
                <c:pt idx="27">
                  <c:v>2.3999999999999995</c:v>
                </c:pt>
                <c:pt idx="28">
                  <c:v>2.5999999999999996</c:v>
                </c:pt>
                <c:pt idx="29">
                  <c:v>2.8</c:v>
                </c:pt>
                <c:pt idx="30">
                  <c:v>3</c:v>
                </c:pt>
              </c:numCache>
            </c:numRef>
          </c:xVal>
          <c:yVal>
            <c:numRef>
              <c:f>Stufengrün!$C$84:$C$114</c:f>
              <c:numCache>
                <c:formatCode>General</c:formatCode>
                <c:ptCount val="31"/>
                <c:pt idx="0">
                  <c:v>-0.18591068500908908</c:v>
                </c:pt>
                <c:pt idx="1">
                  <c:v>-0.18491338983458047</c:v>
                </c:pt>
                <c:pt idx="2">
                  <c:v>-0.18376497881486484</c:v>
                </c:pt>
                <c:pt idx="3">
                  <c:v>-0.18242852732675899</c:v>
                </c:pt>
                <c:pt idx="4">
                  <c:v>-0.18085411514630198</c:v>
                </c:pt>
                <c:pt idx="5">
                  <c:v>-0.17897261731549863</c:v>
                </c:pt>
                <c:pt idx="6">
                  <c:v>-0.17668560663926314</c:v>
                </c:pt>
                <c:pt idx="7">
                  <c:v>-0.17384824681773189</c:v>
                </c:pt>
                <c:pt idx="8">
                  <c:v>-0.1702388938805531</c:v>
                </c:pt>
                <c:pt idx="9">
                  <c:v>-0.16550197556276833</c:v>
                </c:pt>
                <c:pt idx="10">
                  <c:v>-0.15903344706017328</c:v>
                </c:pt>
                <c:pt idx="11">
                  <c:v>-0.149733633448799</c:v>
                </c:pt>
                <c:pt idx="12">
                  <c:v>-0.13543421311316189</c:v>
                </c:pt>
                <c:pt idx="13">
                  <c:v>-0.11154317535052173</c:v>
                </c:pt>
                <c:pt idx="14">
                  <c:v>-6.8808347849052154E-2</c:v>
                </c:pt>
                <c:pt idx="15">
                  <c:v>1.4842588513496412E-16</c:v>
                </c:pt>
                <c:pt idx="16">
                  <c:v>6.8808347849052154E-2</c:v>
                </c:pt>
                <c:pt idx="17">
                  <c:v>0.11154317535052173</c:v>
                </c:pt>
                <c:pt idx="18">
                  <c:v>0.13543421311316189</c:v>
                </c:pt>
                <c:pt idx="19">
                  <c:v>0.149733633448799</c:v>
                </c:pt>
                <c:pt idx="20">
                  <c:v>0.15903344706017328</c:v>
                </c:pt>
                <c:pt idx="21">
                  <c:v>0.16550197556276833</c:v>
                </c:pt>
                <c:pt idx="22">
                  <c:v>0.1702388938805531</c:v>
                </c:pt>
                <c:pt idx="23">
                  <c:v>0.17384824681773189</c:v>
                </c:pt>
                <c:pt idx="24">
                  <c:v>0.17668560663926314</c:v>
                </c:pt>
                <c:pt idx="25">
                  <c:v>0.17897261731549863</c:v>
                </c:pt>
                <c:pt idx="26">
                  <c:v>0.18085411514630198</c:v>
                </c:pt>
                <c:pt idx="27">
                  <c:v>0.18242852732675899</c:v>
                </c:pt>
                <c:pt idx="28">
                  <c:v>0.18376497881486484</c:v>
                </c:pt>
                <c:pt idx="29">
                  <c:v>0.18491338983458047</c:v>
                </c:pt>
                <c:pt idx="30">
                  <c:v>0.18591068500908908</c:v>
                </c:pt>
              </c:numCache>
            </c:numRef>
          </c:yVal>
          <c:smooth val="1"/>
        </c:ser>
        <c:ser>
          <c:idx val="1"/>
          <c:order val="1"/>
          <c:tx>
            <c:v>#9 G-4</c:v>
          </c:tx>
          <c:marker>
            <c:symbol val="none"/>
          </c:marker>
          <c:xVal>
            <c:numRef>
              <c:f>Stufengrün!$T$84:$T$85</c:f>
              <c:numCache>
                <c:formatCode>0.000</c:formatCode>
                <c:ptCount val="2"/>
                <c:pt idx="0" formatCode="General">
                  <c:v>-2</c:v>
                </c:pt>
                <c:pt idx="1">
                  <c:v>-1.142674178769717</c:v>
                </c:pt>
              </c:numCache>
            </c:numRef>
          </c:xVal>
          <c:yVal>
            <c:numRef>
              <c:f>Stufengrün!$U$84:$U$85</c:f>
              <c:numCache>
                <c:formatCode>General</c:formatCode>
                <c:ptCount val="2"/>
                <c:pt idx="0">
                  <c:v>-0.17897261731549866</c:v>
                </c:pt>
                <c:pt idx="1">
                  <c:v>-0.17012195943728559</c:v>
                </c:pt>
              </c:numCache>
            </c:numRef>
          </c:yVal>
          <c:smooth val="1"/>
        </c:ser>
        <c:ser>
          <c:idx val="2"/>
          <c:order val="2"/>
          <c:tx>
            <c:v>#9 G-3</c:v>
          </c:tx>
          <c:marker>
            <c:symbol val="none"/>
          </c:marker>
          <c:xVal>
            <c:numRef>
              <c:f>Stufengrün!$T$85:$T$86</c:f>
              <c:numCache>
                <c:formatCode>0.000</c:formatCode>
                <c:ptCount val="2"/>
                <c:pt idx="0">
                  <c:v>-1.142674178769717</c:v>
                </c:pt>
                <c:pt idx="1">
                  <c:v>-0.56716007517016898</c:v>
                </c:pt>
              </c:numCache>
            </c:numRef>
          </c:xVal>
          <c:yVal>
            <c:numRef>
              <c:f>Stufengrün!$V$85:$V$86</c:f>
              <c:numCache>
                <c:formatCode>General</c:formatCode>
                <c:ptCount val="2"/>
                <c:pt idx="0">
                  <c:v>-0.17012195943728559</c:v>
                </c:pt>
                <c:pt idx="1">
                  <c:v>-0.13593725136471599</c:v>
                </c:pt>
              </c:numCache>
            </c:numRef>
          </c:yVal>
          <c:smooth val="1"/>
        </c:ser>
        <c:ser>
          <c:idx val="3"/>
          <c:order val="3"/>
          <c:tx>
            <c:v>#9 G-2</c:v>
          </c:tx>
          <c:marker>
            <c:symbol val="none"/>
          </c:marker>
          <c:xVal>
            <c:numRef>
              <c:f>Stufengrün!$T$86:$T$87</c:f>
              <c:numCache>
                <c:formatCode>0.000</c:formatCode>
                <c:ptCount val="2"/>
                <c:pt idx="0">
                  <c:v>-0.56716007517016898</c:v>
                </c:pt>
                <c:pt idx="1">
                  <c:v>-0.31710907748474215</c:v>
                </c:pt>
              </c:numCache>
            </c:numRef>
          </c:xVal>
          <c:yVal>
            <c:numRef>
              <c:f>Stufengrün!$W$86:$W$87</c:f>
              <c:numCache>
                <c:formatCode>General</c:formatCode>
                <c:ptCount val="2"/>
                <c:pt idx="0">
                  <c:v>-0.13593725136471599</c:v>
                </c:pt>
                <c:pt idx="1">
                  <c:v>-9.9666964706651512E-2</c:v>
                </c:pt>
              </c:numCache>
            </c:numRef>
          </c:yVal>
          <c:smooth val="1"/>
        </c:ser>
        <c:ser>
          <c:idx val="4"/>
          <c:order val="4"/>
          <c:tx>
            <c:v>#9 G-1</c:v>
          </c:tx>
          <c:marker>
            <c:symbol val="none"/>
          </c:marker>
          <c:xVal>
            <c:numRef>
              <c:f>Stufengrün!$T$87:$T$88</c:f>
              <c:numCache>
                <c:formatCode>0.000</c:formatCode>
                <c:ptCount val="2"/>
                <c:pt idx="0">
                  <c:v>-0.31710907748474215</c:v>
                </c:pt>
                <c:pt idx="1">
                  <c:v>-0.1392820103511837</c:v>
                </c:pt>
              </c:numCache>
            </c:numRef>
          </c:xVal>
          <c:yVal>
            <c:numRef>
              <c:f>Stufengrün!$X$87:$X$88</c:f>
              <c:numCache>
                <c:formatCode>General</c:formatCode>
                <c:ptCount val="2"/>
                <c:pt idx="0">
                  <c:v>-9.9666964706651512E-2</c:v>
                </c:pt>
                <c:pt idx="1">
                  <c:v>-5.3201809034801803E-2</c:v>
                </c:pt>
              </c:numCache>
            </c:numRef>
          </c:yVal>
          <c:smooth val="1"/>
        </c:ser>
        <c:ser>
          <c:idx val="5"/>
          <c:order val="5"/>
          <c:tx>
            <c:v>#9 G0</c:v>
          </c:tx>
          <c:marker>
            <c:symbol val="none"/>
          </c:marker>
          <c:xVal>
            <c:numRef>
              <c:f>Stufengrün!$T$88:$T$89</c:f>
              <c:numCache>
                <c:formatCode>0.000</c:formatCode>
                <c:ptCount val="2"/>
                <c:pt idx="0">
                  <c:v>-0.1392820103511837</c:v>
                </c:pt>
                <c:pt idx="1">
                  <c:v>0.1392820103511837</c:v>
                </c:pt>
              </c:numCache>
            </c:numRef>
          </c:xVal>
          <c:yVal>
            <c:numRef>
              <c:f>Stufengrün!$Y$88:$Y$89</c:f>
              <c:numCache>
                <c:formatCode>General</c:formatCode>
                <c:ptCount val="2"/>
                <c:pt idx="0">
                  <c:v>-5.3201809034801803E-2</c:v>
                </c:pt>
                <c:pt idx="1">
                  <c:v>5.3201809034801803E-2</c:v>
                </c:pt>
              </c:numCache>
            </c:numRef>
          </c:yVal>
          <c:smooth val="1"/>
        </c:ser>
        <c:ser>
          <c:idx val="6"/>
          <c:order val="6"/>
          <c:tx>
            <c:v>#9 G+1</c:v>
          </c:tx>
          <c:marker>
            <c:symbol val="none"/>
          </c:marker>
          <c:xVal>
            <c:numRef>
              <c:f>Stufengrün!$T$89:$T$90</c:f>
              <c:numCache>
                <c:formatCode>0.000</c:formatCode>
                <c:ptCount val="2"/>
                <c:pt idx="0">
                  <c:v>0.1392820103511837</c:v>
                </c:pt>
                <c:pt idx="1">
                  <c:v>0.31710907748474215</c:v>
                </c:pt>
              </c:numCache>
            </c:numRef>
          </c:xVal>
          <c:yVal>
            <c:numRef>
              <c:f>Stufengrün!$Z$89:$Z$90</c:f>
              <c:numCache>
                <c:formatCode>General</c:formatCode>
                <c:ptCount val="2"/>
                <c:pt idx="0">
                  <c:v>5.3201809034801803E-2</c:v>
                </c:pt>
                <c:pt idx="1">
                  <c:v>9.9666964706651512E-2</c:v>
                </c:pt>
              </c:numCache>
            </c:numRef>
          </c:yVal>
          <c:smooth val="1"/>
        </c:ser>
        <c:ser>
          <c:idx val="7"/>
          <c:order val="7"/>
          <c:tx>
            <c:v>#9 G+2</c:v>
          </c:tx>
          <c:marker>
            <c:symbol val="none"/>
          </c:marker>
          <c:xVal>
            <c:numRef>
              <c:f>Stufengrün!$T$90:$T$91</c:f>
              <c:numCache>
                <c:formatCode>0.000</c:formatCode>
                <c:ptCount val="2"/>
                <c:pt idx="0">
                  <c:v>0.31710907748474215</c:v>
                </c:pt>
                <c:pt idx="1">
                  <c:v>0.56716007517016898</c:v>
                </c:pt>
              </c:numCache>
            </c:numRef>
          </c:xVal>
          <c:yVal>
            <c:numRef>
              <c:f>Stufengrün!$AA$90:$AA$91</c:f>
              <c:numCache>
                <c:formatCode>General</c:formatCode>
                <c:ptCount val="2"/>
                <c:pt idx="0">
                  <c:v>9.9666964706651512E-2</c:v>
                </c:pt>
                <c:pt idx="1">
                  <c:v>0.13593725136471599</c:v>
                </c:pt>
              </c:numCache>
            </c:numRef>
          </c:yVal>
          <c:smooth val="1"/>
        </c:ser>
        <c:ser>
          <c:idx val="8"/>
          <c:order val="8"/>
          <c:tx>
            <c:v>#9 G+3</c:v>
          </c:tx>
          <c:marker>
            <c:symbol val="none"/>
          </c:marker>
          <c:xVal>
            <c:numRef>
              <c:f>Stufengrün!$T$91:$T$92</c:f>
              <c:numCache>
                <c:formatCode>0.000</c:formatCode>
                <c:ptCount val="2"/>
                <c:pt idx="0">
                  <c:v>0.56716007517016898</c:v>
                </c:pt>
                <c:pt idx="1">
                  <c:v>1.142674178769717</c:v>
                </c:pt>
              </c:numCache>
            </c:numRef>
          </c:xVal>
          <c:yVal>
            <c:numRef>
              <c:f>Stufengrün!$AB$91:$AB$92</c:f>
              <c:numCache>
                <c:formatCode>General</c:formatCode>
                <c:ptCount val="2"/>
                <c:pt idx="0">
                  <c:v>0.13593725136471599</c:v>
                </c:pt>
                <c:pt idx="1">
                  <c:v>0.17012195943728559</c:v>
                </c:pt>
              </c:numCache>
            </c:numRef>
          </c:yVal>
          <c:smooth val="1"/>
        </c:ser>
        <c:ser>
          <c:idx val="9"/>
          <c:order val="9"/>
          <c:tx>
            <c:v>#9 G+4</c:v>
          </c:tx>
          <c:marker>
            <c:symbol val="none"/>
          </c:marker>
          <c:xVal>
            <c:numRef>
              <c:f>Stufengrün!$T$92:$T$93</c:f>
              <c:numCache>
                <c:formatCode>General</c:formatCode>
                <c:ptCount val="2"/>
                <c:pt idx="0" formatCode="0.000">
                  <c:v>1.142674178769717</c:v>
                </c:pt>
                <c:pt idx="1">
                  <c:v>2</c:v>
                </c:pt>
              </c:numCache>
            </c:numRef>
          </c:xVal>
          <c:yVal>
            <c:numRef>
              <c:f>Stufengrün!$AC$92:$AC$93</c:f>
              <c:numCache>
                <c:formatCode>General</c:formatCode>
                <c:ptCount val="2"/>
                <c:pt idx="0">
                  <c:v>0.17012195943728559</c:v>
                </c:pt>
                <c:pt idx="1">
                  <c:v>0.17897261731549866</c:v>
                </c:pt>
              </c:numCache>
            </c:numRef>
          </c:yVal>
          <c:smooth val="1"/>
        </c:ser>
        <c:axId val="159197056"/>
        <c:axId val="159198592"/>
      </c:scatterChart>
      <c:valAx>
        <c:axId val="159197056"/>
        <c:scaling>
          <c:orientation val="minMax"/>
        </c:scaling>
        <c:axPos val="b"/>
        <c:minorGridlines/>
        <c:numFmt formatCode="General" sourceLinked="1"/>
        <c:tickLblPos val="nextTo"/>
        <c:crossAx val="159198592"/>
        <c:crosses val="autoZero"/>
        <c:crossBetween val="midCat"/>
      </c:valAx>
      <c:valAx>
        <c:axId val="159198592"/>
        <c:scaling>
          <c:orientation val="minMax"/>
        </c:scaling>
        <c:axPos val="l"/>
        <c:majorGridlines/>
        <c:numFmt formatCode="General" sourceLinked="1"/>
        <c:tickLblPos val="nextTo"/>
        <c:crossAx val="15919705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plotArea>
      <c:layout>
        <c:manualLayout>
          <c:layoutTarget val="inner"/>
          <c:xMode val="edge"/>
          <c:yMode val="edge"/>
          <c:x val="4.9721700313796288E-2"/>
          <c:y val="1.9870281315506753E-2"/>
          <c:w val="0.90814476391667454"/>
          <c:h val="0.93529454455776917"/>
        </c:manualLayout>
      </c:layout>
      <c:scatterChart>
        <c:scatterStyle val="lineMarker"/>
        <c:ser>
          <c:idx val="0"/>
          <c:order val="0"/>
          <c:tx>
            <c:v>X-Werte</c:v>
          </c:tx>
          <c:spPr>
            <a:ln w="28575">
              <a:noFill/>
            </a:ln>
          </c:spPr>
          <c:xVal>
            <c:numRef>
              <c:f>'Up-Auswert'!$AI$14:$AI$21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xVal>
          <c:yVal>
            <c:numRef>
              <c:f>'Up-Auswert'!$AJ$14:$AJ$21</c:f>
              <c:numCache>
                <c:formatCode>General</c:formatCode>
                <c:ptCount val="8"/>
                <c:pt idx="0">
                  <c:v>-1</c:v>
                </c:pt>
                <c:pt idx="1">
                  <c:v>-2</c:v>
                </c:pt>
                <c:pt idx="2">
                  <c:v>-3</c:v>
                </c:pt>
                <c:pt idx="3">
                  <c:v>-4</c:v>
                </c:pt>
                <c:pt idx="4">
                  <c:v>-1</c:v>
                </c:pt>
                <c:pt idx="5">
                  <c:v>-2</c:v>
                </c:pt>
                <c:pt idx="6">
                  <c:v>-3</c:v>
                </c:pt>
                <c:pt idx="7">
                  <c:v>-4</c:v>
                </c:pt>
              </c:numCache>
            </c:numRef>
          </c:yVal>
        </c:ser>
        <c:ser>
          <c:idx val="1"/>
          <c:order val="1"/>
          <c:tx>
            <c:v>Yloch=1,5m</c:v>
          </c:tx>
          <c:spPr>
            <a:ln w="28575">
              <a:noFill/>
            </a:ln>
          </c:spPr>
          <c:trendline>
            <c:trendlineType val="linear"/>
          </c:trendline>
          <c:xVal>
            <c:numRef>
              <c:f>'Up-Auswert'!$AI$14:$AI$21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xVal>
          <c:yVal>
            <c:numRef>
              <c:f>'Up-Auswert'!$BJ$23:$BJ$30</c:f>
              <c:numCache>
                <c:formatCode>General</c:formatCode>
                <c:ptCount val="8"/>
                <c:pt idx="0">
                  <c:v>3.5750000000000002</c:v>
                </c:pt>
                <c:pt idx="1">
                  <c:v>3.4830000000000001</c:v>
                </c:pt>
                <c:pt idx="2">
                  <c:v>3.4060000000000001</c:v>
                </c:pt>
                <c:pt idx="3">
                  <c:v>3.3530000000000002</c:v>
                </c:pt>
                <c:pt idx="4">
                  <c:v>4.0549999999999997</c:v>
                </c:pt>
                <c:pt idx="5">
                  <c:v>3.8740000000000001</c:v>
                </c:pt>
                <c:pt idx="6">
                  <c:v>3.7069999999999999</c:v>
                </c:pt>
                <c:pt idx="7">
                  <c:v>3.585</c:v>
                </c:pt>
              </c:numCache>
            </c:numRef>
          </c:yVal>
        </c:ser>
        <c:ser>
          <c:idx val="2"/>
          <c:order val="2"/>
          <c:tx>
            <c:v>Yloch=2m</c:v>
          </c:tx>
          <c:spPr>
            <a:ln w="28575">
              <a:noFill/>
            </a:ln>
          </c:spPr>
          <c:trendline>
            <c:trendlineType val="linear"/>
          </c:trendline>
          <c:xVal>
            <c:numRef>
              <c:f>'Up-Auswert'!$AI$14:$AI$21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xVal>
          <c:yVal>
            <c:numRef>
              <c:f>'Up-Auswert'!$BM$14:$BM$21</c:f>
              <c:numCache>
                <c:formatCode>General</c:formatCode>
                <c:ptCount val="8"/>
                <c:pt idx="0">
                  <c:v>3.657</c:v>
                </c:pt>
                <c:pt idx="1">
                  <c:v>3.6320000000000001</c:v>
                </c:pt>
                <c:pt idx="2">
                  <c:v>3.5880000000000001</c:v>
                </c:pt>
                <c:pt idx="3">
                  <c:v>3.5590000000000002</c:v>
                </c:pt>
                <c:pt idx="4">
                  <c:v>4.0229999999999997</c:v>
                </c:pt>
                <c:pt idx="5">
                  <c:v>3.9260000000000002</c:v>
                </c:pt>
                <c:pt idx="6">
                  <c:v>3.8170000000000002</c:v>
                </c:pt>
                <c:pt idx="7">
                  <c:v>3.7410000000000001</c:v>
                </c:pt>
              </c:numCache>
            </c:numRef>
          </c:yVal>
        </c:ser>
        <c:ser>
          <c:idx val="3"/>
          <c:order val="3"/>
          <c:tx>
            <c:v>Yloch=2,5m</c:v>
          </c:tx>
          <c:spPr>
            <a:ln w="28575">
              <a:noFill/>
            </a:ln>
          </c:spPr>
          <c:trendline>
            <c:trendlineType val="linear"/>
          </c:trendline>
          <c:xVal>
            <c:numRef>
              <c:f>'Up-Auswert'!$AI$14:$AI$21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xVal>
          <c:yVal>
            <c:numRef>
              <c:f>'Up-Auswert'!$BP$23:$BP$30</c:f>
              <c:numCache>
                <c:formatCode>General</c:formatCode>
                <c:ptCount val="8"/>
                <c:pt idx="0">
                  <c:v>3.7329999999999997</c:v>
                </c:pt>
                <c:pt idx="1">
                  <c:v>3.74</c:v>
                </c:pt>
                <c:pt idx="2">
                  <c:v>3.7249999999999996</c:v>
                </c:pt>
                <c:pt idx="3">
                  <c:v>3.7110000000000003</c:v>
                </c:pt>
                <c:pt idx="4">
                  <c:v>4.0220000000000002</c:v>
                </c:pt>
                <c:pt idx="5">
                  <c:v>3.9770000000000003</c:v>
                </c:pt>
                <c:pt idx="6">
                  <c:v>3.9080000000000004</c:v>
                </c:pt>
                <c:pt idx="7">
                  <c:v>3.8499999999999996</c:v>
                </c:pt>
              </c:numCache>
            </c:numRef>
          </c:yVal>
        </c:ser>
        <c:axId val="157510272"/>
        <c:axId val="157524352"/>
      </c:scatterChart>
      <c:valAx>
        <c:axId val="157510272"/>
        <c:scaling>
          <c:orientation val="minMax"/>
          <c:max val="3.5"/>
          <c:min val="1.5"/>
        </c:scaling>
        <c:axPos val="b"/>
        <c:majorGridlines/>
        <c:numFmt formatCode="General" sourceLinked="1"/>
        <c:tickLblPos val="nextTo"/>
        <c:crossAx val="157524352"/>
        <c:crosses val="autoZero"/>
        <c:crossBetween val="midCat"/>
        <c:majorUnit val="0.5"/>
      </c:valAx>
      <c:valAx>
        <c:axId val="157524352"/>
        <c:scaling>
          <c:orientation val="minMax"/>
          <c:max val="5"/>
          <c:min val="3"/>
        </c:scaling>
        <c:axPos val="l"/>
        <c:majorGridlines/>
        <c:numFmt formatCode="General" sourceLinked="1"/>
        <c:tickLblPos val="nextTo"/>
        <c:crossAx val="157510272"/>
        <c:crosses val="autoZero"/>
        <c:crossBetween val="midCat"/>
        <c:majorUnit val="0.5"/>
      </c:valAx>
    </c:plotArea>
    <c:legend>
      <c:legendPos val="r"/>
      <c:legendEntry>
        <c:idx val="0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10476780953562"/>
          <c:y val="3.6168396722293002E-2"/>
          <c:w val="0.35040954526353496"/>
          <c:h val="0.20176194156101851"/>
        </c:manualLayout>
      </c:layout>
      <c:spPr>
        <a:solidFill>
          <a:schemeClr val="bg1"/>
        </a:solidFill>
      </c:spPr>
      <c:txPr>
        <a:bodyPr/>
        <a:lstStyle/>
        <a:p>
          <a:pPr>
            <a:defRPr sz="1100"/>
          </a:pPr>
          <a:endParaRPr lang="de-DE"/>
        </a:p>
      </c:txPr>
    </c:legend>
    <c:plotVisOnly val="1"/>
  </c:chart>
  <c:txPr>
    <a:bodyPr/>
    <a:lstStyle/>
    <a:p>
      <a:pPr>
        <a:defRPr sz="1200">
          <a:latin typeface="Arial" pitchFamily="34" charset="0"/>
          <a:cs typeface="Arial" pitchFamily="34" charset="0"/>
        </a:defRPr>
      </a:pPr>
      <a:endParaRPr lang="de-DE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plotArea>
      <c:layout>
        <c:manualLayout>
          <c:layoutTarget val="inner"/>
          <c:xMode val="edge"/>
          <c:yMode val="edge"/>
          <c:x val="4.9721700313796309E-2"/>
          <c:y val="1.9870281315506763E-2"/>
          <c:w val="0.90814476391667454"/>
          <c:h val="0.93529454455776917"/>
        </c:manualLayout>
      </c:layout>
      <c:scatterChart>
        <c:scatterStyle val="lineMarker"/>
        <c:ser>
          <c:idx val="0"/>
          <c:order val="0"/>
          <c:tx>
            <c:v>X-Werte</c:v>
          </c:tx>
          <c:spPr>
            <a:ln w="28575">
              <a:noFill/>
            </a:ln>
          </c:spPr>
          <c:xVal>
            <c:numRef>
              <c:f>'Up-Auswert'!$AI$14:$AI$21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xVal>
          <c:yVal>
            <c:numRef>
              <c:f>'Up-Auswert'!$AJ$14:$AJ$21</c:f>
              <c:numCache>
                <c:formatCode>General</c:formatCode>
                <c:ptCount val="8"/>
                <c:pt idx="0">
                  <c:v>-1</c:v>
                </c:pt>
                <c:pt idx="1">
                  <c:v>-2</c:v>
                </c:pt>
                <c:pt idx="2">
                  <c:v>-3</c:v>
                </c:pt>
                <c:pt idx="3">
                  <c:v>-4</c:v>
                </c:pt>
                <c:pt idx="4">
                  <c:v>-1</c:v>
                </c:pt>
                <c:pt idx="5">
                  <c:v>-2</c:v>
                </c:pt>
                <c:pt idx="6">
                  <c:v>-3</c:v>
                </c:pt>
                <c:pt idx="7">
                  <c:v>-4</c:v>
                </c:pt>
              </c:numCache>
            </c:numRef>
          </c:yVal>
        </c:ser>
        <c:ser>
          <c:idx val="1"/>
          <c:order val="1"/>
          <c:tx>
            <c:v>Mü=0,056</c:v>
          </c:tx>
          <c:spPr>
            <a:ln w="28575">
              <a:noFill/>
            </a:ln>
          </c:spPr>
          <c:trendline>
            <c:trendlineType val="linear"/>
          </c:trendline>
          <c:xVal>
            <c:numRef>
              <c:f>'Up-Auswert'!$AI$14:$AI$21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xVal>
          <c:yVal>
            <c:numRef>
              <c:f>'Up-Auswert'!$BT$14:$BT$21</c:f>
              <c:numCache>
                <c:formatCode>General</c:formatCode>
                <c:ptCount val="8"/>
                <c:pt idx="0">
                  <c:v>3.9540000000000002</c:v>
                </c:pt>
                <c:pt idx="1">
                  <c:v>3.92</c:v>
                </c:pt>
                <c:pt idx="2">
                  <c:v>3.8759999999999999</c:v>
                </c:pt>
                <c:pt idx="3">
                  <c:v>3.8370000000000002</c:v>
                </c:pt>
                <c:pt idx="4">
                  <c:v>4.3959999999999999</c:v>
                </c:pt>
                <c:pt idx="5">
                  <c:v>4.2869999999999999</c:v>
                </c:pt>
                <c:pt idx="6">
                  <c:v>4.1609999999999996</c:v>
                </c:pt>
                <c:pt idx="7">
                  <c:v>4.0640000000000001</c:v>
                </c:pt>
              </c:numCache>
            </c:numRef>
          </c:yVal>
        </c:ser>
        <c:ser>
          <c:idx val="2"/>
          <c:order val="2"/>
          <c:tx>
            <c:v>Mü=0,07</c:v>
          </c:tx>
          <c:spPr>
            <a:ln w="28575">
              <a:noFill/>
            </a:ln>
          </c:spPr>
          <c:trendline>
            <c:trendlineType val="linear"/>
          </c:trendline>
          <c:xVal>
            <c:numRef>
              <c:f>'Up-Auswert'!$AI$14:$AI$21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xVal>
          <c:yVal>
            <c:numRef>
              <c:f>'Up-Auswert'!$BW$14:$BW$21</c:f>
              <c:numCache>
                <c:formatCode>General</c:formatCode>
                <c:ptCount val="8"/>
                <c:pt idx="0">
                  <c:v>3.657</c:v>
                </c:pt>
                <c:pt idx="1">
                  <c:v>3.6320000000000001</c:v>
                </c:pt>
                <c:pt idx="2">
                  <c:v>3.5880000000000001</c:v>
                </c:pt>
                <c:pt idx="3">
                  <c:v>3.5590000000000002</c:v>
                </c:pt>
                <c:pt idx="4">
                  <c:v>4.0229999999999997</c:v>
                </c:pt>
                <c:pt idx="5">
                  <c:v>3.9260000000000002</c:v>
                </c:pt>
                <c:pt idx="6">
                  <c:v>3.8170000000000002</c:v>
                </c:pt>
                <c:pt idx="7">
                  <c:v>3.7410000000000001</c:v>
                </c:pt>
              </c:numCache>
            </c:numRef>
          </c:yVal>
        </c:ser>
        <c:ser>
          <c:idx val="3"/>
          <c:order val="3"/>
          <c:tx>
            <c:v>Mü=0,095</c:v>
          </c:tx>
          <c:spPr>
            <a:ln w="28575">
              <a:noFill/>
            </a:ln>
          </c:spPr>
          <c:trendline>
            <c:trendlineType val="linear"/>
          </c:trendline>
          <c:xVal>
            <c:numRef>
              <c:f>'Up-Auswert'!$AI$14:$AI$21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xVal>
          <c:yVal>
            <c:numRef>
              <c:f>'Up-Auswert'!$BZ$14:$BZ$21</c:f>
              <c:numCache>
                <c:formatCode>General</c:formatCode>
                <c:ptCount val="8"/>
                <c:pt idx="0">
                  <c:v>3.3039999999999998</c:v>
                </c:pt>
                <c:pt idx="1">
                  <c:v>3.2850000000000001</c:v>
                </c:pt>
                <c:pt idx="2">
                  <c:v>3.2589999999999999</c:v>
                </c:pt>
                <c:pt idx="3">
                  <c:v>3.2290000000000001</c:v>
                </c:pt>
                <c:pt idx="4">
                  <c:v>3.5939999999999999</c:v>
                </c:pt>
                <c:pt idx="5">
                  <c:v>3.508</c:v>
                </c:pt>
                <c:pt idx="6">
                  <c:v>3.4249999999999998</c:v>
                </c:pt>
                <c:pt idx="7">
                  <c:v>3.3610000000000002</c:v>
                </c:pt>
              </c:numCache>
            </c:numRef>
          </c:yVal>
        </c:ser>
        <c:axId val="157570944"/>
        <c:axId val="157572480"/>
      </c:scatterChart>
      <c:valAx>
        <c:axId val="157570944"/>
        <c:scaling>
          <c:orientation val="minMax"/>
          <c:max val="3.5"/>
          <c:min val="1.5"/>
        </c:scaling>
        <c:axPos val="b"/>
        <c:majorGridlines/>
        <c:numFmt formatCode="General" sourceLinked="1"/>
        <c:tickLblPos val="nextTo"/>
        <c:crossAx val="157572480"/>
        <c:crosses val="autoZero"/>
        <c:crossBetween val="midCat"/>
        <c:majorUnit val="0.5"/>
      </c:valAx>
      <c:valAx>
        <c:axId val="157572480"/>
        <c:scaling>
          <c:orientation val="minMax"/>
          <c:max val="4.5"/>
          <c:min val="2.5"/>
        </c:scaling>
        <c:axPos val="l"/>
        <c:majorGridlines/>
        <c:numFmt formatCode="General" sourceLinked="1"/>
        <c:tickLblPos val="nextTo"/>
        <c:crossAx val="157570944"/>
        <c:crosses val="autoZero"/>
        <c:crossBetween val="midCat"/>
        <c:majorUnit val="0.5"/>
        <c:minorUnit val="0.5"/>
      </c:valAx>
    </c:plotArea>
    <c:legend>
      <c:legendPos val="r"/>
      <c:legendEntry>
        <c:idx val="0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174759060629232"/>
          <c:y val="3.9695871349414685E-2"/>
          <c:w val="0.31891348227140937"/>
          <c:h val="0.20192670360649378"/>
        </c:manualLayout>
      </c:layout>
      <c:spPr>
        <a:solidFill>
          <a:schemeClr val="bg1"/>
        </a:solidFill>
      </c:spPr>
      <c:txPr>
        <a:bodyPr/>
        <a:lstStyle/>
        <a:p>
          <a:pPr>
            <a:defRPr sz="1000"/>
          </a:pPr>
          <a:endParaRPr lang="de-DE"/>
        </a:p>
      </c:txPr>
    </c:legend>
    <c:plotVisOnly val="1"/>
  </c:chart>
  <c:txPr>
    <a:bodyPr/>
    <a:lstStyle/>
    <a:p>
      <a:pPr>
        <a:defRPr sz="1200">
          <a:latin typeface="Arial" pitchFamily="34" charset="0"/>
          <a:cs typeface="Arial" pitchFamily="34" charset="0"/>
        </a:defRPr>
      </a:pPr>
      <a:endParaRPr lang="de-DE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lineMarker"/>
        <c:ser>
          <c:idx val="1"/>
          <c:order val="0"/>
          <c:tx>
            <c:v>Zentral v=0</c:v>
          </c:tx>
          <c:spPr>
            <a:ln w="254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'Up-Auswert'!$C$5:$C$114</c:f>
              <c:numCache>
                <c:formatCode>0.00</c:formatCode>
                <c:ptCount val="110"/>
                <c:pt idx="0">
                  <c:v>2</c:v>
                </c:pt>
                <c:pt idx="1">
                  <c:v>1.9657015922689496</c:v>
                </c:pt>
                <c:pt idx="2">
                  <c:v>1.931849122406156</c:v>
                </c:pt>
                <c:pt idx="3">
                  <c:v>1.8984364367011339</c:v>
                </c:pt>
                <c:pt idx="4">
                  <c:v>1.8654574712819783</c:v>
                </c:pt>
                <c:pt idx="5">
                  <c:v>1.8329062507319385</c:v>
                </c:pt>
                <c:pt idx="6">
                  <c:v>1.8208223712364151</c:v>
                </c:pt>
                <c:pt idx="7">
                  <c:v>1.7845676292946178</c:v>
                </c:pt>
                <c:pt idx="8">
                  <c:v>1.7489678361160521</c:v>
                </c:pt>
                <c:pt idx="9">
                  <c:v>1.7140094331705686</c:v>
                </c:pt>
                <c:pt idx="10">
                  <c:v>1.6796791782227578</c:v>
                </c:pt>
                <c:pt idx="11">
                  <c:v>1.6459641371264155</c:v>
                </c:pt>
                <c:pt idx="12">
                  <c:v>1.6421737338465265</c:v>
                </c:pt>
                <c:pt idx="13">
                  <c:v>1.6236291350589389</c:v>
                </c:pt>
                <c:pt idx="14">
                  <c:v>1.6053222727107823</c:v>
                </c:pt>
                <c:pt idx="15">
                  <c:v>1.5872493960380667</c:v>
                </c:pt>
                <c:pt idx="16">
                  <c:v>1.5694068243948114</c:v>
                </c:pt>
                <c:pt idx="17">
                  <c:v>1.551790945739439</c:v>
                </c:pt>
                <c:pt idx="18">
                  <c:v>1.5500005209177459</c:v>
                </c:pt>
                <c:pt idx="19">
                  <c:v>1.5381935563693974</c:v>
                </c:pt>
                <c:pt idx="20">
                  <c:v>1.5265170085592767</c:v>
                </c:pt>
                <c:pt idx="21">
                  <c:v>1.5149690042741559</c:v>
                </c:pt>
                <c:pt idx="22">
                  <c:v>1.5035477032604436</c:v>
                </c:pt>
                <c:pt idx="23">
                  <c:v>1.4922512975389102</c:v>
                </c:pt>
                <c:pt idx="24">
                  <c:v>1.4912252804040258</c:v>
                </c:pt>
                <c:pt idx="25">
                  <c:v>1.4825069651292531</c:v>
                </c:pt>
                <c:pt idx="26">
                  <c:v>1.4738824465726534</c:v>
                </c:pt>
                <c:pt idx="27">
                  <c:v>1.465350358750608</c:v>
                </c:pt>
                <c:pt idx="28">
                  <c:v>1.4569093605719723</c:v>
                </c:pt>
                <c:pt idx="29">
                  <c:v>1.4485581352944656</c:v>
                </c:pt>
                <c:pt idx="30">
                  <c:v>1.4479001349363869</c:v>
                </c:pt>
                <c:pt idx="31">
                  <c:v>1.4407353915764547</c:v>
                </c:pt>
                <c:pt idx="32">
                  <c:v>1.4336524102848602</c:v>
                </c:pt>
                <c:pt idx="33">
                  <c:v>1.4266498900295572</c:v>
                </c:pt>
                <c:pt idx="34">
                  <c:v>1.4197265560449479</c:v>
                </c:pt>
                <c:pt idx="35">
                  <c:v>1.412881159190688</c:v>
                </c:pt>
                <c:pt idx="36">
                  <c:v>1.4124304365647959</c:v>
                </c:pt>
                <c:pt idx="37">
                  <c:v>1.4058482925478974</c:v>
                </c:pt>
                <c:pt idx="38">
                  <c:v>1.399352738634644</c:v>
                </c:pt>
                <c:pt idx="39">
                  <c:v>1.3929421521123424</c:v>
                </c:pt>
                <c:pt idx="40">
                  <c:v>1.386614949185289</c:v>
                </c:pt>
                <c:pt idx="41">
                  <c:v>1.3803695838401704</c:v>
                </c:pt>
                <c:pt idx="42">
                  <c:v>1.3800444004239829</c:v>
                </c:pt>
                <c:pt idx="43">
                  <c:v>1.372634927306696</c:v>
                </c:pt>
                <c:pt idx="44">
                  <c:v>1.3653596344554397</c:v>
                </c:pt>
                <c:pt idx="45">
                  <c:v>1.3582150083183571</c:v>
                </c:pt>
                <c:pt idx="46">
                  <c:v>1.351197653587435</c:v>
                </c:pt>
                <c:pt idx="47">
                  <c:v>1.3443042883508545</c:v>
                </c:pt>
                <c:pt idx="48">
                  <c:v>1.3440642034318724</c:v>
                </c:pt>
                <c:pt idx="49">
                  <c:v>1.3277086012401231</c:v>
                </c:pt>
                <c:pt idx="50">
                  <c:v>1.3121197029046465</c:v>
                </c:pt>
                <c:pt idx="51">
                  <c:v>1.2972454961542943</c:v>
                </c:pt>
                <c:pt idx="52">
                  <c:v>1.2830384657710046</c:v>
                </c:pt>
                <c:pt idx="53">
                  <c:v>1.2694551242760737</c:v>
                </c:pt>
                <c:pt idx="54">
                  <c:v>1.2692920784801782</c:v>
                </c:pt>
                <c:pt idx="55">
                  <c:v>1.2603747568764769</c:v>
                </c:pt>
                <c:pt idx="56">
                  <c:v>1.2516869231681294</c:v>
                </c:pt>
                <c:pt idx="57">
                  <c:v>1.2432199741606995</c:v>
                </c:pt>
                <c:pt idx="58">
                  <c:v>1.2349657198551545</c:v>
                </c:pt>
                <c:pt idx="59">
                  <c:v>1.2269163593419372</c:v>
                </c:pt>
                <c:pt idx="60">
                  <c:v>1.226749080225497</c:v>
                </c:pt>
                <c:pt idx="61">
                  <c:v>1.2179714114175326</c:v>
                </c:pt>
                <c:pt idx="62">
                  <c:v>1.2093957677991898</c:v>
                </c:pt>
                <c:pt idx="63">
                  <c:v>1.201015448393115</c:v>
                </c:pt>
                <c:pt idx="64">
                  <c:v>1.1928240356618167</c:v>
                </c:pt>
                <c:pt idx="65">
                  <c:v>1.1848153809833188</c:v>
                </c:pt>
                <c:pt idx="66">
                  <c:v>1.1846309967991069</c:v>
                </c:pt>
                <c:pt idx="67">
                  <c:v>1.1741761985699815</c:v>
                </c:pt>
                <c:pt idx="68">
                  <c:v>1.1639734516813653</c:v>
                </c:pt>
                <c:pt idx="69">
                  <c:v>1.1540141716386789</c:v>
                </c:pt>
                <c:pt idx="70">
                  <c:v>1.1442901435522783</c:v>
                </c:pt>
                <c:pt idx="71">
                  <c:v>1.1347935029737886</c:v>
                </c:pt>
                <c:pt idx="72">
                  <c:v>1.1345815346728203</c:v>
                </c:pt>
                <c:pt idx="73">
                  <c:v>1.1206662715574862</c:v>
                </c:pt>
                <c:pt idx="74">
                  <c:v>1.1071361319271553</c:v>
                </c:pt>
                <c:pt idx="75">
                  <c:v>1.093976519965542</c:v>
                </c:pt>
                <c:pt idx="76">
                  <c:v>1.0811735294879039</c:v>
                </c:pt>
                <c:pt idx="77">
                  <c:v>1.0687139050794128</c:v>
                </c:pt>
                <c:pt idx="78">
                  <c:v>1.0684596507800799</c:v>
                </c:pt>
                <c:pt idx="79">
                  <c:v>1.0476565998813152</c:v>
                </c:pt>
                <c:pt idx="80">
                  <c:v>1.0275968109919649</c:v>
                </c:pt>
                <c:pt idx="81">
                  <c:v>1.0082455337307716</c:v>
                </c:pt>
                <c:pt idx="82">
                  <c:v>0.98956999919530964</c:v>
                </c:pt>
                <c:pt idx="83">
                  <c:v>0.97153928725730532</c:v>
                </c:pt>
                <c:pt idx="84">
                  <c:v>0.97122556718621489</c:v>
                </c:pt>
                <c:pt idx="85">
                  <c:v>0.93398384466124307</c:v>
                </c:pt>
                <c:pt idx="86">
                  <c:v>0.89885080800902417</c:v>
                </c:pt>
                <c:pt idx="87">
                  <c:v>0.86568006100543593</c:v>
                </c:pt>
                <c:pt idx="88">
                  <c:v>0.83433715729358371</c:v>
                </c:pt>
                <c:pt idx="89">
                  <c:v>0.80469848396595045</c:v>
                </c:pt>
                <c:pt idx="90">
                  <c:v>0.80430981508299715</c:v>
                </c:pt>
                <c:pt idx="91">
                  <c:v>0.70744520767681729</c:v>
                </c:pt>
                <c:pt idx="92">
                  <c:v>0.62454529297523786</c:v>
                </c:pt>
                <c:pt idx="93">
                  <c:v>0.5533498956113142</c:v>
                </c:pt>
                <c:pt idx="94">
                  <c:v>0.4920032340286411</c:v>
                </c:pt>
                <c:pt idx="95">
                  <c:v>0.43897491948533829</c:v>
                </c:pt>
                <c:pt idx="96">
                  <c:v>0.43861250108217659</c:v>
                </c:pt>
                <c:pt idx="97">
                  <c:v>0.24338790477858033</c:v>
                </c:pt>
                <c:pt idx="98">
                  <c:v>0.13765126621369034</c:v>
                </c:pt>
                <c:pt idx="99">
                  <c:v>7.922396980925156E-2</c:v>
                </c:pt>
                <c:pt idx="100">
                  <c:v>4.633494738219629E-2</c:v>
                </c:pt>
                <c:pt idx="101">
                  <c:v>2.7500966564281415E-2</c:v>
                </c:pt>
                <c:pt idx="102">
                  <c:v>1.6542312198949638E-2</c:v>
                </c:pt>
                <c:pt idx="103">
                  <c:v>1.0070680324133996E-2</c:v>
                </c:pt>
                <c:pt idx="104">
                  <c:v>6.1956709379441532E-3</c:v>
                </c:pt>
                <c:pt idx="105">
                  <c:v>3.8453177547939643E-3</c:v>
                </c:pt>
                <c:pt idx="106">
                  <c:v>2.4024464806571277E-3</c:v>
                </c:pt>
                <c:pt idx="107">
                  <c:v>1.5066309513607767E-3</c:v>
                </c:pt>
                <c:pt idx="108">
                  <c:v>9.4455498443418717E-4</c:v>
                </c:pt>
                <c:pt idx="109">
                  <c:v>-7.0117775286149264E-5</c:v>
                </c:pt>
              </c:numCache>
            </c:numRef>
          </c:xVal>
          <c:yVal>
            <c:numRef>
              <c:f>'Up-Auswert'!$D$5:$D$114</c:f>
              <c:numCache>
                <c:formatCode>0.00</c:formatCode>
                <c:ptCount val="110"/>
                <c:pt idx="0">
                  <c:v>-2</c:v>
                </c:pt>
                <c:pt idx="1">
                  <c:v>-1.8967416968990323</c:v>
                </c:pt>
                <c:pt idx="2">
                  <c:v>-1.7949168064099099</c:v>
                </c:pt>
                <c:pt idx="3">
                  <c:v>-1.6945042970778759</c:v>
                </c:pt>
                <c:pt idx="4">
                  <c:v>-1.5954834627110668</c:v>
                </c:pt>
                <c:pt idx="5">
                  <c:v>-1.4978339170911714</c:v>
                </c:pt>
                <c:pt idx="6">
                  <c:v>-1.4616059968463011</c:v>
                </c:pt>
                <c:pt idx="7">
                  <c:v>-1.3530896772301138</c:v>
                </c:pt>
                <c:pt idx="8">
                  <c:v>-1.2468451057994026</c:v>
                </c:pt>
                <c:pt idx="9">
                  <c:v>-1.1428188766521319</c:v>
                </c:pt>
                <c:pt idx="10">
                  <c:v>-1.0409589772972838</c:v>
                </c:pt>
                <c:pt idx="11">
                  <c:v>-0.94121474870326227</c:v>
                </c:pt>
                <c:pt idx="12">
                  <c:v>-0.93001918678852913</c:v>
                </c:pt>
                <c:pt idx="13">
                  <c:v>-0.87534147507588189</c:v>
                </c:pt>
                <c:pt idx="14">
                  <c:v>-0.82153759014810501</c:v>
                </c:pt>
                <c:pt idx="15">
                  <c:v>-0.76859107668203841</c:v>
                </c:pt>
                <c:pt idx="16">
                  <c:v>-0.71648583630613694</c:v>
                </c:pt>
                <c:pt idx="17">
                  <c:v>-0.66520611883829384</c:v>
                </c:pt>
                <c:pt idx="18">
                  <c:v>-0.66000334397620597</c:v>
                </c:pt>
                <c:pt idx="19">
                  <c:v>-0.62575995609202317</c:v>
                </c:pt>
                <c:pt idx="20">
                  <c:v>-0.59201470278178792</c:v>
                </c:pt>
                <c:pt idx="21">
                  <c:v>-0.5587587638475211</c:v>
                </c:pt>
                <c:pt idx="22">
                  <c:v>-0.52598350322836207</c:v>
                </c:pt>
                <c:pt idx="23">
                  <c:v>-0.49368046457481829</c:v>
                </c:pt>
                <c:pt idx="24">
                  <c:v>-0.49075210650337309</c:v>
                </c:pt>
                <c:pt idx="25">
                  <c:v>-0.46592321263735204</c:v>
                </c:pt>
                <c:pt idx="26">
                  <c:v>-0.44146024000520551</c:v>
                </c:pt>
                <c:pt idx="27">
                  <c:v>-0.41735648357269051</c:v>
                </c:pt>
                <c:pt idx="28">
                  <c:v>-0.39360538527108996</c:v>
                </c:pt>
                <c:pt idx="29">
                  <c:v>-0.37020053025054034</c:v>
                </c:pt>
                <c:pt idx="30">
                  <c:v>-0.36836040959450334</c:v>
                </c:pt>
                <c:pt idx="31">
                  <c:v>-0.34837458268389754</c:v>
                </c:pt>
                <c:pt idx="32">
                  <c:v>-0.32871033002437539</c:v>
                </c:pt>
                <c:pt idx="33">
                  <c:v>-0.30936112648198899</c:v>
                </c:pt>
                <c:pt idx="34">
                  <c:v>-0.29032060677462901</c:v>
                </c:pt>
                <c:pt idx="35">
                  <c:v>-0.2715825608886735</c:v>
                </c:pt>
                <c:pt idx="36">
                  <c:v>-0.27035186996590721</c:v>
                </c:pt>
                <c:pt idx="37">
                  <c:v>-0.2524349803324229</c:v>
                </c:pt>
                <c:pt idx="38">
                  <c:v>-0.23485745150929335</c:v>
                </c:pt>
                <c:pt idx="39">
                  <c:v>-0.21761110377547171</c:v>
                </c:pt>
                <c:pt idx="40">
                  <c:v>-0.20068799678162264</c:v>
                </c:pt>
                <c:pt idx="41">
                  <c:v>-0.18408042132235075</c:v>
                </c:pt>
                <c:pt idx="42">
                  <c:v>-0.18321833372345564</c:v>
                </c:pt>
                <c:pt idx="43">
                  <c:v>-0.16366210821090649</c:v>
                </c:pt>
                <c:pt idx="44">
                  <c:v>-0.14462368993427721</c:v>
                </c:pt>
                <c:pt idx="45">
                  <c:v>-0.12608555122040582</c:v>
                </c:pt>
                <c:pt idx="46">
                  <c:v>-0.10803088637331064</c:v>
                </c:pt>
                <c:pt idx="47">
                  <c:v>-9.04435767162797E-2</c:v>
                </c:pt>
                <c:pt idx="48">
                  <c:v>-8.983369412745007E-2</c:v>
                </c:pt>
                <c:pt idx="49">
                  <c:v>-4.877768838489626E-2</c:v>
                </c:pt>
                <c:pt idx="50">
                  <c:v>-1.0554967242690477E-2</c:v>
                </c:pt>
                <c:pt idx="51">
                  <c:v>2.5082317362613751E-2</c:v>
                </c:pt>
                <c:pt idx="52">
                  <c:v>5.8355875611985158E-2</c:v>
                </c:pt>
                <c:pt idx="53">
                  <c:v>8.9464487717265589E-2</c:v>
                </c:pt>
                <c:pt idx="54">
                  <c:v>8.9833694127448988E-2</c:v>
                </c:pt>
                <c:pt idx="55">
                  <c:v>0.10989535838577673</c:v>
                </c:pt>
                <c:pt idx="56">
                  <c:v>0.1291931846276535</c:v>
                </c:pt>
                <c:pt idx="57">
                  <c:v>0.14776415471747364</c:v>
                </c:pt>
                <c:pt idx="58">
                  <c:v>0.16564307867138456</c:v>
                </c:pt>
                <c:pt idx="59">
                  <c:v>0.18286274409621378</c:v>
                </c:pt>
                <c:pt idx="60">
                  <c:v>0.18321833372345536</c:v>
                </c:pt>
                <c:pt idx="61">
                  <c:v>0.20177188528457204</c:v>
                </c:pt>
                <c:pt idx="62">
                  <c:v>0.2196988762294346</c:v>
                </c:pt>
                <c:pt idx="63">
                  <c:v>0.23702602965297251</c:v>
                </c:pt>
                <c:pt idx="64">
                  <c:v>0.25377869049644991</c:v>
                </c:pt>
                <c:pt idx="65">
                  <c:v>0.26998090868098074</c:v>
                </c:pt>
                <c:pt idx="66">
                  <c:v>0.27035186996590721</c:v>
                </c:pt>
                <c:pt idx="67">
                  <c:v>0.29126755139630822</c:v>
                </c:pt>
                <c:pt idx="68">
                  <c:v>0.31145503578717143</c:v>
                </c:pt>
                <c:pt idx="69">
                  <c:v>0.33094598152429611</c:v>
                </c:pt>
                <c:pt idx="70">
                  <c:v>0.34977039386351227</c:v>
                </c:pt>
                <c:pt idx="71">
                  <c:v>0.3679567254501262</c:v>
                </c:pt>
                <c:pt idx="72">
                  <c:v>0.3683604095945</c:v>
                </c:pt>
                <c:pt idx="73">
                  <c:v>0.39470429271343632</c:v>
                </c:pt>
                <c:pt idx="74">
                  <c:v>0.42002200524317423</c:v>
                </c:pt>
                <c:pt idx="75">
                  <c:v>0.44436262991374276</c:v>
                </c:pt>
                <c:pt idx="76">
                  <c:v>0.46777245990783711</c:v>
                </c:pt>
                <c:pt idx="77">
                  <c:v>0.4902951821062897</c:v>
                </c:pt>
                <c:pt idx="78">
                  <c:v>0.49075210650337253</c:v>
                </c:pt>
                <c:pt idx="79">
                  <c:v>0.52788801212073888</c:v>
                </c:pt>
                <c:pt idx="80">
                  <c:v>0.56322764018053295</c:v>
                </c:pt>
                <c:pt idx="81">
                  <c:v>0.59687510898426999</c:v>
                </c:pt>
                <c:pt idx="82">
                  <c:v>0.62892748584701608</c:v>
                </c:pt>
                <c:pt idx="83">
                  <c:v>0.6594753324168755</c:v>
                </c:pt>
                <c:pt idx="84">
                  <c:v>0.66000334397619786</c:v>
                </c:pt>
                <c:pt idx="85">
                  <c:v>0.72215693584303897</c:v>
                </c:pt>
                <c:pt idx="86">
                  <c:v>0.77981730570413033</c:v>
                </c:pt>
                <c:pt idx="87">
                  <c:v>0.83335969098832363</c:v>
                </c:pt>
                <c:pt idx="88">
                  <c:v>0.88312371374956766</c:v>
                </c:pt>
                <c:pt idx="89">
                  <c:v>0.92941716218792259</c:v>
                </c:pt>
                <c:pt idx="90">
                  <c:v>0.93001918678854056</c:v>
                </c:pt>
                <c:pt idx="91">
                  <c:v>1.0778900607754904</c:v>
                </c:pt>
                <c:pt idx="92">
                  <c:v>1.2007631521019984</c:v>
                </c:pt>
                <c:pt idx="93">
                  <c:v>1.303252806201425</c:v>
                </c:pt>
                <c:pt idx="94">
                  <c:v>1.3890498732203709</c:v>
                </c:pt>
                <c:pt idx="95">
                  <c:v>1.4611206233667593</c:v>
                </c:pt>
                <c:pt idx="96">
                  <c:v>1.4616059968409458</c:v>
                </c:pt>
                <c:pt idx="97">
                  <c:v>1.7170479998998383</c:v>
                </c:pt>
                <c:pt idx="98">
                  <c:v>1.8484434319199512</c:v>
                </c:pt>
                <c:pt idx="99">
                  <c:v>1.9174380270953091</c:v>
                </c:pt>
                <c:pt idx="100">
                  <c:v>1.9543597608837109</c:v>
                </c:pt>
                <c:pt idx="101">
                  <c:v>1.9744661793221945</c:v>
                </c:pt>
                <c:pt idx="102">
                  <c:v>1.9855933545240465</c:v>
                </c:pt>
                <c:pt idx="103">
                  <c:v>1.991843573163697</c:v>
                </c:pt>
                <c:pt idx="104">
                  <c:v>1.9954029314652741</c:v>
                </c:pt>
                <c:pt idx="105">
                  <c:v>1.9974557864026345</c:v>
                </c:pt>
                <c:pt idx="106">
                  <c:v>1.9986537157528113</c:v>
                </c:pt>
                <c:pt idx="107">
                  <c:v>1.999360350140496</c:v>
                </c:pt>
                <c:pt idx="108">
                  <c:v>1.9997813451332402</c:v>
                </c:pt>
                <c:pt idx="109">
                  <c:v>2.0004346804046045</c:v>
                </c:pt>
              </c:numCache>
            </c:numRef>
          </c:yVal>
        </c:ser>
        <c:ser>
          <c:idx val="0"/>
          <c:order val="1"/>
          <c:tx>
            <c:v>0,5 m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'Up-Auswert'!$F$5:$F$114</c:f>
              <c:numCache>
                <c:formatCode>General</c:formatCode>
                <c:ptCount val="110"/>
                <c:pt idx="0">
                  <c:v>2</c:v>
                </c:pt>
                <c:pt idx="1">
                  <c:v>1.9633438141286075</c:v>
                </c:pt>
                <c:pt idx="2">
                  <c:v>1.9271410291579127</c:v>
                </c:pt>
                <c:pt idx="3">
                  <c:v>1.8913856941354004</c:v>
                </c:pt>
                <c:pt idx="4">
                  <c:v>1.8560719407285826</c:v>
                </c:pt>
                <c:pt idx="5">
                  <c:v>1.821193982015229</c:v>
                </c:pt>
                <c:pt idx="6">
                  <c:v>1.8083790408665454</c:v>
                </c:pt>
                <c:pt idx="7">
                  <c:v>1.7696966514213568</c:v>
                </c:pt>
                <c:pt idx="8">
                  <c:v>1.7316750882190037</c:v>
                </c:pt>
                <c:pt idx="9">
                  <c:v>1.6943014139746233</c:v>
                </c:pt>
                <c:pt idx="10">
                  <c:v>1.6575629768427094</c:v>
                </c:pt>
                <c:pt idx="11">
                  <c:v>1.6214474034127158</c:v>
                </c:pt>
                <c:pt idx="12">
                  <c:v>1.6174068803753261</c:v>
                </c:pt>
                <c:pt idx="13">
                  <c:v>1.5976288942778019</c:v>
                </c:pt>
                <c:pt idx="14">
                  <c:v>1.5780892779270952</c:v>
                </c:pt>
                <c:pt idx="15">
                  <c:v>1.5587844933125994</c:v>
                </c:pt>
                <c:pt idx="16">
                  <c:v>1.5397110646690078</c:v>
                </c:pt>
                <c:pt idx="17">
                  <c:v>1.5208655772114734</c:v>
                </c:pt>
                <c:pt idx="18">
                  <c:v>1.5189494488061235</c:v>
                </c:pt>
                <c:pt idx="19">
                  <c:v>1.5063679235603895</c:v>
                </c:pt>
                <c:pt idx="20">
                  <c:v>1.493916426550834</c:v>
                </c:pt>
                <c:pt idx="21">
                  <c:v>1.4815932077608387</c:v>
                </c:pt>
                <c:pt idx="22">
                  <c:v>1.4693965460409564</c:v>
                </c:pt>
                <c:pt idx="23">
                  <c:v>1.457324748546057</c:v>
                </c:pt>
                <c:pt idx="24">
                  <c:v>1.4562227049902159</c:v>
                </c:pt>
                <c:pt idx="25">
                  <c:v>1.4469432692210507</c:v>
                </c:pt>
                <c:pt idx="26">
                  <c:v>1.4377568291030245</c:v>
                </c:pt>
                <c:pt idx="27">
                  <c:v>1.4286621202311869</c:v>
                </c:pt>
                <c:pt idx="28">
                  <c:v>1.419657899723936</c:v>
                </c:pt>
                <c:pt idx="29">
                  <c:v>1.410742945783789</c:v>
                </c:pt>
                <c:pt idx="30">
                  <c:v>1.4100335412777052</c:v>
                </c:pt>
                <c:pt idx="31">
                  <c:v>1.4024192246032883</c:v>
                </c:pt>
                <c:pt idx="32">
                  <c:v>1.3948854835516113</c:v>
                </c:pt>
                <c:pt idx="33">
                  <c:v>1.3874311256451806</c:v>
                </c:pt>
                <c:pt idx="34">
                  <c:v>1.3800549808097113</c:v>
                </c:pt>
                <c:pt idx="35">
                  <c:v>1.372755900865003</c:v>
                </c:pt>
                <c:pt idx="36">
                  <c:v>1.3722679271244049</c:v>
                </c:pt>
                <c:pt idx="37">
                  <c:v>1.3652871097542105</c:v>
                </c:pt>
                <c:pt idx="38">
                  <c:v>1.3583910211789445</c:v>
                </c:pt>
                <c:pt idx="39">
                  <c:v>1.3515781911357623</c:v>
                </c:pt>
                <c:pt idx="40">
                  <c:v>1.3448471820300123</c:v>
                </c:pt>
                <c:pt idx="41">
                  <c:v>1.3381965880523956</c:v>
                </c:pt>
                <c:pt idx="42">
                  <c:v>1.3378427227725525</c:v>
                </c:pt>
                <c:pt idx="43">
                  <c:v>1.330010875843612</c:v>
                </c:pt>
                <c:pt idx="44">
                  <c:v>1.3223090198624361</c:v>
                </c:pt>
                <c:pt idx="45">
                  <c:v>1.3147340216809638</c:v>
                </c:pt>
                <c:pt idx="46">
                  <c:v>1.3072828452736778</c:v>
                </c:pt>
                <c:pt idx="47">
                  <c:v>1.2999525480674019</c:v>
                </c:pt>
                <c:pt idx="48">
                  <c:v>1.2996893048805451</c:v>
                </c:pt>
                <c:pt idx="49">
                  <c:v>1.282602105879775</c:v>
                </c:pt>
                <c:pt idx="50">
                  <c:v>1.2662380724186602</c:v>
                </c:pt>
                <c:pt idx="51">
                  <c:v>1.2505526484354568</c:v>
                </c:pt>
                <c:pt idx="52">
                  <c:v>1.2355047830188606</c:v>
                </c:pt>
                <c:pt idx="53">
                  <c:v>1.2210565969517011</c:v>
                </c:pt>
                <c:pt idx="54">
                  <c:v>1.220873756301794</c:v>
                </c:pt>
                <c:pt idx="55">
                  <c:v>1.2116071164610702</c:v>
                </c:pt>
                <c:pt idx="56">
                  <c:v>1.2025517830869037</c:v>
                </c:pt>
                <c:pt idx="57">
                  <c:v>1.1937007016724182</c:v>
                </c:pt>
                <c:pt idx="58">
                  <c:v>1.1850471197972197</c:v>
                </c:pt>
                <c:pt idx="59">
                  <c:v>1.1765845713935514</c:v>
                </c:pt>
                <c:pt idx="60">
                  <c:v>1.1763942312028872</c:v>
                </c:pt>
                <c:pt idx="61">
                  <c:v>1.1673314203907379</c:v>
                </c:pt>
                <c:pt idx="62">
                  <c:v>1.1584507785239366</c:v>
                </c:pt>
                <c:pt idx="63">
                  <c:v>1.1497470050031104</c:v>
                </c:pt>
                <c:pt idx="64">
                  <c:v>1.1412149961485643</c:v>
                </c:pt>
                <c:pt idx="65">
                  <c:v>1.1328498363263992</c:v>
                </c:pt>
                <c:pt idx="66">
                  <c:v>1.1326369685317048</c:v>
                </c:pt>
                <c:pt idx="67">
                  <c:v>1.1219251501846381</c:v>
                </c:pt>
                <c:pt idx="68">
                  <c:v>1.1114353994032211</c:v>
                </c:pt>
                <c:pt idx="69">
                  <c:v>1.1011611875017506</c:v>
                </c:pt>
                <c:pt idx="70">
                  <c:v>1.091096228771895</c:v>
                </c:pt>
                <c:pt idx="71">
                  <c:v>1.0812344695780272</c:v>
                </c:pt>
                <c:pt idx="72">
                  <c:v>1.0809856063702172</c:v>
                </c:pt>
                <c:pt idx="73">
                  <c:v>1.0668662482061024</c:v>
                </c:pt>
                <c:pt idx="74">
                  <c:v>1.053076586004515</c:v>
                </c:pt>
                <c:pt idx="75">
                  <c:v>1.0396060439686128</c:v>
                </c:pt>
                <c:pt idx="76">
                  <c:v>1.0264444699325901</c:v>
                </c:pt>
                <c:pt idx="77">
                  <c:v>1.0135821150919877</c:v>
                </c:pt>
                <c:pt idx="78">
                  <c:v>1.0132770945118497</c:v>
                </c:pt>
                <c:pt idx="79">
                  <c:v>0.99246053139546864</c:v>
                </c:pt>
                <c:pt idx="80">
                  <c:v>0.972255025231192</c:v>
                </c:pt>
                <c:pt idx="81">
                  <c:v>0.952637040123406</c:v>
                </c:pt>
                <c:pt idx="82">
                  <c:v>0.93358414799562506</c:v>
                </c:pt>
                <c:pt idx="83">
                  <c:v>0.91507496722880266</c:v>
                </c:pt>
                <c:pt idx="84">
                  <c:v>0.91468639373538851</c:v>
                </c:pt>
                <c:pt idx="85">
                  <c:v>0.87836114400434429</c:v>
                </c:pt>
                <c:pt idx="86">
                  <c:v>0.84364969627288466</c:v>
                </c:pt>
                <c:pt idx="87">
                  <c:v>0.81046388024806459</c:v>
                </c:pt>
                <c:pt idx="88">
                  <c:v>0.77872120541533407</c:v>
                </c:pt>
                <c:pt idx="89">
                  <c:v>0.74834444113176091</c:v>
                </c:pt>
                <c:pt idx="90">
                  <c:v>0.74783229530016304</c:v>
                </c:pt>
                <c:pt idx="91">
                  <c:v>0.66170019431361604</c:v>
                </c:pt>
                <c:pt idx="92">
                  <c:v>0.58407286211823228</c:v>
                </c:pt>
                <c:pt idx="93">
                  <c:v>0.51400114756158333</c:v>
                </c:pt>
                <c:pt idx="94">
                  <c:v>0.45065376444793065</c:v>
                </c:pt>
                <c:pt idx="95">
                  <c:v>0.3933012100863606</c:v>
                </c:pt>
                <c:pt idx="96">
                  <c:v>0.39269120750799652</c:v>
                </c:pt>
                <c:pt idx="97">
                  <c:v>6.5276124258884405E-2</c:v>
                </c:pt>
                <c:pt idx="98">
                  <c:v>-0.1066039971198095</c:v>
                </c:pt>
                <c:pt idx="99">
                  <c:v>-0.19887689880573939</c:v>
                </c:pt>
                <c:pt idx="100">
                  <c:v>-0.24944550336406385</c:v>
                </c:pt>
                <c:pt idx="101">
                  <c:v>-0.27769191009744781</c:v>
                </c:pt>
                <c:pt idx="102">
                  <c:v>-0.29375049948740045</c:v>
                </c:pt>
                <c:pt idx="103">
                  <c:v>-0.30303075726923107</c:v>
                </c:pt>
                <c:pt idx="104">
                  <c:v>-0.30847603302527077</c:v>
                </c:pt>
                <c:pt idx="105">
                  <c:v>-0.31171667659929553</c:v>
                </c:pt>
                <c:pt idx="106">
                  <c:v>-0.31367091978899481</c:v>
                </c:pt>
                <c:pt idx="107">
                  <c:v>-0.3148640327509698</c:v>
                </c:pt>
                <c:pt idx="108">
                  <c:v>-0.31560090292331028</c:v>
                </c:pt>
                <c:pt idx="109">
                  <c:v>-0.31688026633973526</c:v>
                </c:pt>
              </c:numCache>
            </c:numRef>
          </c:xVal>
          <c:yVal>
            <c:numRef>
              <c:f>'Up-Auswert'!$G$5:$G$114</c:f>
              <c:numCache>
                <c:formatCode>General</c:formatCode>
                <c:ptCount val="110"/>
                <c:pt idx="0">
                  <c:v>-2</c:v>
                </c:pt>
                <c:pt idx="1">
                  <c:v>-1.8968178802628624</c:v>
                </c:pt>
                <c:pt idx="2">
                  <c:v>-1.7949991349025642</c:v>
                </c:pt>
                <c:pt idx="3">
                  <c:v>-1.6945247289474177</c:v>
                </c:pt>
                <c:pt idx="4">
                  <c:v>-1.5953759074924685</c:v>
                </c:pt>
                <c:pt idx="5">
                  <c:v>-1.4975341913674889</c:v>
                </c:pt>
                <c:pt idx="6">
                  <c:v>-1.4616059968439361</c:v>
                </c:pt>
                <c:pt idx="7">
                  <c:v>-1.3533235142274957</c:v>
                </c:pt>
                <c:pt idx="8">
                  <c:v>-1.2471875752647004</c:v>
                </c:pt>
                <c:pt idx="9">
                  <c:v>-1.1431504149115832</c:v>
                </c:pt>
                <c:pt idx="10">
                  <c:v>-1.0411654475474479</c:v>
                </c:pt>
                <c:pt idx="11">
                  <c:v>-0.94118723497298507</c:v>
                </c:pt>
                <c:pt idx="12">
                  <c:v>-0.9300191867885288</c:v>
                </c:pt>
                <c:pt idx="13">
                  <c:v>-0.87544430548477392</c:v>
                </c:pt>
                <c:pt idx="14">
                  <c:v>-0.8216911851640174</c:v>
                </c:pt>
                <c:pt idx="15">
                  <c:v>-0.76874525219693579</c:v>
                </c:pt>
                <c:pt idx="16">
                  <c:v>-0.71659223065466837</c:v>
                </c:pt>
                <c:pt idx="17">
                  <c:v>-0.66521813542682273</c:v>
                </c:pt>
                <c:pt idx="18">
                  <c:v>-0.66000334397618832</c:v>
                </c:pt>
                <c:pt idx="19">
                  <c:v>-0.62582507388283803</c:v>
                </c:pt>
                <c:pt idx="20">
                  <c:v>-0.5921133498016381</c:v>
                </c:pt>
                <c:pt idx="21">
                  <c:v>-0.55886042330665475</c:v>
                </c:pt>
                <c:pt idx="22">
                  <c:v>-0.52605869770430425</c:v>
                </c:pt>
                <c:pt idx="23">
                  <c:v>-0.49370072461216058</c:v>
                </c:pt>
                <c:pt idx="24">
                  <c:v>-0.49075210650337675</c:v>
                </c:pt>
                <c:pt idx="25">
                  <c:v>-0.46597503402345153</c:v>
                </c:pt>
                <c:pt idx="26">
                  <c:v>-0.44153930696084859</c:v>
                </c:pt>
                <c:pt idx="27">
                  <c:v>-0.41743908070817526</c:v>
                </c:pt>
                <c:pt idx="28">
                  <c:v>-0.3936686303807545</c:v>
                </c:pt>
                <c:pt idx="29">
                  <c:v>-0.37022234796366915</c:v>
                </c:pt>
                <c:pt idx="30">
                  <c:v>-0.36836040959450267</c:v>
                </c:pt>
                <c:pt idx="31">
                  <c:v>-0.34842296592120786</c:v>
                </c:pt>
                <c:pt idx="32">
                  <c:v>-0.32878419770407136</c:v>
                </c:pt>
                <c:pt idx="33">
                  <c:v>-0.30943846414548914</c:v>
                </c:pt>
                <c:pt idx="34">
                  <c:v>-0.29038025309686788</c:v>
                </c:pt>
                <c:pt idx="35">
                  <c:v>-0.27160417762364919</c:v>
                </c:pt>
                <c:pt idx="36">
                  <c:v>-0.27035186996590999</c:v>
                </c:pt>
                <c:pt idx="37">
                  <c:v>-0.25248853155118994</c:v>
                </c:pt>
                <c:pt idx="38">
                  <c:v>-0.23493875731383146</c:v>
                </c:pt>
                <c:pt idx="39">
                  <c:v>-0.21769554450482437</c:v>
                </c:pt>
                <c:pt idx="40">
                  <c:v>-0.20075208032068487</c:v>
                </c:pt>
                <c:pt idx="41">
                  <c:v>-0.18410173584976314</c:v>
                </c:pt>
                <c:pt idx="42">
                  <c:v>-0.18321833372345783</c:v>
                </c:pt>
                <c:pt idx="43">
                  <c:v>-0.1637470640079654</c:v>
                </c:pt>
                <c:pt idx="44">
                  <c:v>-0.1447506491952176</c:v>
                </c:pt>
                <c:pt idx="45">
                  <c:v>-0.12621428498346554</c:v>
                </c:pt>
                <c:pt idx="46">
                  <c:v>-0.10812372905580411</c:v>
                </c:pt>
                <c:pt idx="47">
                  <c:v>-9.0465275988421356E-2</c:v>
                </c:pt>
                <c:pt idx="48">
                  <c:v>-8.9833694127449598E-2</c:v>
                </c:pt>
                <c:pt idx="49">
                  <c:v>-4.9281460304221598E-2</c:v>
                </c:pt>
                <c:pt idx="50">
                  <c:v>-1.1270737591883948E-2</c:v>
                </c:pt>
                <c:pt idx="51">
                  <c:v>2.440061953052329E-2</c:v>
                </c:pt>
                <c:pt idx="52">
                  <c:v>5.7915337663080907E-2</c:v>
                </c:pt>
                <c:pt idx="53">
                  <c:v>8.9438899160411395E-2</c:v>
                </c:pt>
                <c:pt idx="54">
                  <c:v>8.983369412744896E-2</c:v>
                </c:pt>
                <c:pt idx="55">
                  <c:v>0.10972574027927783</c:v>
                </c:pt>
                <c:pt idx="56">
                  <c:v>0.12894303757752457</c:v>
                </c:pt>
                <c:pt idx="57">
                  <c:v>0.14751470214819018</c:v>
                </c:pt>
                <c:pt idx="58">
                  <c:v>0.16546832427021016</c:v>
                </c:pt>
                <c:pt idx="59">
                  <c:v>0.18283006216873993</c:v>
                </c:pt>
                <c:pt idx="60">
                  <c:v>0.18321833372345658</c:v>
                </c:pt>
                <c:pt idx="61">
                  <c:v>0.20161288091022961</c:v>
                </c:pt>
                <c:pt idx="62">
                  <c:v>0.2194621915562649</c:v>
                </c:pt>
                <c:pt idx="63">
                  <c:v>0.23678668348313839</c:v>
                </c:pt>
                <c:pt idx="64">
                  <c:v>0.25360584890502491</c:v>
                </c:pt>
                <c:pt idx="65">
                  <c:v>0.2699383035629101</c:v>
                </c:pt>
                <c:pt idx="66">
                  <c:v>0.27035186996590721</c:v>
                </c:pt>
                <c:pt idx="67">
                  <c:v>0.29106116644553909</c:v>
                </c:pt>
                <c:pt idx="68">
                  <c:v>0.31114770165952876</c:v>
                </c:pt>
                <c:pt idx="69">
                  <c:v>0.33063487128411401</c:v>
                </c:pt>
                <c:pt idx="70">
                  <c:v>0.34954501402023319</c:v>
                </c:pt>
                <c:pt idx="71">
                  <c:v>0.36789946726540351</c:v>
                </c:pt>
                <c:pt idx="72">
                  <c:v>0.36836040959450045</c:v>
                </c:pt>
                <c:pt idx="73">
                  <c:v>0.39437987858658907</c:v>
                </c:pt>
                <c:pt idx="74">
                  <c:v>0.41954105009889725</c:v>
                </c:pt>
                <c:pt idx="75">
                  <c:v>0.44387871524530664</c:v>
                </c:pt>
                <c:pt idx="76">
                  <c:v>0.46742598710495753</c:v>
                </c:pt>
                <c:pt idx="77">
                  <c:v>0.49021439439890285</c:v>
                </c:pt>
                <c:pt idx="78">
                  <c:v>0.49075210650337203</c:v>
                </c:pt>
                <c:pt idx="79">
                  <c:v>0.52724620792734367</c:v>
                </c:pt>
                <c:pt idx="80">
                  <c:v>0.56228586223202304</c:v>
                </c:pt>
                <c:pt idx="81">
                  <c:v>0.59594062305293138</c:v>
                </c:pt>
                <c:pt idx="82">
                  <c:v>0.62827615116298197</c:v>
                </c:pt>
                <c:pt idx="83">
                  <c:v>0.65935446373859885</c:v>
                </c:pt>
                <c:pt idx="84">
                  <c:v>0.66000334397620031</c:v>
                </c:pt>
                <c:pt idx="85">
                  <c:v>0.72026261949481429</c:v>
                </c:pt>
                <c:pt idx="86">
                  <c:v>0.77709651892607012</c:v>
                </c:pt>
                <c:pt idx="87">
                  <c:v>0.830730544219763</c:v>
                </c:pt>
                <c:pt idx="88">
                  <c:v>0.88137328021327521</c:v>
                </c:pt>
                <c:pt idx="89">
                  <c:v>0.9292178180874564</c:v>
                </c:pt>
                <c:pt idx="90">
                  <c:v>0.93001918678853923</c:v>
                </c:pt>
                <c:pt idx="91">
                  <c:v>1.0634849698771114</c:v>
                </c:pt>
                <c:pt idx="92">
                  <c:v>1.1814432358057054</c:v>
                </c:pt>
                <c:pt idx="93">
                  <c:v>1.285874490186222</c:v>
                </c:pt>
                <c:pt idx="94">
                  <c:v>1.3784832400616556</c:v>
                </c:pt>
                <c:pt idx="95">
                  <c:v>1.4607396457471098</c:v>
                </c:pt>
                <c:pt idx="96">
                  <c:v>1.4616059968409489</c:v>
                </c:pt>
                <c:pt idx="97">
                  <c:v>1.9156788438393244</c:v>
                </c:pt>
                <c:pt idx="98">
                  <c:v>2.1417507717340643</c:v>
                </c:pt>
                <c:pt idx="99">
                  <c:v>2.2569406249436406</c:v>
                </c:pt>
                <c:pt idx="100">
                  <c:v>2.3168919636073015</c:v>
                </c:pt>
                <c:pt idx="101">
                  <c:v>2.3487086755816109</c:v>
                </c:pt>
                <c:pt idx="102">
                  <c:v>2.3659000314908782</c:v>
                </c:pt>
                <c:pt idx="103">
                  <c:v>2.3753439431219769</c:v>
                </c:pt>
                <c:pt idx="104">
                  <c:v>2.3806116601782659</c:v>
                </c:pt>
                <c:pt idx="105">
                  <c:v>2.3835916133479675</c:v>
                </c:pt>
                <c:pt idx="106">
                  <c:v>2.3852994261211222</c:v>
                </c:pt>
                <c:pt idx="107">
                  <c:v>2.3862899759600209</c:v>
                </c:pt>
                <c:pt idx="108">
                  <c:v>2.3868708852374607</c:v>
                </c:pt>
                <c:pt idx="109">
                  <c:v>2.3877418376208901</c:v>
                </c:pt>
              </c:numCache>
            </c:numRef>
          </c:yVal>
        </c:ser>
        <c:ser>
          <c:idx val="2"/>
          <c:order val="2"/>
          <c:tx>
            <c:v>Vmax</c:v>
          </c:tx>
          <c:marker>
            <c:symbol val="none"/>
          </c:marker>
          <c:xVal>
            <c:numRef>
              <c:f>'Up-Auswert'!$I$5:$I$114</c:f>
              <c:numCache>
                <c:formatCode>General</c:formatCode>
                <c:ptCount val="110"/>
                <c:pt idx="0">
                  <c:v>2</c:v>
                </c:pt>
                <c:pt idx="1">
                  <c:v>1.9607392871772793</c:v>
                </c:pt>
                <c:pt idx="2">
                  <c:v>1.9219188749606184</c:v>
                </c:pt>
                <c:pt idx="3">
                  <c:v>1.8835335248860283</c:v>
                </c:pt>
                <c:pt idx="4">
                  <c:v>1.8455780644037489</c:v>
                </c:pt>
                <c:pt idx="5">
                  <c:v>1.8080473860035193</c:v>
                </c:pt>
                <c:pt idx="6">
                  <c:v>1.7937879352403632</c:v>
                </c:pt>
                <c:pt idx="7">
                  <c:v>1.7523744361905946</c:v>
                </c:pt>
                <c:pt idx="8">
                  <c:v>1.7115976644496023</c:v>
                </c:pt>
                <c:pt idx="9">
                  <c:v>1.6714463997877729</c:v>
                </c:pt>
                <c:pt idx="10">
                  <c:v>1.6319096448431303</c:v>
                </c:pt>
                <c:pt idx="11">
                  <c:v>1.5929766201967588</c:v>
                </c:pt>
                <c:pt idx="12">
                  <c:v>1.5884407840204278</c:v>
                </c:pt>
                <c:pt idx="13">
                  <c:v>1.5672806848095824</c:v>
                </c:pt>
                <c:pt idx="14">
                  <c:v>1.5463479479417461</c:v>
                </c:pt>
                <c:pt idx="15">
                  <c:v>1.525639562117397</c:v>
                </c:pt>
                <c:pt idx="16">
                  <c:v>1.5051525633361573</c:v>
                </c:pt>
                <c:pt idx="17">
                  <c:v>1.4848840340383631</c:v>
                </c:pt>
                <c:pt idx="18">
                  <c:v>1.4827186402914077</c:v>
                </c:pt>
                <c:pt idx="19">
                  <c:v>1.4692770178756727</c:v>
                </c:pt>
                <c:pt idx="20">
                  <c:v>1.4559583042605608</c:v>
                </c:pt>
                <c:pt idx="21">
                  <c:v>1.4427610331037304</c:v>
                </c:pt>
                <c:pt idx="22">
                  <c:v>1.4296837595187797</c:v>
                </c:pt>
                <c:pt idx="23">
                  <c:v>1.4167250597039538</c:v>
                </c:pt>
                <c:pt idx="24">
                  <c:v>1.4154721215482111</c:v>
                </c:pt>
                <c:pt idx="25">
                  <c:v>1.4055775448978807</c:v>
                </c:pt>
                <c:pt idx="26">
                  <c:v>1.3957700914226077</c:v>
                </c:pt>
                <c:pt idx="27">
                  <c:v>1.3860487174146896</c:v>
                </c:pt>
                <c:pt idx="28">
                  <c:v>1.376412394832162</c:v>
                </c:pt>
                <c:pt idx="29">
                  <c:v>1.3668601110167533</c:v>
                </c:pt>
                <c:pt idx="30">
                  <c:v>1.3660486103180955</c:v>
                </c:pt>
                <c:pt idx="31">
                  <c:v>1.3579499186971702</c:v>
                </c:pt>
                <c:pt idx="32">
                  <c:v>1.3499259920531277</c:v>
                </c:pt>
                <c:pt idx="33">
                  <c:v>1.3419758615692314</c:v>
                </c:pt>
                <c:pt idx="34">
                  <c:v>1.3340985743776481</c:v>
                </c:pt>
                <c:pt idx="35">
                  <c:v>1.3262931932416466</c:v>
                </c:pt>
                <c:pt idx="36">
                  <c:v>1.325731190021971</c:v>
                </c:pt>
                <c:pt idx="37">
                  <c:v>1.3183313442207412</c:v>
                </c:pt>
                <c:pt idx="38">
                  <c:v>1.3110092334837102</c:v>
                </c:pt>
                <c:pt idx="39">
                  <c:v>1.3037636852147692</c:v>
                </c:pt>
                <c:pt idx="40">
                  <c:v>1.2965935494848957</c:v>
                </c:pt>
                <c:pt idx="41">
                  <c:v>1.2894976984988196</c:v>
                </c:pt>
                <c:pt idx="42">
                  <c:v>1.2890868023633295</c:v>
                </c:pt>
                <c:pt idx="43">
                  <c:v>1.2808299505046885</c:v>
                </c:pt>
                <c:pt idx="44">
                  <c:v>1.2726904967194723</c:v>
                </c:pt>
                <c:pt idx="45">
                  <c:v>1.2646660045786431</c:v>
                </c:pt>
                <c:pt idx="46">
                  <c:v>1.2567541027508704</c:v>
                </c:pt>
                <c:pt idx="47">
                  <c:v>1.2489524828798444</c:v>
                </c:pt>
                <c:pt idx="48">
                  <c:v>1.2486431633434441</c:v>
                </c:pt>
                <c:pt idx="49">
                  <c:v>1.2309545282006908</c:v>
                </c:pt>
                <c:pt idx="50">
                  <c:v>1.2138925378064374</c:v>
                </c:pt>
                <c:pt idx="51">
                  <c:v>1.1974246379965465</c:v>
                </c:pt>
                <c:pt idx="52">
                  <c:v>1.1815204400058905</c:v>
                </c:pt>
                <c:pt idx="53">
                  <c:v>1.1661515457825429</c:v>
                </c:pt>
                <c:pt idx="54">
                  <c:v>1.1659292672156862</c:v>
                </c:pt>
                <c:pt idx="55">
                  <c:v>1.1564190557287399</c:v>
                </c:pt>
                <c:pt idx="56">
                  <c:v>1.1470853319129977</c:v>
                </c:pt>
                <c:pt idx="57">
                  <c:v>1.1379232754763944</c:v>
                </c:pt>
                <c:pt idx="58">
                  <c:v>1.128928235287878</c:v>
                </c:pt>
                <c:pt idx="59">
                  <c:v>1.1200957221434658</c:v>
                </c:pt>
                <c:pt idx="60">
                  <c:v>1.1198593981585911</c:v>
                </c:pt>
                <c:pt idx="61">
                  <c:v>1.110648466762427</c:v>
                </c:pt>
                <c:pt idx="62">
                  <c:v>1.1015850826606803</c:v>
                </c:pt>
                <c:pt idx="63">
                  <c:v>1.0926658101950195</c:v>
                </c:pt>
                <c:pt idx="64">
                  <c:v>1.0838873160201594</c:v>
                </c:pt>
                <c:pt idx="65">
                  <c:v>1.075246365401658</c:v>
                </c:pt>
                <c:pt idx="66">
                  <c:v>1.0749766526375419</c:v>
                </c:pt>
                <c:pt idx="67">
                  <c:v>1.0642086674794842</c:v>
                </c:pt>
                <c:pt idx="68">
                  <c:v>1.0536147409646097</c:v>
                </c:pt>
                <c:pt idx="69">
                  <c:v>1.0431908698935586</c:v>
                </c:pt>
                <c:pt idx="70">
                  <c:v>1.0329331678297691</c:v>
                </c:pt>
                <c:pt idx="71">
                  <c:v>1.0228378609853133</c:v>
                </c:pt>
                <c:pt idx="72">
                  <c:v>1.0225152913504798</c:v>
                </c:pt>
                <c:pt idx="73">
                  <c:v>1.0085070427492531</c:v>
                </c:pt>
                <c:pt idx="74">
                  <c:v>0.99474734674042276</c:v>
                </c:pt>
                <c:pt idx="75">
                  <c:v>0.9812301293763438</c:v>
                </c:pt>
                <c:pt idx="76">
                  <c:v>0.96794950243358968</c:v>
                </c:pt>
                <c:pt idx="77">
                  <c:v>0.95489975661631699</c:v>
                </c:pt>
                <c:pt idx="78">
                  <c:v>0.95449318735311561</c:v>
                </c:pt>
                <c:pt idx="79">
                  <c:v>0.93419658058730903</c:v>
                </c:pt>
                <c:pt idx="80">
                  <c:v>0.91433747042319247</c:v>
                </c:pt>
                <c:pt idx="81">
                  <c:v>0.89490345499526003</c:v>
                </c:pt>
                <c:pt idx="82">
                  <c:v>0.87588256304991208</c:v>
                </c:pt>
                <c:pt idx="83">
                  <c:v>0.85726323631111423</c:v>
                </c:pt>
                <c:pt idx="84">
                  <c:v>0.85672468051866613</c:v>
                </c:pt>
                <c:pt idx="85">
                  <c:v>0.8222948689832974</c:v>
                </c:pt>
                <c:pt idx="86">
                  <c:v>0.78892887702124925</c:v>
                </c:pt>
                <c:pt idx="87">
                  <c:v>0.75658616426512504</c:v>
                </c:pt>
                <c:pt idx="88">
                  <c:v>0.72522801739355758</c:v>
                </c:pt>
                <c:pt idx="89">
                  <c:v>0.69481745534914174</c:v>
                </c:pt>
                <c:pt idx="90">
                  <c:v>0.69405740455798248</c:v>
                </c:pt>
                <c:pt idx="91">
                  <c:v>0.61837646433125237</c:v>
                </c:pt>
                <c:pt idx="92">
                  <c:v>0.54727488885145115</c:v>
                </c:pt>
                <c:pt idx="93">
                  <c:v>0.48043766668069665</c:v>
                </c:pt>
                <c:pt idx="94">
                  <c:v>0.41757403354528039</c:v>
                </c:pt>
                <c:pt idx="95">
                  <c:v>0.35841541049440345</c:v>
                </c:pt>
                <c:pt idx="96">
                  <c:v>0.3573092436370785</c:v>
                </c:pt>
                <c:pt idx="97">
                  <c:v>0.32567748807861679</c:v>
                </c:pt>
                <c:pt idx="98">
                  <c:v>0.29491367065386243</c:v>
                </c:pt>
                <c:pt idx="99">
                  <c:v>0.26499264657195326</c:v>
                </c:pt>
                <c:pt idx="100">
                  <c:v>0.23589003843452042</c:v>
                </c:pt>
                <c:pt idx="101">
                  <c:v>0.20758221161867604</c:v>
                </c:pt>
                <c:pt idx="102">
                  <c:v>0.18004625048827172</c:v>
                </c:pt>
                <c:pt idx="103">
                  <c:v>0.15325993540427438</c:v>
                </c:pt>
                <c:pt idx="104">
                  <c:v>0.12720172050612807</c:v>
                </c:pt>
                <c:pt idx="105">
                  <c:v>0.10185071223710157</c:v>
                </c:pt>
                <c:pt idx="106">
                  <c:v>7.7186648587474982E-2</c:v>
                </c:pt>
                <c:pt idx="107">
                  <c:v>5.3189879030485998E-2</c:v>
                </c:pt>
                <c:pt idx="108">
                  <c:v>2.9841345126816909E-2</c:v>
                </c:pt>
                <c:pt idx="109">
                  <c:v>-0.86212979679112645</c:v>
                </c:pt>
              </c:numCache>
            </c:numRef>
          </c:xVal>
          <c:yVal>
            <c:numRef>
              <c:f>'Up-Auswert'!$J$5:$J$114</c:f>
              <c:numCache>
                <c:formatCode>General</c:formatCode>
                <c:ptCount val="110"/>
                <c:pt idx="0">
                  <c:v>-2</c:v>
                </c:pt>
                <c:pt idx="1">
                  <c:v>-1.897321510063317</c:v>
                </c:pt>
                <c:pt idx="2">
                  <c:v>-1.7958739654169773</c:v>
                </c:pt>
                <c:pt idx="3">
                  <c:v>-1.6956417784867963</c:v>
                </c:pt>
                <c:pt idx="4">
                  <c:v>-1.5966095696598863</c:v>
                </c:pt>
                <c:pt idx="5">
                  <c:v>-1.4987621643684439</c:v>
                </c:pt>
                <c:pt idx="6">
                  <c:v>-1.4616059968426138</c:v>
                </c:pt>
                <c:pt idx="7">
                  <c:v>-1.3538467376596357</c:v>
                </c:pt>
                <c:pt idx="8">
                  <c:v>-1.2480133148943382</c:v>
                </c:pt>
                <c:pt idx="9">
                  <c:v>-1.1440671110524416</c:v>
                </c:pt>
                <c:pt idx="10">
                  <c:v>-1.0419703678095225</c:v>
                </c:pt>
                <c:pt idx="11">
                  <c:v>-0.94168616500588598</c:v>
                </c:pt>
                <c:pt idx="12">
                  <c:v>-0.9300191867885631</c:v>
                </c:pt>
                <c:pt idx="13">
                  <c:v>-0.87567440769481542</c:v>
                </c:pt>
                <c:pt idx="14">
                  <c:v>-0.82206115528833024</c:v>
                </c:pt>
                <c:pt idx="15">
                  <c:v>-0.76916783756962392</c:v>
                </c:pt>
                <c:pt idx="16">
                  <c:v>-0.71698307411794504</c:v>
                </c:pt>
                <c:pt idx="17">
                  <c:v>-0.66549569172040468</c:v>
                </c:pt>
                <c:pt idx="18">
                  <c:v>-0.66000334397619587</c:v>
                </c:pt>
                <c:pt idx="19">
                  <c:v>-0.62596597446032243</c:v>
                </c:pt>
                <c:pt idx="20">
                  <c:v>-0.59234117105087569</c:v>
                </c:pt>
                <c:pt idx="21">
                  <c:v>-0.55912285229764391</c:v>
                </c:pt>
                <c:pt idx="22">
                  <c:v>-0.52630504246296661</c:v>
                </c:pt>
                <c:pt idx="23">
                  <c:v>-0.49388186940536011</c:v>
                </c:pt>
                <c:pt idx="24">
                  <c:v>-0.49075210650337392</c:v>
                </c:pt>
                <c:pt idx="25">
                  <c:v>-0.46608144797585993</c:v>
                </c:pt>
                <c:pt idx="26">
                  <c:v>-0.44171069673760183</c:v>
                </c:pt>
                <c:pt idx="27">
                  <c:v>-0.4176353233494331</c:v>
                </c:pt>
                <c:pt idx="28">
                  <c:v>-0.39385088023459891</c:v>
                </c:pt>
                <c:pt idx="29">
                  <c:v>-0.37035299995700732</c:v>
                </c:pt>
                <c:pt idx="30">
                  <c:v>-0.36836040959449923</c:v>
                </c:pt>
                <c:pt idx="31">
                  <c:v>-0.34851659285788883</c:v>
                </c:pt>
                <c:pt idx="32">
                  <c:v>-0.32893337482800528</c:v>
                </c:pt>
                <c:pt idx="33">
                  <c:v>-0.30960644220857153</c:v>
                </c:pt>
                <c:pt idx="34">
                  <c:v>-0.29053156795359592</c:v>
                </c:pt>
                <c:pt idx="35">
                  <c:v>-0.27170460924734202</c:v>
                </c:pt>
                <c:pt idx="36">
                  <c:v>-0.27035186996591054</c:v>
                </c:pt>
                <c:pt idx="37">
                  <c:v>-0.25258595226379238</c:v>
                </c:pt>
                <c:pt idx="38">
                  <c:v>-0.23509137693445056</c:v>
                </c:pt>
                <c:pt idx="39">
                  <c:v>-0.21786287203624349</c:v>
                </c:pt>
                <c:pt idx="40">
                  <c:v>-0.20089529011167298</c:v>
                </c:pt>
                <c:pt idx="41">
                  <c:v>-0.18418360473159451</c:v>
                </c:pt>
                <c:pt idx="42">
                  <c:v>-0.18321833372345828</c:v>
                </c:pt>
                <c:pt idx="43">
                  <c:v>-0.16389109868576687</c:v>
                </c:pt>
                <c:pt idx="44">
                  <c:v>-0.14496994289945794</c:v>
                </c:pt>
                <c:pt idx="45">
                  <c:v>-0.12644395690981503</c:v>
                </c:pt>
                <c:pt idx="46">
                  <c:v>-0.10830258848361077</c:v>
                </c:pt>
                <c:pt idx="47">
                  <c:v>-9.0535628838749244E-2</c:v>
                </c:pt>
                <c:pt idx="48">
                  <c:v>-8.9833694127448668E-2</c:v>
                </c:pt>
                <c:pt idx="49">
                  <c:v>-5.0062147031548508E-2</c:v>
                </c:pt>
                <c:pt idx="50">
                  <c:v>-1.2391222660792844E-2</c:v>
                </c:pt>
                <c:pt idx="51">
                  <c:v>2.3320182432856329E-2</c:v>
                </c:pt>
                <c:pt idx="52">
                  <c:v>5.7201691250136535E-2</c:v>
                </c:pt>
                <c:pt idx="53">
                  <c:v>8.9372538173102492E-2</c:v>
                </c:pt>
                <c:pt idx="54">
                  <c:v>8.9833694127448668E-2</c:v>
                </c:pt>
                <c:pt idx="55">
                  <c:v>0.10946916907155115</c:v>
                </c:pt>
                <c:pt idx="56">
                  <c:v>0.12855974126331332</c:v>
                </c:pt>
                <c:pt idx="57">
                  <c:v>0.1471246669635895</c:v>
                </c:pt>
                <c:pt idx="58">
                  <c:v>0.16518237450163431</c:v>
                </c:pt>
                <c:pt idx="59">
                  <c:v>0.18275050610022334</c:v>
                </c:pt>
                <c:pt idx="60">
                  <c:v>0.18321833372345619</c:v>
                </c:pt>
                <c:pt idx="61">
                  <c:v>0.20137857189616218</c:v>
                </c:pt>
                <c:pt idx="62">
                  <c:v>0.2191080182594681</c:v>
                </c:pt>
                <c:pt idx="63">
                  <c:v>0.23641959613864588</c:v>
                </c:pt>
                <c:pt idx="64">
                  <c:v>0.25332575875509983</c:v>
                </c:pt>
                <c:pt idx="65">
                  <c:v>0.26983850928223246</c:v>
                </c:pt>
                <c:pt idx="66">
                  <c:v>0.27035186996590721</c:v>
                </c:pt>
                <c:pt idx="67">
                  <c:v>0.29076801060821172</c:v>
                </c:pt>
                <c:pt idx="68">
                  <c:v>0.31070391932503011</c:v>
                </c:pt>
                <c:pt idx="69">
                  <c:v>0.33017372555460489</c:v>
                </c:pt>
                <c:pt idx="70">
                  <c:v>0.34919105794064959</c:v>
                </c:pt>
                <c:pt idx="71">
                  <c:v>0.36776906506068663</c:v>
                </c:pt>
                <c:pt idx="72">
                  <c:v>0.36836040959449989</c:v>
                </c:pt>
                <c:pt idx="73">
                  <c:v>0.39394123320966645</c:v>
                </c:pt>
                <c:pt idx="74">
                  <c:v>0.41887953643425158</c:v>
                </c:pt>
                <c:pt idx="75">
                  <c:v>0.44319518382830136</c:v>
                </c:pt>
                <c:pt idx="76">
                  <c:v>0.46690730780634154</c:v>
                </c:pt>
                <c:pt idx="77">
                  <c:v>0.49003433992916912</c:v>
                </c:pt>
                <c:pt idx="78">
                  <c:v>0.49075210650337242</c:v>
                </c:pt>
                <c:pt idx="79">
                  <c:v>0.52643826789213788</c:v>
                </c:pt>
                <c:pt idx="80">
                  <c:v>0.56107901452476749</c:v>
                </c:pt>
                <c:pt idx="81">
                  <c:v>0.59471118134937972</c:v>
                </c:pt>
                <c:pt idx="82">
                  <c:v>0.62737008081216872</c:v>
                </c:pt>
                <c:pt idx="83">
                  <c:v>0.65908957501538501</c:v>
                </c:pt>
                <c:pt idx="84">
                  <c:v>0.66000334397619886</c:v>
                </c:pt>
                <c:pt idx="85">
                  <c:v>0.718153386779259</c:v>
                </c:pt>
                <c:pt idx="86">
                  <c:v>0.77400371686874647</c:v>
                </c:pt>
                <c:pt idx="87">
                  <c:v>0.82766004304895435</c:v>
                </c:pt>
                <c:pt idx="88">
                  <c:v>0.87922251916205729</c:v>
                </c:pt>
                <c:pt idx="89">
                  <c:v>0.92878607251282985</c:v>
                </c:pt>
                <c:pt idx="90">
                  <c:v>0.93001918678853812</c:v>
                </c:pt>
                <c:pt idx="91">
                  <c:v>1.0520897689365403</c:v>
                </c:pt>
                <c:pt idx="92">
                  <c:v>1.1654570859038451</c:v>
                </c:pt>
                <c:pt idx="93">
                  <c:v>1.2708075092293645</c:v>
                </c:pt>
                <c:pt idx="94">
                  <c:v>1.3687679969116913</c:v>
                </c:pt>
                <c:pt idx="95">
                  <c:v>1.4599116940720105</c:v>
                </c:pt>
                <c:pt idx="96">
                  <c:v>1.4616059968409492</c:v>
                </c:pt>
                <c:pt idx="97">
                  <c:v>1.5099980782667328</c:v>
                </c:pt>
                <c:pt idx="98">
                  <c:v>1.5569597290494512</c:v>
                </c:pt>
                <c:pt idx="99">
                  <c:v>1.6025353434293925</c:v>
                </c:pt>
                <c:pt idx="100">
                  <c:v>1.6467678712145151</c:v>
                </c:pt>
                <c:pt idx="101">
                  <c:v>1.6896988669714981</c:v>
                </c:pt>
                <c:pt idx="102">
                  <c:v>1.7313685374661092</c:v>
                </c:pt>
                <c:pt idx="103">
                  <c:v>1.7718157874179967</c:v>
                </c:pt>
                <c:pt idx="104">
                  <c:v>1.8110782636323677</c:v>
                </c:pt>
                <c:pt idx="105">
                  <c:v>1.8491923975685345</c:v>
                </c:pt>
                <c:pt idx="106">
                  <c:v>1.8861934464032466</c:v>
                </c:pt>
                <c:pt idx="107">
                  <c:v>1.9221155326442259</c:v>
                </c:pt>
                <c:pt idx="108">
                  <c:v>1.9569916823473363</c:v>
                </c:pt>
                <c:pt idx="109">
                  <c:v>3.1824924335859377</c:v>
                </c:pt>
              </c:numCache>
            </c:numRef>
          </c:yVal>
        </c:ser>
        <c:ser>
          <c:idx val="3"/>
          <c:order val="3"/>
          <c:tx>
            <c:v>Vmin</c:v>
          </c:tx>
          <c:marker>
            <c:symbol val="none"/>
          </c:marker>
          <c:xVal>
            <c:numRef>
              <c:f>'Up-Auswert'!$L$6:$L$122</c:f>
              <c:numCache>
                <c:formatCode>General</c:formatCode>
                <c:ptCount val="117"/>
                <c:pt idx="0">
                  <c:v>2</c:v>
                </c:pt>
                <c:pt idx="1">
                  <c:v>1.9666360805194365</c:v>
                </c:pt>
                <c:pt idx="2">
                  <c:v>1.9337035874816686</c:v>
                </c:pt>
                <c:pt idx="3">
                  <c:v>1.9011965992837196</c:v>
                </c:pt>
                <c:pt idx="4">
                  <c:v>1.869109280316402</c:v>
                </c:pt>
                <c:pt idx="5">
                  <c:v>1.8374358796468591</c:v>
                </c:pt>
                <c:pt idx="6">
                  <c:v>1.8253343653945604</c:v>
                </c:pt>
                <c:pt idx="7">
                  <c:v>1.7900210286821252</c:v>
                </c:pt>
                <c:pt idx="8">
                  <c:v>1.7553431149748719</c:v>
                </c:pt>
                <c:pt idx="9">
                  <c:v>1.7212875212956513</c:v>
                </c:pt>
                <c:pt idx="10">
                  <c:v>1.6878414491506477</c:v>
                </c:pt>
                <c:pt idx="11">
                  <c:v>1.6549923966607749</c:v>
                </c:pt>
                <c:pt idx="12">
                  <c:v>1.6511954061839587</c:v>
                </c:pt>
                <c:pt idx="13">
                  <c:v>1.6331326487736184</c:v>
                </c:pt>
                <c:pt idx="14">
                  <c:v>1.6153005650599723</c:v>
                </c:pt>
                <c:pt idx="15">
                  <c:v>1.5976955302287648</c:v>
                </c:pt>
                <c:pt idx="16">
                  <c:v>1.5803139869553087</c:v>
                </c:pt>
                <c:pt idx="17">
                  <c:v>1.563152443953534</c:v>
                </c:pt>
                <c:pt idx="18">
                  <c:v>1.5613585395936456</c:v>
                </c:pt>
                <c:pt idx="19">
                  <c:v>1.5498589936348113</c:v>
                </c:pt>
                <c:pt idx="20">
                  <c:v>1.5384859997920273</c:v>
                </c:pt>
                <c:pt idx="21">
                  <c:v>1.5272377478784616</c:v>
                </c:pt>
                <c:pt idx="22">
                  <c:v>1.5161124594232582</c:v>
                </c:pt>
                <c:pt idx="23">
                  <c:v>1.5051083870149313</c:v>
                </c:pt>
                <c:pt idx="24">
                  <c:v>1.5040801959525505</c:v>
                </c:pt>
                <c:pt idx="25">
                  <c:v>1.4955895621306845</c:v>
                </c:pt>
                <c:pt idx="26">
                  <c:v>1.4871899466907805</c:v>
                </c:pt>
                <c:pt idx="27">
                  <c:v>1.4788800298394562</c:v>
                </c:pt>
                <c:pt idx="28">
                  <c:v>1.47065851572783</c:v>
                </c:pt>
                <c:pt idx="29">
                  <c:v>1.4625241319309235</c:v>
                </c:pt>
                <c:pt idx="30">
                  <c:v>1.4618646256914121</c:v>
                </c:pt>
                <c:pt idx="31">
                  <c:v>1.4548877790534489</c:v>
                </c:pt>
                <c:pt idx="32">
                  <c:v>1.4479902669453417</c:v>
                </c:pt>
                <c:pt idx="33">
                  <c:v>1.4411708326972008</c:v>
                </c:pt>
                <c:pt idx="34">
                  <c:v>1.4344282448927892</c:v>
                </c:pt>
                <c:pt idx="35">
                  <c:v>1.4277612967559139</c:v>
                </c:pt>
                <c:pt idx="36">
                  <c:v>1.4273094608865726</c:v>
                </c:pt>
                <c:pt idx="37">
                  <c:v>1.4209009936505286</c:v>
                </c:pt>
                <c:pt idx="38">
                  <c:v>1.414576529496804</c:v>
                </c:pt>
                <c:pt idx="39">
                  <c:v>1.4083345017638871</c:v>
                </c:pt>
                <c:pt idx="40">
                  <c:v>1.4021733811806656</c:v>
                </c:pt>
                <c:pt idx="41">
                  <c:v>1.3960916747816385</c:v>
                </c:pt>
                <c:pt idx="42">
                  <c:v>1.3957656183759459</c:v>
                </c:pt>
                <c:pt idx="43">
                  <c:v>1.3885536113981798</c:v>
                </c:pt>
                <c:pt idx="44">
                  <c:v>1.3814717241311527</c:v>
                </c:pt>
                <c:pt idx="45">
                  <c:v>1.3745165669469499</c:v>
                </c:pt>
                <c:pt idx="46">
                  <c:v>1.3676848637019441</c:v>
                </c:pt>
                <c:pt idx="47">
                  <c:v>1.3609734471083326</c:v>
                </c:pt>
                <c:pt idx="48">
                  <c:v>1.3607326427021871</c:v>
                </c:pt>
                <c:pt idx="49">
                  <c:v>1.344827793408893</c:v>
                </c:pt>
                <c:pt idx="50">
                  <c:v>1.3296652658932775</c:v>
                </c:pt>
                <c:pt idx="51">
                  <c:v>1.3151950055317678</c:v>
                </c:pt>
                <c:pt idx="52">
                  <c:v>1.3013712599259171</c:v>
                </c:pt>
                <c:pt idx="53">
                  <c:v>1.2881521325461469</c:v>
                </c:pt>
                <c:pt idx="54">
                  <c:v>1.2879884436857663</c:v>
                </c:pt>
                <c:pt idx="55">
                  <c:v>1.2793261191348009</c:v>
                </c:pt>
                <c:pt idx="56">
                  <c:v>1.2708855128228567</c:v>
                </c:pt>
                <c:pt idx="57">
                  <c:v>1.2626583748821865</c:v>
                </c:pt>
                <c:pt idx="58">
                  <c:v>1.2546368487430728</c:v>
                </c:pt>
                <c:pt idx="59">
                  <c:v>1.246813448358137</c:v>
                </c:pt>
                <c:pt idx="60">
                  <c:v>1.2466453987438619</c:v>
                </c:pt>
                <c:pt idx="61">
                  <c:v>1.2381264983483962</c:v>
                </c:pt>
                <c:pt idx="62">
                  <c:v>1.2298024052286414</c:v>
                </c:pt>
                <c:pt idx="63">
                  <c:v>1.2216667130369057</c:v>
                </c:pt>
                <c:pt idx="64">
                  <c:v>1.2137132840970553</c:v>
                </c:pt>
                <c:pt idx="65">
                  <c:v>1.2059362357542076</c:v>
                </c:pt>
                <c:pt idx="66">
                  <c:v>1.2057508712377385</c:v>
                </c:pt>
                <c:pt idx="67">
                  <c:v>1.1956143939214174</c:v>
                </c:pt>
                <c:pt idx="68">
                  <c:v>1.1857204096861205</c:v>
                </c:pt>
                <c:pt idx="69">
                  <c:v>1.1760607397425538</c:v>
                </c:pt>
                <c:pt idx="70">
                  <c:v>1.1666275540141029</c:v>
                </c:pt>
                <c:pt idx="71">
                  <c:v>1.1574133532323936</c:v>
                </c:pt>
                <c:pt idx="72">
                  <c:v>1.1572000671146074</c:v>
                </c:pt>
                <c:pt idx="73">
                  <c:v>1.1437249713167472</c:v>
                </c:pt>
                <c:pt idx="74">
                  <c:v>1.1306192767309975</c:v>
                </c:pt>
                <c:pt idx="75">
                  <c:v>1.1178691399167484</c:v>
                </c:pt>
                <c:pt idx="76">
                  <c:v>1.1054613641504243</c:v>
                </c:pt>
                <c:pt idx="77">
                  <c:v>1.0933833633925054</c:v>
                </c:pt>
                <c:pt idx="78">
                  <c:v>1.0931272011400253</c:v>
                </c:pt>
                <c:pt idx="79">
                  <c:v>1.0730163270764455</c:v>
                </c:pt>
                <c:pt idx="80">
                  <c:v>1.0536151866718706</c:v>
                </c:pt>
                <c:pt idx="81">
                  <c:v>1.0348910412761883</c:v>
                </c:pt>
                <c:pt idx="82">
                  <c:v>1.0168129938268857</c:v>
                </c:pt>
                <c:pt idx="83">
                  <c:v>0.99935186717326674</c:v>
                </c:pt>
                <c:pt idx="84">
                  <c:v>0.99903511036118886</c:v>
                </c:pt>
                <c:pt idx="85">
                  <c:v>0.96314097568813706</c:v>
                </c:pt>
                <c:pt idx="86">
                  <c:v>0.92924404785780146</c:v>
                </c:pt>
                <c:pt idx="87">
                  <c:v>0.89720811459873862</c:v>
                </c:pt>
                <c:pt idx="88">
                  <c:v>0.86690788662117813</c:v>
                </c:pt>
                <c:pt idx="89">
                  <c:v>0.83822799495077216</c:v>
                </c:pt>
                <c:pt idx="90">
                  <c:v>0.83783361839513948</c:v>
                </c:pt>
                <c:pt idx="91">
                  <c:v>0.7455218600699075</c:v>
                </c:pt>
                <c:pt idx="92">
                  <c:v>0.66608076648234216</c:v>
                </c:pt>
                <c:pt idx="93">
                  <c:v>0.59749399923827839</c:v>
                </c:pt>
                <c:pt idx="94">
                  <c:v>0.53809468260445992</c:v>
                </c:pt>
                <c:pt idx="95">
                  <c:v>0.48649922757191771</c:v>
                </c:pt>
                <c:pt idx="96">
                  <c:v>0.48612183295985489</c:v>
                </c:pt>
                <c:pt idx="97">
                  <c:v>0.28334308171972666</c:v>
                </c:pt>
                <c:pt idx="98">
                  <c:v>0.17600047963705701</c:v>
                </c:pt>
                <c:pt idx="99">
                  <c:v>0.11792865964710414</c:v>
                </c:pt>
                <c:pt idx="100">
                  <c:v>8.587561939721039E-2</c:v>
                </c:pt>
                <c:pt idx="101">
                  <c:v>6.7852639628824263E-2</c:v>
                </c:pt>
                <c:pt idx="102">
                  <c:v>5.7542929386571962E-2</c:v>
                </c:pt>
                <c:pt idx="103">
                  <c:v>5.1550611592683815E-2</c:v>
                </c:pt>
                <c:pt idx="104">
                  <c:v>4.8015627227383173E-2</c:v>
                </c:pt>
                <c:pt idx="105">
                  <c:v>4.5901243776528933E-2</c:v>
                </c:pt>
                <c:pt idx="106">
                  <c:v>4.4620149257383224E-2</c:v>
                </c:pt>
                <c:pt idx="107">
                  <c:v>4.383453187171632E-2</c:v>
                </c:pt>
                <c:pt idx="108">
                  <c:v>4.3347301136267335E-2</c:v>
                </c:pt>
                <c:pt idx="109">
                  <c:v>4.304192179894939E-2</c:v>
                </c:pt>
                <c:pt idx="110">
                  <c:v>4.2848619369695418E-2</c:v>
                </c:pt>
                <c:pt idx="111">
                  <c:v>4.2725121332701788E-2</c:v>
                </c:pt>
                <c:pt idx="112">
                  <c:v>4.2645531219024924E-2</c:v>
                </c:pt>
                <c:pt idx="113">
                  <c:v>4.2593817867076611E-2</c:v>
                </c:pt>
                <c:pt idx="114">
                  <c:v>4.2494175537927448E-2</c:v>
                </c:pt>
                <c:pt idx="115">
                  <c:v>4.2491978824945764E-2</c:v>
                </c:pt>
                <c:pt idx="116">
                  <c:v>4.2491909099868275E-2</c:v>
                </c:pt>
              </c:numCache>
            </c:numRef>
          </c:xVal>
          <c:yVal>
            <c:numRef>
              <c:f>'Up-Auswert'!$M$6:$M$122</c:f>
              <c:numCache>
                <c:formatCode>General</c:formatCode>
                <c:ptCount val="117"/>
                <c:pt idx="0">
                  <c:v>-2</c:v>
                </c:pt>
                <c:pt idx="1">
                  <c:v>-1.8969614726236912</c:v>
                </c:pt>
                <c:pt idx="2">
                  <c:v>-1.7953452732086956</c:v>
                </c:pt>
                <c:pt idx="3">
                  <c:v>-1.6951306476852599</c:v>
                </c:pt>
                <c:pt idx="4">
                  <c:v>-1.5962971612217796</c:v>
                </c:pt>
                <c:pt idx="5">
                  <c:v>-1.4988246930612532</c:v>
                </c:pt>
                <c:pt idx="6">
                  <c:v>-1.461605996847559</c:v>
                </c:pt>
                <c:pt idx="7">
                  <c:v>-1.3531742459705258</c:v>
                </c:pt>
                <c:pt idx="8">
                  <c:v>-1.2470025214501372</c:v>
                </c:pt>
                <c:pt idx="9">
                  <c:v>-1.1430379152506058</c:v>
                </c:pt>
                <c:pt idx="10">
                  <c:v>-1.0412288941445749</c:v>
                </c:pt>
                <c:pt idx="11">
                  <c:v>-0.94152526045222285</c:v>
                </c:pt>
                <c:pt idx="12">
                  <c:v>-0.93001918678854367</c:v>
                </c:pt>
                <c:pt idx="13">
                  <c:v>-0.87537953956733838</c:v>
                </c:pt>
                <c:pt idx="14">
                  <c:v>-0.8216091331882649</c:v>
                </c:pt>
                <c:pt idx="15">
                  <c:v>-0.76869166948982959</c:v>
                </c:pt>
                <c:pt idx="16">
                  <c:v>-0.71661120235878117</c:v>
                </c:pt>
                <c:pt idx="17">
                  <c:v>-0.66535212912435227</c:v>
                </c:pt>
                <c:pt idx="18">
                  <c:v>-0.66000334397620364</c:v>
                </c:pt>
                <c:pt idx="19">
                  <c:v>-0.62578171330392929</c:v>
                </c:pt>
                <c:pt idx="20">
                  <c:v>-0.59205556477321586</c:v>
                </c:pt>
                <c:pt idx="21">
                  <c:v>-0.55881616424408509</c:v>
                </c:pt>
                <c:pt idx="22">
                  <c:v>-0.52605495911825528</c:v>
                </c:pt>
                <c:pt idx="23">
                  <c:v>-0.49376357399471577</c:v>
                </c:pt>
                <c:pt idx="24">
                  <c:v>-0.49075210650337375</c:v>
                </c:pt>
                <c:pt idx="25">
                  <c:v>-0.46593761056997274</c:v>
                </c:pt>
                <c:pt idx="26">
                  <c:v>-0.4414870556017817</c:v>
                </c:pt>
                <c:pt idx="27">
                  <c:v>-0.41739380349966526</c:v>
                </c:pt>
                <c:pt idx="28">
                  <c:v>-0.39365136100237708</c:v>
                </c:pt>
                <c:pt idx="29">
                  <c:v>-0.37025337601076436</c:v>
                </c:pt>
                <c:pt idx="30">
                  <c:v>-0.36836040959450012</c:v>
                </c:pt>
                <c:pt idx="31">
                  <c:v>-0.34838517359075338</c:v>
                </c:pt>
                <c:pt idx="32">
                  <c:v>-0.32872973280451179</c:v>
                </c:pt>
                <c:pt idx="33">
                  <c:v>-0.30938762909381329</c:v>
                </c:pt>
                <c:pt idx="34">
                  <c:v>-0.29035256178099311</c:v>
                </c:pt>
                <c:pt idx="35">
                  <c:v>-0.27161838315892745</c:v>
                </c:pt>
                <c:pt idx="36">
                  <c:v>-0.27035186996590954</c:v>
                </c:pt>
                <c:pt idx="37">
                  <c:v>-0.25244379402064504</c:v>
                </c:pt>
                <c:pt idx="38">
                  <c:v>-0.2348731379579668</c:v>
                </c:pt>
                <c:pt idx="39">
                  <c:v>-0.21763180928098663</c:v>
                </c:pt>
                <c:pt idx="40">
                  <c:v>-0.20071195114285534</c:v>
                </c:pt>
                <c:pt idx="41">
                  <c:v>-0.18410593428659533</c:v>
                </c:pt>
                <c:pt idx="42">
                  <c:v>-0.18321833372345758</c:v>
                </c:pt>
                <c:pt idx="43">
                  <c:v>-0.16367168753119349</c:v>
                </c:pt>
                <c:pt idx="44">
                  <c:v>-0.14463971691094424</c:v>
                </c:pt>
                <c:pt idx="45">
                  <c:v>-0.1261050920607831</c:v>
                </c:pt>
                <c:pt idx="46">
                  <c:v>-0.10805119326827393</c:v>
                </c:pt>
                <c:pt idx="47">
                  <c:v>-9.0462076706474798E-2</c:v>
                </c:pt>
                <c:pt idx="48">
                  <c:v>-8.9833694127450056E-2</c:v>
                </c:pt>
                <c:pt idx="49">
                  <c:v>-4.8815780354944598E-2</c:v>
                </c:pt>
                <c:pt idx="50">
                  <c:v>-1.0610237068261252E-2</c:v>
                </c:pt>
                <c:pt idx="51">
                  <c:v>2.5027466541007529E-2</c:v>
                </c:pt>
                <c:pt idx="52">
                  <c:v>5.8316226530770163E-2</c:v>
                </c:pt>
                <c:pt idx="53">
                  <c:v>8.9452432063243534E-2</c:v>
                </c:pt>
                <c:pt idx="54">
                  <c:v>8.9833694127449668E-2</c:v>
                </c:pt>
                <c:pt idx="55">
                  <c:v>0.1098806583124063</c:v>
                </c:pt>
                <c:pt idx="56">
                  <c:v>0.12917049342339165</c:v>
                </c:pt>
                <c:pt idx="57">
                  <c:v>0.14773957990120343</c:v>
                </c:pt>
                <c:pt idx="58">
                  <c:v>0.16562217765166598</c:v>
                </c:pt>
                <c:pt idx="59">
                  <c:v>0.18285057087562068</c:v>
                </c:pt>
                <c:pt idx="60">
                  <c:v>0.18321833372345692</c:v>
                </c:pt>
                <c:pt idx="61">
                  <c:v>0.20175753321055223</c:v>
                </c:pt>
                <c:pt idx="62">
                  <c:v>0.2196764997335294</c:v>
                </c:pt>
                <c:pt idx="63">
                  <c:v>0.23700145598723632</c:v>
                </c:pt>
                <c:pt idx="64">
                  <c:v>0.25375728401123337</c:v>
                </c:pt>
                <c:pt idx="65">
                  <c:v>0.2699676053703311</c:v>
                </c:pt>
                <c:pt idx="66">
                  <c:v>0.27035186996590749</c:v>
                </c:pt>
                <c:pt idx="67">
                  <c:v>0.29124886445440518</c:v>
                </c:pt>
                <c:pt idx="68">
                  <c:v>0.31142613543294095</c:v>
                </c:pt>
                <c:pt idx="69">
                  <c:v>0.33091465965151468</c:v>
                </c:pt>
                <c:pt idx="70">
                  <c:v>0.34974381234853963</c:v>
                </c:pt>
                <c:pt idx="71">
                  <c:v>0.3679414636785413</c:v>
                </c:pt>
                <c:pt idx="72">
                  <c:v>0.36836040959449995</c:v>
                </c:pt>
                <c:pt idx="73">
                  <c:v>0.39467492552460354</c:v>
                </c:pt>
                <c:pt idx="74">
                  <c:v>0.41997729649725679</c:v>
                </c:pt>
                <c:pt idx="75">
                  <c:v>0.44431536866138777</c:v>
                </c:pt>
                <c:pt idx="76">
                  <c:v>0.46773430019744522</c:v>
                </c:pt>
                <c:pt idx="77">
                  <c:v>0.49027673588483689</c:v>
                </c:pt>
                <c:pt idx="78">
                  <c:v>0.49075210650337298</c:v>
                </c:pt>
                <c:pt idx="79">
                  <c:v>0.52782927040628858</c:v>
                </c:pt>
                <c:pt idx="80">
                  <c:v>0.56314022934166852</c:v>
                </c:pt>
                <c:pt idx="81">
                  <c:v>0.59678591013124405</c:v>
                </c:pt>
                <c:pt idx="82">
                  <c:v>0.62886049935123089</c:v>
                </c:pt>
                <c:pt idx="83">
                  <c:v>0.65945195751763519</c:v>
                </c:pt>
                <c:pt idx="84">
                  <c:v>0.66000334397619898</c:v>
                </c:pt>
                <c:pt idx="85">
                  <c:v>0.72197542319156682</c:v>
                </c:pt>
                <c:pt idx="86">
                  <c:v>0.77955623924614925</c:v>
                </c:pt>
                <c:pt idx="87">
                  <c:v>0.83310568164417032</c:v>
                </c:pt>
                <c:pt idx="88">
                  <c:v>0.88295009925386814</c:v>
                </c:pt>
                <c:pt idx="89">
                  <c:v>0.92938579842943292</c:v>
                </c:pt>
                <c:pt idx="90">
                  <c:v>0.9300191867885399</c:v>
                </c:pt>
                <c:pt idx="91">
                  <c:v>1.076236343727337</c:v>
                </c:pt>
                <c:pt idx="92">
                  <c:v>1.1985855023002385</c:v>
                </c:pt>
                <c:pt idx="93">
                  <c:v>1.3013275659828702</c:v>
                </c:pt>
                <c:pt idx="94">
                  <c:v>1.3878977925967957</c:v>
                </c:pt>
                <c:pt idx="95">
                  <c:v>1.4610781357008662</c:v>
                </c:pt>
                <c:pt idx="96">
                  <c:v>1.4616059968409461</c:v>
                </c:pt>
                <c:pt idx="97">
                  <c:v>1.7386016704410707</c:v>
                </c:pt>
                <c:pt idx="98">
                  <c:v>1.8777190146083838</c:v>
                </c:pt>
                <c:pt idx="99">
                  <c:v>1.949174790706854</c:v>
                </c:pt>
                <c:pt idx="100">
                  <c:v>1.9866413281248199</c:v>
                </c:pt>
                <c:pt idx="101">
                  <c:v>2.006662149474904</c:v>
                </c:pt>
                <c:pt idx="102">
                  <c:v>2.0175490066974624</c:v>
                </c:pt>
                <c:pt idx="103">
                  <c:v>2.0235650970623724</c:v>
                </c:pt>
                <c:pt idx="104">
                  <c:v>2.0269393437948136</c:v>
                </c:pt>
                <c:pt idx="105">
                  <c:v>2.0288579821030499</c:v>
                </c:pt>
                <c:pt idx="106">
                  <c:v>2.0299628337162243</c:v>
                </c:pt>
                <c:pt idx="107">
                  <c:v>2.0306065322613764</c:v>
                </c:pt>
                <c:pt idx="108">
                  <c:v>2.0309856112507978</c:v>
                </c:pt>
                <c:pt idx="109">
                  <c:v>2.0312110714605471</c:v>
                </c:pt>
                <c:pt idx="110">
                  <c:v>2.0313463868350099</c:v>
                </c:pt>
                <c:pt idx="111">
                  <c:v>2.0314282750645534</c:v>
                </c:pt>
                <c:pt idx="112">
                  <c:v>2.0314782055166662</c:v>
                </c:pt>
                <c:pt idx="113">
                  <c:v>2.0315088576582783</c:v>
                </c:pt>
                <c:pt idx="114">
                  <c:v>2.0315587858884054</c:v>
                </c:pt>
                <c:pt idx="115">
                  <c:v>2.0315592464409411</c:v>
                </c:pt>
                <c:pt idx="116">
                  <c:v>2.0315592424380267</c:v>
                </c:pt>
              </c:numCache>
            </c:numRef>
          </c:yVal>
        </c:ser>
        <c:axId val="157608960"/>
        <c:axId val="157618944"/>
      </c:scatterChart>
      <c:valAx>
        <c:axId val="157608960"/>
        <c:scaling>
          <c:orientation val="minMax"/>
          <c:max val="0.5"/>
          <c:min val="-0.5"/>
        </c:scaling>
        <c:axPos val="b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57618944"/>
        <c:crosses val="autoZero"/>
        <c:crossBetween val="midCat"/>
      </c:valAx>
      <c:valAx>
        <c:axId val="157618944"/>
        <c:scaling>
          <c:orientation val="minMax"/>
          <c:max val="2.5"/>
          <c:min val="1.5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000"/>
            </a:pPr>
            <a:endParaRPr lang="de-DE"/>
          </a:p>
        </c:txPr>
        <c:crossAx val="157608960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plotArea>
      <c:layout/>
      <c:scatterChart>
        <c:scatterStyle val="lineMarker"/>
        <c:ser>
          <c:idx val="17"/>
          <c:order val="0"/>
          <c:tx>
            <c:v>Zref</c:v>
          </c:tx>
          <c:spPr>
            <a:ln w="63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Stufengrün!$B$84:$B$114</c:f>
              <c:numCache>
                <c:formatCode>General</c:formatCode>
                <c:ptCount val="31"/>
                <c:pt idx="0">
                  <c:v>-3</c:v>
                </c:pt>
                <c:pt idx="1">
                  <c:v>-2.8</c:v>
                </c:pt>
                <c:pt idx="2">
                  <c:v>-2.5999999999999996</c:v>
                </c:pt>
                <c:pt idx="3">
                  <c:v>-2.3999999999999995</c:v>
                </c:pt>
                <c:pt idx="4">
                  <c:v>-2.1999999999999993</c:v>
                </c:pt>
                <c:pt idx="5">
                  <c:v>-1.9999999999999993</c:v>
                </c:pt>
                <c:pt idx="6">
                  <c:v>-1.7999999999999994</c:v>
                </c:pt>
                <c:pt idx="7">
                  <c:v>-1.5999999999999994</c:v>
                </c:pt>
                <c:pt idx="8">
                  <c:v>-1.3999999999999995</c:v>
                </c:pt>
                <c:pt idx="9">
                  <c:v>-1.1999999999999995</c:v>
                </c:pt>
                <c:pt idx="10">
                  <c:v>-0.99999999999999956</c:v>
                </c:pt>
                <c:pt idx="11">
                  <c:v>-0.7999999999999996</c:v>
                </c:pt>
                <c:pt idx="12">
                  <c:v>-0.59999999999999964</c:v>
                </c:pt>
                <c:pt idx="13">
                  <c:v>-0.39999999999999963</c:v>
                </c:pt>
                <c:pt idx="14">
                  <c:v>-0.19999999999999962</c:v>
                </c:pt>
                <c:pt idx="15">
                  <c:v>3.8857805861880479E-16</c:v>
                </c:pt>
                <c:pt idx="16">
                  <c:v>0.19999999999999962</c:v>
                </c:pt>
                <c:pt idx="17">
                  <c:v>0.39999999999999963</c:v>
                </c:pt>
                <c:pt idx="18">
                  <c:v>0.59999999999999964</c:v>
                </c:pt>
                <c:pt idx="19">
                  <c:v>0.7999999999999996</c:v>
                </c:pt>
                <c:pt idx="20">
                  <c:v>0.99999999999999956</c:v>
                </c:pt>
                <c:pt idx="21">
                  <c:v>1.1999999999999995</c:v>
                </c:pt>
                <c:pt idx="22">
                  <c:v>1.3999999999999995</c:v>
                </c:pt>
                <c:pt idx="23">
                  <c:v>1.5999999999999994</c:v>
                </c:pt>
                <c:pt idx="24">
                  <c:v>1.7999999999999994</c:v>
                </c:pt>
                <c:pt idx="25">
                  <c:v>1.9999999999999993</c:v>
                </c:pt>
                <c:pt idx="26">
                  <c:v>2.1999999999999993</c:v>
                </c:pt>
                <c:pt idx="27">
                  <c:v>2.3999999999999995</c:v>
                </c:pt>
                <c:pt idx="28">
                  <c:v>2.5999999999999996</c:v>
                </c:pt>
                <c:pt idx="29">
                  <c:v>2.8</c:v>
                </c:pt>
                <c:pt idx="30">
                  <c:v>3</c:v>
                </c:pt>
              </c:numCache>
            </c:numRef>
          </c:xVal>
          <c:yVal>
            <c:numRef>
              <c:f>Stufengrün!$C$84:$C$114</c:f>
              <c:numCache>
                <c:formatCode>General</c:formatCode>
                <c:ptCount val="31"/>
                <c:pt idx="0">
                  <c:v>-0.18591068500908908</c:v>
                </c:pt>
                <c:pt idx="1">
                  <c:v>-0.18491338983458047</c:v>
                </c:pt>
                <c:pt idx="2">
                  <c:v>-0.18376497881486484</c:v>
                </c:pt>
                <c:pt idx="3">
                  <c:v>-0.18242852732675899</c:v>
                </c:pt>
                <c:pt idx="4">
                  <c:v>-0.18085411514630198</c:v>
                </c:pt>
                <c:pt idx="5">
                  <c:v>-0.17897261731549863</c:v>
                </c:pt>
                <c:pt idx="6">
                  <c:v>-0.17668560663926314</c:v>
                </c:pt>
                <c:pt idx="7">
                  <c:v>-0.17384824681773189</c:v>
                </c:pt>
                <c:pt idx="8">
                  <c:v>-0.1702388938805531</c:v>
                </c:pt>
                <c:pt idx="9">
                  <c:v>-0.16550197556276833</c:v>
                </c:pt>
                <c:pt idx="10">
                  <c:v>-0.15903344706017328</c:v>
                </c:pt>
                <c:pt idx="11">
                  <c:v>-0.149733633448799</c:v>
                </c:pt>
                <c:pt idx="12">
                  <c:v>-0.13543421311316189</c:v>
                </c:pt>
                <c:pt idx="13">
                  <c:v>-0.11154317535052173</c:v>
                </c:pt>
                <c:pt idx="14">
                  <c:v>-6.8808347849052154E-2</c:v>
                </c:pt>
                <c:pt idx="15">
                  <c:v>1.4842588513496412E-16</c:v>
                </c:pt>
                <c:pt idx="16">
                  <c:v>6.8808347849052154E-2</c:v>
                </c:pt>
                <c:pt idx="17">
                  <c:v>0.11154317535052173</c:v>
                </c:pt>
                <c:pt idx="18">
                  <c:v>0.13543421311316189</c:v>
                </c:pt>
                <c:pt idx="19">
                  <c:v>0.149733633448799</c:v>
                </c:pt>
                <c:pt idx="20">
                  <c:v>0.15903344706017328</c:v>
                </c:pt>
                <c:pt idx="21">
                  <c:v>0.16550197556276833</c:v>
                </c:pt>
                <c:pt idx="22">
                  <c:v>0.1702388938805531</c:v>
                </c:pt>
                <c:pt idx="23">
                  <c:v>0.17384824681773189</c:v>
                </c:pt>
                <c:pt idx="24">
                  <c:v>0.17668560663926314</c:v>
                </c:pt>
                <c:pt idx="25">
                  <c:v>0.17897261731549863</c:v>
                </c:pt>
                <c:pt idx="26">
                  <c:v>0.18085411514630198</c:v>
                </c:pt>
                <c:pt idx="27">
                  <c:v>0.18242852732675899</c:v>
                </c:pt>
                <c:pt idx="28">
                  <c:v>0.18376497881486484</c:v>
                </c:pt>
                <c:pt idx="29">
                  <c:v>0.18491338983458047</c:v>
                </c:pt>
                <c:pt idx="30">
                  <c:v>0.18591068500908908</c:v>
                </c:pt>
              </c:numCache>
            </c:numRef>
          </c:yVal>
        </c:ser>
        <c:ser>
          <c:idx val="0"/>
          <c:order val="1"/>
          <c:tx>
            <c:v>#17 G-8</c:v>
          </c:tx>
          <c:marker>
            <c:symbol val="none"/>
          </c:marker>
          <c:xVal>
            <c:numRef>
              <c:f>Stufengrün!$AE$84:$AE$101</c:f>
              <c:numCache>
                <c:formatCode>0.000</c:formatCode>
                <c:ptCount val="18"/>
                <c:pt idx="0" formatCode="General">
                  <c:v>-2</c:v>
                </c:pt>
                <c:pt idx="1">
                  <c:v>-1.4616059968409472</c:v>
                </c:pt>
                <c:pt idx="2">
                  <c:v>-0.93001918678854067</c:v>
                </c:pt>
                <c:pt idx="3">
                  <c:v>-0.66000334397619953</c:v>
                </c:pt>
                <c:pt idx="4">
                  <c:v>-0.49075210650337253</c:v>
                </c:pt>
                <c:pt idx="5">
                  <c:v>-0.36836040959449939</c:v>
                </c:pt>
                <c:pt idx="6">
                  <c:v>-0.27035186996590777</c:v>
                </c:pt>
                <c:pt idx="7">
                  <c:v>-0.18321833372345622</c:v>
                </c:pt>
                <c:pt idx="8">
                  <c:v>-8.983369412744914E-2</c:v>
                </c:pt>
                <c:pt idx="9">
                  <c:v>8.983369412744914E-2</c:v>
                </c:pt>
                <c:pt idx="10">
                  <c:v>0.18321833372345622</c:v>
                </c:pt>
                <c:pt idx="11">
                  <c:v>0.27035186996590777</c:v>
                </c:pt>
                <c:pt idx="12">
                  <c:v>0.36836040959449939</c:v>
                </c:pt>
                <c:pt idx="13">
                  <c:v>0.49075210650337253</c:v>
                </c:pt>
                <c:pt idx="14">
                  <c:v>0.66000334397619953</c:v>
                </c:pt>
                <c:pt idx="15">
                  <c:v>0.93001918678854067</c:v>
                </c:pt>
                <c:pt idx="16">
                  <c:v>1.4616059968409472</c:v>
                </c:pt>
                <c:pt idx="17" formatCode="General">
                  <c:v>2</c:v>
                </c:pt>
              </c:numCache>
            </c:numRef>
          </c:xVal>
          <c:yVal>
            <c:numRef>
              <c:f>Stufengrün!$AF$84:$AF$101</c:f>
              <c:numCache>
                <c:formatCode>General</c:formatCode>
                <c:ptCount val="18"/>
                <c:pt idx="0">
                  <c:v>-0.17897261731549866</c:v>
                </c:pt>
                <c:pt idx="1">
                  <c:v>-0.17341447243330643</c:v>
                </c:pt>
              </c:numCache>
            </c:numRef>
          </c:yVal>
        </c:ser>
        <c:ser>
          <c:idx val="1"/>
          <c:order val="2"/>
          <c:tx>
            <c:v>#17 G-7</c:v>
          </c:tx>
          <c:marker>
            <c:symbol val="none"/>
          </c:marker>
          <c:xVal>
            <c:numRef>
              <c:f>Stufengrün!$AE$84:$AE$101</c:f>
              <c:numCache>
                <c:formatCode>0.000</c:formatCode>
                <c:ptCount val="18"/>
                <c:pt idx="0" formatCode="General">
                  <c:v>-2</c:v>
                </c:pt>
                <c:pt idx="1">
                  <c:v>-1.4616059968409472</c:v>
                </c:pt>
                <c:pt idx="2">
                  <c:v>-0.93001918678854067</c:v>
                </c:pt>
                <c:pt idx="3">
                  <c:v>-0.66000334397619953</c:v>
                </c:pt>
                <c:pt idx="4">
                  <c:v>-0.49075210650337253</c:v>
                </c:pt>
                <c:pt idx="5">
                  <c:v>-0.36836040959449939</c:v>
                </c:pt>
                <c:pt idx="6">
                  <c:v>-0.27035186996590777</c:v>
                </c:pt>
                <c:pt idx="7">
                  <c:v>-0.18321833372345622</c:v>
                </c:pt>
                <c:pt idx="8">
                  <c:v>-8.983369412744914E-2</c:v>
                </c:pt>
                <c:pt idx="9">
                  <c:v>8.983369412744914E-2</c:v>
                </c:pt>
                <c:pt idx="10">
                  <c:v>0.18321833372345622</c:v>
                </c:pt>
                <c:pt idx="11">
                  <c:v>0.27035186996590777</c:v>
                </c:pt>
                <c:pt idx="12">
                  <c:v>0.36836040959449939</c:v>
                </c:pt>
                <c:pt idx="13">
                  <c:v>0.49075210650337253</c:v>
                </c:pt>
                <c:pt idx="14">
                  <c:v>0.66000334397619953</c:v>
                </c:pt>
                <c:pt idx="15">
                  <c:v>0.93001918678854067</c:v>
                </c:pt>
                <c:pt idx="16">
                  <c:v>1.4616059968409472</c:v>
                </c:pt>
                <c:pt idx="17" formatCode="General">
                  <c:v>2</c:v>
                </c:pt>
              </c:numCache>
            </c:numRef>
          </c:xVal>
          <c:yVal>
            <c:numRef>
              <c:f>Stufengrün!$AG$84:$AG$101</c:f>
              <c:numCache>
                <c:formatCode>General</c:formatCode>
                <c:ptCount val="18"/>
                <c:pt idx="1">
                  <c:v>-0.17341447243330643</c:v>
                </c:pt>
                <c:pt idx="2">
                  <c:v>-0.15749055948447155</c:v>
                </c:pt>
              </c:numCache>
            </c:numRef>
          </c:yVal>
        </c:ser>
        <c:ser>
          <c:idx val="2"/>
          <c:order val="3"/>
          <c:tx>
            <c:v>#17 G-6</c:v>
          </c:tx>
          <c:marker>
            <c:symbol val="none"/>
          </c:marker>
          <c:xVal>
            <c:numRef>
              <c:f>Stufengrün!$AE$84:$AE$101</c:f>
              <c:numCache>
                <c:formatCode>0.000</c:formatCode>
                <c:ptCount val="18"/>
                <c:pt idx="0" formatCode="General">
                  <c:v>-2</c:v>
                </c:pt>
                <c:pt idx="1">
                  <c:v>-1.4616059968409472</c:v>
                </c:pt>
                <c:pt idx="2">
                  <c:v>-0.93001918678854067</c:v>
                </c:pt>
                <c:pt idx="3">
                  <c:v>-0.66000334397619953</c:v>
                </c:pt>
                <c:pt idx="4">
                  <c:v>-0.49075210650337253</c:v>
                </c:pt>
                <c:pt idx="5">
                  <c:v>-0.36836040959449939</c:v>
                </c:pt>
                <c:pt idx="6">
                  <c:v>-0.27035186996590777</c:v>
                </c:pt>
                <c:pt idx="7">
                  <c:v>-0.18321833372345622</c:v>
                </c:pt>
                <c:pt idx="8">
                  <c:v>-8.983369412744914E-2</c:v>
                </c:pt>
                <c:pt idx="9">
                  <c:v>8.983369412744914E-2</c:v>
                </c:pt>
                <c:pt idx="10">
                  <c:v>0.18321833372345622</c:v>
                </c:pt>
                <c:pt idx="11">
                  <c:v>0.27035186996590777</c:v>
                </c:pt>
                <c:pt idx="12">
                  <c:v>0.36836040959449939</c:v>
                </c:pt>
                <c:pt idx="13">
                  <c:v>0.49075210650337253</c:v>
                </c:pt>
                <c:pt idx="14">
                  <c:v>0.66000334397619953</c:v>
                </c:pt>
                <c:pt idx="15">
                  <c:v>0.93001918678854067</c:v>
                </c:pt>
                <c:pt idx="16">
                  <c:v>1.4616059968409472</c:v>
                </c:pt>
                <c:pt idx="17" formatCode="General">
                  <c:v>2</c:v>
                </c:pt>
              </c:numCache>
            </c:numRef>
          </c:xVal>
          <c:yVal>
            <c:numRef>
              <c:f>Stufengrün!$AH$84:$AH$101</c:f>
              <c:numCache>
                <c:formatCode>General</c:formatCode>
                <c:ptCount val="18"/>
                <c:pt idx="2">
                  <c:v>-0.15749055948447155</c:v>
                </c:pt>
                <c:pt idx="3">
                  <c:v>-0.14145200768569341</c:v>
                </c:pt>
              </c:numCache>
            </c:numRef>
          </c:yVal>
        </c:ser>
        <c:ser>
          <c:idx val="3"/>
          <c:order val="4"/>
          <c:tx>
            <c:v>#17 G-5</c:v>
          </c:tx>
          <c:marker>
            <c:symbol val="none"/>
          </c:marker>
          <c:xVal>
            <c:numRef>
              <c:f>Stufengrün!$AE$84:$AE$101</c:f>
              <c:numCache>
                <c:formatCode>0.000</c:formatCode>
                <c:ptCount val="18"/>
                <c:pt idx="0" formatCode="General">
                  <c:v>-2</c:v>
                </c:pt>
                <c:pt idx="1">
                  <c:v>-1.4616059968409472</c:v>
                </c:pt>
                <c:pt idx="2">
                  <c:v>-0.93001918678854067</c:v>
                </c:pt>
                <c:pt idx="3">
                  <c:v>-0.66000334397619953</c:v>
                </c:pt>
                <c:pt idx="4">
                  <c:v>-0.49075210650337253</c:v>
                </c:pt>
                <c:pt idx="5">
                  <c:v>-0.36836040959449939</c:v>
                </c:pt>
                <c:pt idx="6">
                  <c:v>-0.27035186996590777</c:v>
                </c:pt>
                <c:pt idx="7">
                  <c:v>-0.18321833372345622</c:v>
                </c:pt>
                <c:pt idx="8">
                  <c:v>-8.983369412744914E-2</c:v>
                </c:pt>
                <c:pt idx="9">
                  <c:v>8.983369412744914E-2</c:v>
                </c:pt>
                <c:pt idx="10">
                  <c:v>0.18321833372345622</c:v>
                </c:pt>
                <c:pt idx="11">
                  <c:v>0.27035186996590777</c:v>
                </c:pt>
                <c:pt idx="12">
                  <c:v>0.36836040959449939</c:v>
                </c:pt>
                <c:pt idx="13">
                  <c:v>0.49075210650337253</c:v>
                </c:pt>
                <c:pt idx="14">
                  <c:v>0.66000334397619953</c:v>
                </c:pt>
                <c:pt idx="15">
                  <c:v>0.93001918678854067</c:v>
                </c:pt>
                <c:pt idx="16">
                  <c:v>1.4616059968409472</c:v>
                </c:pt>
                <c:pt idx="17" formatCode="General">
                  <c:v>2</c:v>
                </c:pt>
              </c:numCache>
            </c:numRef>
          </c:xVal>
          <c:yVal>
            <c:numRef>
              <c:f>Stufengrün!$AI$84:$AI$101</c:f>
              <c:numCache>
                <c:formatCode>General</c:formatCode>
                <c:ptCount val="18"/>
                <c:pt idx="3">
                  <c:v>-0.14145200768569341</c:v>
                </c:pt>
                <c:pt idx="4">
                  <c:v>-0.12485415650743587</c:v>
                </c:pt>
              </c:numCache>
            </c:numRef>
          </c:yVal>
        </c:ser>
        <c:ser>
          <c:idx val="4"/>
          <c:order val="5"/>
          <c:tx>
            <c:v>#17 G-4</c:v>
          </c:tx>
          <c:marker>
            <c:symbol val="none"/>
          </c:marker>
          <c:xVal>
            <c:numRef>
              <c:f>Stufengrün!$AE$84:$AE$101</c:f>
              <c:numCache>
                <c:formatCode>0.000</c:formatCode>
                <c:ptCount val="18"/>
                <c:pt idx="0" formatCode="General">
                  <c:v>-2</c:v>
                </c:pt>
                <c:pt idx="1">
                  <c:v>-1.4616059968409472</c:v>
                </c:pt>
                <c:pt idx="2">
                  <c:v>-0.93001918678854067</c:v>
                </c:pt>
                <c:pt idx="3">
                  <c:v>-0.66000334397619953</c:v>
                </c:pt>
                <c:pt idx="4">
                  <c:v>-0.49075210650337253</c:v>
                </c:pt>
                <c:pt idx="5">
                  <c:v>-0.36836040959449939</c:v>
                </c:pt>
                <c:pt idx="6">
                  <c:v>-0.27035186996590777</c:v>
                </c:pt>
                <c:pt idx="7">
                  <c:v>-0.18321833372345622</c:v>
                </c:pt>
                <c:pt idx="8">
                  <c:v>-8.983369412744914E-2</c:v>
                </c:pt>
                <c:pt idx="9">
                  <c:v>8.983369412744914E-2</c:v>
                </c:pt>
                <c:pt idx="10">
                  <c:v>0.18321833372345622</c:v>
                </c:pt>
                <c:pt idx="11">
                  <c:v>0.27035186996590777</c:v>
                </c:pt>
                <c:pt idx="12">
                  <c:v>0.36836040959449939</c:v>
                </c:pt>
                <c:pt idx="13">
                  <c:v>0.49075210650337253</c:v>
                </c:pt>
                <c:pt idx="14">
                  <c:v>0.66000334397619953</c:v>
                </c:pt>
                <c:pt idx="15">
                  <c:v>0.93001918678854067</c:v>
                </c:pt>
                <c:pt idx="16">
                  <c:v>1.4616059968409472</c:v>
                </c:pt>
                <c:pt idx="17" formatCode="General">
                  <c:v>2</c:v>
                </c:pt>
              </c:numCache>
            </c:numRef>
          </c:xVal>
          <c:yVal>
            <c:numRef>
              <c:f>Stufengrün!$AJ$84:$AJ$101</c:f>
              <c:numCache>
                <c:formatCode>General</c:formatCode>
                <c:ptCount val="18"/>
                <c:pt idx="4">
                  <c:v>-0.12485415650743587</c:v>
                </c:pt>
                <c:pt idx="5">
                  <c:v>-0.10710105025094166</c:v>
                </c:pt>
              </c:numCache>
            </c:numRef>
          </c:yVal>
        </c:ser>
        <c:ser>
          <c:idx val="5"/>
          <c:order val="6"/>
          <c:tx>
            <c:v>#17 G-3</c:v>
          </c:tx>
          <c:marker>
            <c:symbol val="none"/>
          </c:marker>
          <c:xVal>
            <c:numRef>
              <c:f>Stufengrün!$AE$84:$AE$101</c:f>
              <c:numCache>
                <c:formatCode>0.000</c:formatCode>
                <c:ptCount val="18"/>
                <c:pt idx="0" formatCode="General">
                  <c:v>-2</c:v>
                </c:pt>
                <c:pt idx="1">
                  <c:v>-1.4616059968409472</c:v>
                </c:pt>
                <c:pt idx="2">
                  <c:v>-0.93001918678854067</c:v>
                </c:pt>
                <c:pt idx="3">
                  <c:v>-0.66000334397619953</c:v>
                </c:pt>
                <c:pt idx="4">
                  <c:v>-0.49075210650337253</c:v>
                </c:pt>
                <c:pt idx="5">
                  <c:v>-0.36836040959449939</c:v>
                </c:pt>
                <c:pt idx="6">
                  <c:v>-0.27035186996590777</c:v>
                </c:pt>
                <c:pt idx="7">
                  <c:v>-0.18321833372345622</c:v>
                </c:pt>
                <c:pt idx="8">
                  <c:v>-8.983369412744914E-2</c:v>
                </c:pt>
                <c:pt idx="9">
                  <c:v>8.983369412744914E-2</c:v>
                </c:pt>
                <c:pt idx="10">
                  <c:v>0.18321833372345622</c:v>
                </c:pt>
                <c:pt idx="11">
                  <c:v>0.27035186996590777</c:v>
                </c:pt>
                <c:pt idx="12">
                  <c:v>0.36836040959449939</c:v>
                </c:pt>
                <c:pt idx="13">
                  <c:v>0.49075210650337253</c:v>
                </c:pt>
                <c:pt idx="14">
                  <c:v>0.66000334397619953</c:v>
                </c:pt>
                <c:pt idx="15">
                  <c:v>0.93001918678854067</c:v>
                </c:pt>
                <c:pt idx="16">
                  <c:v>1.4616059968409472</c:v>
                </c:pt>
                <c:pt idx="17" formatCode="General">
                  <c:v>2</c:v>
                </c:pt>
              </c:numCache>
            </c:numRef>
          </c:xVal>
          <c:yVal>
            <c:numRef>
              <c:f>Stufengrün!$AK$84:$AK$101</c:f>
              <c:numCache>
                <c:formatCode>General</c:formatCode>
                <c:ptCount val="18"/>
                <c:pt idx="5">
                  <c:v>-0.10710105025094166</c:v>
                </c:pt>
                <c:pt idx="6">
                  <c:v>-8.7449584297898064E-2</c:v>
                </c:pt>
              </c:numCache>
            </c:numRef>
          </c:yVal>
        </c:ser>
        <c:ser>
          <c:idx val="6"/>
          <c:order val="7"/>
          <c:tx>
            <c:v>#17 G-2</c:v>
          </c:tx>
          <c:marker>
            <c:symbol val="none"/>
          </c:marker>
          <c:xVal>
            <c:numRef>
              <c:f>Stufengrün!$AE$84:$AE$101</c:f>
              <c:numCache>
                <c:formatCode>0.000</c:formatCode>
                <c:ptCount val="18"/>
                <c:pt idx="0" formatCode="General">
                  <c:v>-2</c:v>
                </c:pt>
                <c:pt idx="1">
                  <c:v>-1.4616059968409472</c:v>
                </c:pt>
                <c:pt idx="2">
                  <c:v>-0.93001918678854067</c:v>
                </c:pt>
                <c:pt idx="3">
                  <c:v>-0.66000334397619953</c:v>
                </c:pt>
                <c:pt idx="4">
                  <c:v>-0.49075210650337253</c:v>
                </c:pt>
                <c:pt idx="5">
                  <c:v>-0.36836040959449939</c:v>
                </c:pt>
                <c:pt idx="6">
                  <c:v>-0.27035186996590777</c:v>
                </c:pt>
                <c:pt idx="7">
                  <c:v>-0.18321833372345622</c:v>
                </c:pt>
                <c:pt idx="8">
                  <c:v>-8.983369412744914E-2</c:v>
                </c:pt>
                <c:pt idx="9">
                  <c:v>8.983369412744914E-2</c:v>
                </c:pt>
                <c:pt idx="10">
                  <c:v>0.18321833372345622</c:v>
                </c:pt>
                <c:pt idx="11">
                  <c:v>0.27035186996590777</c:v>
                </c:pt>
                <c:pt idx="12">
                  <c:v>0.36836040959449939</c:v>
                </c:pt>
                <c:pt idx="13">
                  <c:v>0.49075210650337253</c:v>
                </c:pt>
                <c:pt idx="14">
                  <c:v>0.66000334397619953</c:v>
                </c:pt>
                <c:pt idx="15">
                  <c:v>0.93001918678854067</c:v>
                </c:pt>
                <c:pt idx="16">
                  <c:v>1.4616059968409472</c:v>
                </c:pt>
                <c:pt idx="17" formatCode="General">
                  <c:v>2</c:v>
                </c:pt>
              </c:numCache>
            </c:numRef>
          </c:xVal>
          <c:yVal>
            <c:numRef>
              <c:f>Stufengrün!$AL$84:$AL$101</c:f>
              <c:numCache>
                <c:formatCode>General</c:formatCode>
                <c:ptCount val="18"/>
                <c:pt idx="6">
                  <c:v>-8.7449584297898064E-2</c:v>
                </c:pt>
                <c:pt idx="7">
                  <c:v>-6.4682109182855635E-2</c:v>
                </c:pt>
              </c:numCache>
            </c:numRef>
          </c:yVal>
        </c:ser>
        <c:ser>
          <c:idx val="7"/>
          <c:order val="8"/>
          <c:tx>
            <c:v>#17 G-1</c:v>
          </c:tx>
          <c:marker>
            <c:symbol val="none"/>
          </c:marker>
          <c:xVal>
            <c:numRef>
              <c:f>Stufengrün!$AE$84:$AE$101</c:f>
              <c:numCache>
                <c:formatCode>0.000</c:formatCode>
                <c:ptCount val="18"/>
                <c:pt idx="0" formatCode="General">
                  <c:v>-2</c:v>
                </c:pt>
                <c:pt idx="1">
                  <c:v>-1.4616059968409472</c:v>
                </c:pt>
                <c:pt idx="2">
                  <c:v>-0.93001918678854067</c:v>
                </c:pt>
                <c:pt idx="3">
                  <c:v>-0.66000334397619953</c:v>
                </c:pt>
                <c:pt idx="4">
                  <c:v>-0.49075210650337253</c:v>
                </c:pt>
                <c:pt idx="5">
                  <c:v>-0.36836040959449939</c:v>
                </c:pt>
                <c:pt idx="6">
                  <c:v>-0.27035186996590777</c:v>
                </c:pt>
                <c:pt idx="7">
                  <c:v>-0.18321833372345622</c:v>
                </c:pt>
                <c:pt idx="8">
                  <c:v>-8.983369412744914E-2</c:v>
                </c:pt>
                <c:pt idx="9">
                  <c:v>8.983369412744914E-2</c:v>
                </c:pt>
                <c:pt idx="10">
                  <c:v>0.18321833372345622</c:v>
                </c:pt>
                <c:pt idx="11">
                  <c:v>0.27035186996590777</c:v>
                </c:pt>
                <c:pt idx="12">
                  <c:v>0.36836040959449939</c:v>
                </c:pt>
                <c:pt idx="13">
                  <c:v>0.49075210650337253</c:v>
                </c:pt>
                <c:pt idx="14">
                  <c:v>0.66000334397619953</c:v>
                </c:pt>
                <c:pt idx="15">
                  <c:v>0.93001918678854067</c:v>
                </c:pt>
                <c:pt idx="16">
                  <c:v>1.4616059968409472</c:v>
                </c:pt>
                <c:pt idx="17" formatCode="General">
                  <c:v>2</c:v>
                </c:pt>
              </c:numCache>
            </c:numRef>
          </c:xVal>
          <c:yVal>
            <c:numRef>
              <c:f>Stufengrün!$AM$84:$AM$101</c:f>
              <c:numCache>
                <c:formatCode>General</c:formatCode>
                <c:ptCount val="18"/>
                <c:pt idx="7">
                  <c:v>-6.4682109182855635E-2</c:v>
                </c:pt>
                <c:pt idx="8">
                  <c:v>-3.4313943543813355E-2</c:v>
                </c:pt>
              </c:numCache>
            </c:numRef>
          </c:yVal>
        </c:ser>
        <c:ser>
          <c:idx val="8"/>
          <c:order val="9"/>
          <c:tx>
            <c:v>#17 G0</c:v>
          </c:tx>
          <c:marker>
            <c:symbol val="none"/>
          </c:marker>
          <c:xVal>
            <c:numRef>
              <c:f>Stufengrün!$AE$84:$AE$101</c:f>
              <c:numCache>
                <c:formatCode>0.000</c:formatCode>
                <c:ptCount val="18"/>
                <c:pt idx="0" formatCode="General">
                  <c:v>-2</c:v>
                </c:pt>
                <c:pt idx="1">
                  <c:v>-1.4616059968409472</c:v>
                </c:pt>
                <c:pt idx="2">
                  <c:v>-0.93001918678854067</c:v>
                </c:pt>
                <c:pt idx="3">
                  <c:v>-0.66000334397619953</c:v>
                </c:pt>
                <c:pt idx="4">
                  <c:v>-0.49075210650337253</c:v>
                </c:pt>
                <c:pt idx="5">
                  <c:v>-0.36836040959449939</c:v>
                </c:pt>
                <c:pt idx="6">
                  <c:v>-0.27035186996590777</c:v>
                </c:pt>
                <c:pt idx="7">
                  <c:v>-0.18321833372345622</c:v>
                </c:pt>
                <c:pt idx="8">
                  <c:v>-8.983369412744914E-2</c:v>
                </c:pt>
                <c:pt idx="9">
                  <c:v>8.983369412744914E-2</c:v>
                </c:pt>
                <c:pt idx="10">
                  <c:v>0.18321833372345622</c:v>
                </c:pt>
                <c:pt idx="11">
                  <c:v>0.27035186996590777</c:v>
                </c:pt>
                <c:pt idx="12">
                  <c:v>0.36836040959449939</c:v>
                </c:pt>
                <c:pt idx="13">
                  <c:v>0.49075210650337253</c:v>
                </c:pt>
                <c:pt idx="14">
                  <c:v>0.66000334397619953</c:v>
                </c:pt>
                <c:pt idx="15">
                  <c:v>0.93001918678854067</c:v>
                </c:pt>
                <c:pt idx="16">
                  <c:v>1.4616059968409472</c:v>
                </c:pt>
                <c:pt idx="17" formatCode="General">
                  <c:v>2</c:v>
                </c:pt>
              </c:numCache>
            </c:numRef>
          </c:xVal>
          <c:yVal>
            <c:numRef>
              <c:f>Stufengrün!$AN$84:$AN$101</c:f>
              <c:numCache>
                <c:formatCode>General</c:formatCode>
                <c:ptCount val="18"/>
                <c:pt idx="8">
                  <c:v>-3.4313943543813355E-2</c:v>
                </c:pt>
                <c:pt idx="9">
                  <c:v>3.4313943543813355E-2</c:v>
                </c:pt>
              </c:numCache>
            </c:numRef>
          </c:yVal>
        </c:ser>
        <c:ser>
          <c:idx val="9"/>
          <c:order val="10"/>
          <c:tx>
            <c:v>#17 G+1</c:v>
          </c:tx>
          <c:marker>
            <c:symbol val="none"/>
          </c:marker>
          <c:xVal>
            <c:numRef>
              <c:f>Stufengrün!$AE$84:$AE$101</c:f>
              <c:numCache>
                <c:formatCode>0.000</c:formatCode>
                <c:ptCount val="18"/>
                <c:pt idx="0" formatCode="General">
                  <c:v>-2</c:v>
                </c:pt>
                <c:pt idx="1">
                  <c:v>-1.4616059968409472</c:v>
                </c:pt>
                <c:pt idx="2">
                  <c:v>-0.93001918678854067</c:v>
                </c:pt>
                <c:pt idx="3">
                  <c:v>-0.66000334397619953</c:v>
                </c:pt>
                <c:pt idx="4">
                  <c:v>-0.49075210650337253</c:v>
                </c:pt>
                <c:pt idx="5">
                  <c:v>-0.36836040959449939</c:v>
                </c:pt>
                <c:pt idx="6">
                  <c:v>-0.27035186996590777</c:v>
                </c:pt>
                <c:pt idx="7">
                  <c:v>-0.18321833372345622</c:v>
                </c:pt>
                <c:pt idx="8">
                  <c:v>-8.983369412744914E-2</c:v>
                </c:pt>
                <c:pt idx="9">
                  <c:v>8.983369412744914E-2</c:v>
                </c:pt>
                <c:pt idx="10">
                  <c:v>0.18321833372345622</c:v>
                </c:pt>
                <c:pt idx="11">
                  <c:v>0.27035186996590777</c:v>
                </c:pt>
                <c:pt idx="12">
                  <c:v>0.36836040959449939</c:v>
                </c:pt>
                <c:pt idx="13">
                  <c:v>0.49075210650337253</c:v>
                </c:pt>
                <c:pt idx="14">
                  <c:v>0.66000334397619953</c:v>
                </c:pt>
                <c:pt idx="15">
                  <c:v>0.93001918678854067</c:v>
                </c:pt>
                <c:pt idx="16">
                  <c:v>1.4616059968409472</c:v>
                </c:pt>
                <c:pt idx="17" formatCode="General">
                  <c:v>2</c:v>
                </c:pt>
              </c:numCache>
            </c:numRef>
          </c:xVal>
          <c:yVal>
            <c:numRef>
              <c:f>Stufengrün!$AO$84:$AO$101</c:f>
              <c:numCache>
                <c:formatCode>General</c:formatCode>
                <c:ptCount val="18"/>
                <c:pt idx="9">
                  <c:v>3.4313943543813355E-2</c:v>
                </c:pt>
                <c:pt idx="10">
                  <c:v>6.4682109182855635E-2</c:v>
                </c:pt>
              </c:numCache>
            </c:numRef>
          </c:yVal>
        </c:ser>
        <c:ser>
          <c:idx val="10"/>
          <c:order val="11"/>
          <c:tx>
            <c:v>#17 G+2</c:v>
          </c:tx>
          <c:marker>
            <c:symbol val="none"/>
          </c:marker>
          <c:xVal>
            <c:numRef>
              <c:f>Stufengrün!$AE$84:$AE$101</c:f>
              <c:numCache>
                <c:formatCode>0.000</c:formatCode>
                <c:ptCount val="18"/>
                <c:pt idx="0" formatCode="General">
                  <c:v>-2</c:v>
                </c:pt>
                <c:pt idx="1">
                  <c:v>-1.4616059968409472</c:v>
                </c:pt>
                <c:pt idx="2">
                  <c:v>-0.93001918678854067</c:v>
                </c:pt>
                <c:pt idx="3">
                  <c:v>-0.66000334397619953</c:v>
                </c:pt>
                <c:pt idx="4">
                  <c:v>-0.49075210650337253</c:v>
                </c:pt>
                <c:pt idx="5">
                  <c:v>-0.36836040959449939</c:v>
                </c:pt>
                <c:pt idx="6">
                  <c:v>-0.27035186996590777</c:v>
                </c:pt>
                <c:pt idx="7">
                  <c:v>-0.18321833372345622</c:v>
                </c:pt>
                <c:pt idx="8">
                  <c:v>-8.983369412744914E-2</c:v>
                </c:pt>
                <c:pt idx="9">
                  <c:v>8.983369412744914E-2</c:v>
                </c:pt>
                <c:pt idx="10">
                  <c:v>0.18321833372345622</c:v>
                </c:pt>
                <c:pt idx="11">
                  <c:v>0.27035186996590777</c:v>
                </c:pt>
                <c:pt idx="12">
                  <c:v>0.36836040959449939</c:v>
                </c:pt>
                <c:pt idx="13">
                  <c:v>0.49075210650337253</c:v>
                </c:pt>
                <c:pt idx="14">
                  <c:v>0.66000334397619953</c:v>
                </c:pt>
                <c:pt idx="15">
                  <c:v>0.93001918678854067</c:v>
                </c:pt>
                <c:pt idx="16">
                  <c:v>1.4616059968409472</c:v>
                </c:pt>
                <c:pt idx="17" formatCode="General">
                  <c:v>2</c:v>
                </c:pt>
              </c:numCache>
            </c:numRef>
          </c:xVal>
          <c:yVal>
            <c:numRef>
              <c:f>Stufengrün!$AP$84:$AP$101</c:f>
              <c:numCache>
                <c:formatCode>General</c:formatCode>
                <c:ptCount val="18"/>
                <c:pt idx="10">
                  <c:v>6.4682109182855635E-2</c:v>
                </c:pt>
                <c:pt idx="11">
                  <c:v>8.7449584297898064E-2</c:v>
                </c:pt>
              </c:numCache>
            </c:numRef>
          </c:yVal>
        </c:ser>
        <c:ser>
          <c:idx val="11"/>
          <c:order val="12"/>
          <c:tx>
            <c:v>#17 G+3</c:v>
          </c:tx>
          <c:marker>
            <c:symbol val="none"/>
          </c:marker>
          <c:xVal>
            <c:numRef>
              <c:f>Stufengrün!$AE$84:$AE$101</c:f>
              <c:numCache>
                <c:formatCode>0.000</c:formatCode>
                <c:ptCount val="18"/>
                <c:pt idx="0" formatCode="General">
                  <c:v>-2</c:v>
                </c:pt>
                <c:pt idx="1">
                  <c:v>-1.4616059968409472</c:v>
                </c:pt>
                <c:pt idx="2">
                  <c:v>-0.93001918678854067</c:v>
                </c:pt>
                <c:pt idx="3">
                  <c:v>-0.66000334397619953</c:v>
                </c:pt>
                <c:pt idx="4">
                  <c:v>-0.49075210650337253</c:v>
                </c:pt>
                <c:pt idx="5">
                  <c:v>-0.36836040959449939</c:v>
                </c:pt>
                <c:pt idx="6">
                  <c:v>-0.27035186996590777</c:v>
                </c:pt>
                <c:pt idx="7">
                  <c:v>-0.18321833372345622</c:v>
                </c:pt>
                <c:pt idx="8">
                  <c:v>-8.983369412744914E-2</c:v>
                </c:pt>
                <c:pt idx="9">
                  <c:v>8.983369412744914E-2</c:v>
                </c:pt>
                <c:pt idx="10">
                  <c:v>0.18321833372345622</c:v>
                </c:pt>
                <c:pt idx="11">
                  <c:v>0.27035186996590777</c:v>
                </c:pt>
                <c:pt idx="12">
                  <c:v>0.36836040959449939</c:v>
                </c:pt>
                <c:pt idx="13">
                  <c:v>0.49075210650337253</c:v>
                </c:pt>
                <c:pt idx="14">
                  <c:v>0.66000334397619953</c:v>
                </c:pt>
                <c:pt idx="15">
                  <c:v>0.93001918678854067</c:v>
                </c:pt>
                <c:pt idx="16">
                  <c:v>1.4616059968409472</c:v>
                </c:pt>
                <c:pt idx="17" formatCode="General">
                  <c:v>2</c:v>
                </c:pt>
              </c:numCache>
            </c:numRef>
          </c:xVal>
          <c:yVal>
            <c:numRef>
              <c:f>Stufengrün!$AQ$84:$AQ$101</c:f>
              <c:numCache>
                <c:formatCode>General</c:formatCode>
                <c:ptCount val="18"/>
                <c:pt idx="11">
                  <c:v>8.7449584297898064E-2</c:v>
                </c:pt>
                <c:pt idx="12">
                  <c:v>0.10710105025094166</c:v>
                </c:pt>
              </c:numCache>
            </c:numRef>
          </c:yVal>
        </c:ser>
        <c:ser>
          <c:idx val="12"/>
          <c:order val="13"/>
          <c:tx>
            <c:v>#17 G+4</c:v>
          </c:tx>
          <c:marker>
            <c:symbol val="none"/>
          </c:marker>
          <c:xVal>
            <c:numRef>
              <c:f>Stufengrün!$AE$84:$AE$101</c:f>
              <c:numCache>
                <c:formatCode>0.000</c:formatCode>
                <c:ptCount val="18"/>
                <c:pt idx="0" formatCode="General">
                  <c:v>-2</c:v>
                </c:pt>
                <c:pt idx="1">
                  <c:v>-1.4616059968409472</c:v>
                </c:pt>
                <c:pt idx="2">
                  <c:v>-0.93001918678854067</c:v>
                </c:pt>
                <c:pt idx="3">
                  <c:v>-0.66000334397619953</c:v>
                </c:pt>
                <c:pt idx="4">
                  <c:v>-0.49075210650337253</c:v>
                </c:pt>
                <c:pt idx="5">
                  <c:v>-0.36836040959449939</c:v>
                </c:pt>
                <c:pt idx="6">
                  <c:v>-0.27035186996590777</c:v>
                </c:pt>
                <c:pt idx="7">
                  <c:v>-0.18321833372345622</c:v>
                </c:pt>
                <c:pt idx="8">
                  <c:v>-8.983369412744914E-2</c:v>
                </c:pt>
                <c:pt idx="9">
                  <c:v>8.983369412744914E-2</c:v>
                </c:pt>
                <c:pt idx="10">
                  <c:v>0.18321833372345622</c:v>
                </c:pt>
                <c:pt idx="11">
                  <c:v>0.27035186996590777</c:v>
                </c:pt>
                <c:pt idx="12">
                  <c:v>0.36836040959449939</c:v>
                </c:pt>
                <c:pt idx="13">
                  <c:v>0.49075210650337253</c:v>
                </c:pt>
                <c:pt idx="14">
                  <c:v>0.66000334397619953</c:v>
                </c:pt>
                <c:pt idx="15">
                  <c:v>0.93001918678854067</c:v>
                </c:pt>
                <c:pt idx="16">
                  <c:v>1.4616059968409472</c:v>
                </c:pt>
                <c:pt idx="17" formatCode="General">
                  <c:v>2</c:v>
                </c:pt>
              </c:numCache>
            </c:numRef>
          </c:xVal>
          <c:yVal>
            <c:numRef>
              <c:f>Stufengrün!$AR$84:$AR$101</c:f>
              <c:numCache>
                <c:formatCode>General</c:formatCode>
                <c:ptCount val="18"/>
                <c:pt idx="12">
                  <c:v>0.10710105025094166</c:v>
                </c:pt>
                <c:pt idx="13">
                  <c:v>0.12485415650743587</c:v>
                </c:pt>
              </c:numCache>
            </c:numRef>
          </c:yVal>
        </c:ser>
        <c:ser>
          <c:idx val="13"/>
          <c:order val="14"/>
          <c:tx>
            <c:v>#17 G+5</c:v>
          </c:tx>
          <c:marker>
            <c:symbol val="none"/>
          </c:marker>
          <c:xVal>
            <c:numRef>
              <c:f>Stufengrün!$AE$84:$AE$101</c:f>
              <c:numCache>
                <c:formatCode>0.000</c:formatCode>
                <c:ptCount val="18"/>
                <c:pt idx="0" formatCode="General">
                  <c:v>-2</c:v>
                </c:pt>
                <c:pt idx="1">
                  <c:v>-1.4616059968409472</c:v>
                </c:pt>
                <c:pt idx="2">
                  <c:v>-0.93001918678854067</c:v>
                </c:pt>
                <c:pt idx="3">
                  <c:v>-0.66000334397619953</c:v>
                </c:pt>
                <c:pt idx="4">
                  <c:v>-0.49075210650337253</c:v>
                </c:pt>
                <c:pt idx="5">
                  <c:v>-0.36836040959449939</c:v>
                </c:pt>
                <c:pt idx="6">
                  <c:v>-0.27035186996590777</c:v>
                </c:pt>
                <c:pt idx="7">
                  <c:v>-0.18321833372345622</c:v>
                </c:pt>
                <c:pt idx="8">
                  <c:v>-8.983369412744914E-2</c:v>
                </c:pt>
                <c:pt idx="9">
                  <c:v>8.983369412744914E-2</c:v>
                </c:pt>
                <c:pt idx="10">
                  <c:v>0.18321833372345622</c:v>
                </c:pt>
                <c:pt idx="11">
                  <c:v>0.27035186996590777</c:v>
                </c:pt>
                <c:pt idx="12">
                  <c:v>0.36836040959449939</c:v>
                </c:pt>
                <c:pt idx="13">
                  <c:v>0.49075210650337253</c:v>
                </c:pt>
                <c:pt idx="14">
                  <c:v>0.66000334397619953</c:v>
                </c:pt>
                <c:pt idx="15">
                  <c:v>0.93001918678854067</c:v>
                </c:pt>
                <c:pt idx="16">
                  <c:v>1.4616059968409472</c:v>
                </c:pt>
                <c:pt idx="17" formatCode="General">
                  <c:v>2</c:v>
                </c:pt>
              </c:numCache>
            </c:numRef>
          </c:xVal>
          <c:yVal>
            <c:numRef>
              <c:f>Stufengrün!$AS$84:$AS$101</c:f>
              <c:numCache>
                <c:formatCode>General</c:formatCode>
                <c:ptCount val="18"/>
                <c:pt idx="13">
                  <c:v>0.12485415650743587</c:v>
                </c:pt>
                <c:pt idx="14">
                  <c:v>0.14145200768569341</c:v>
                </c:pt>
              </c:numCache>
            </c:numRef>
          </c:yVal>
        </c:ser>
        <c:ser>
          <c:idx val="14"/>
          <c:order val="15"/>
          <c:tx>
            <c:v>#17 G+6</c:v>
          </c:tx>
          <c:marker>
            <c:symbol val="none"/>
          </c:marker>
          <c:xVal>
            <c:numRef>
              <c:f>Stufengrün!$AE$84:$AE$101</c:f>
              <c:numCache>
                <c:formatCode>0.000</c:formatCode>
                <c:ptCount val="18"/>
                <c:pt idx="0" formatCode="General">
                  <c:v>-2</c:v>
                </c:pt>
                <c:pt idx="1">
                  <c:v>-1.4616059968409472</c:v>
                </c:pt>
                <c:pt idx="2">
                  <c:v>-0.93001918678854067</c:v>
                </c:pt>
                <c:pt idx="3">
                  <c:v>-0.66000334397619953</c:v>
                </c:pt>
                <c:pt idx="4">
                  <c:v>-0.49075210650337253</c:v>
                </c:pt>
                <c:pt idx="5">
                  <c:v>-0.36836040959449939</c:v>
                </c:pt>
                <c:pt idx="6">
                  <c:v>-0.27035186996590777</c:v>
                </c:pt>
                <c:pt idx="7">
                  <c:v>-0.18321833372345622</c:v>
                </c:pt>
                <c:pt idx="8">
                  <c:v>-8.983369412744914E-2</c:v>
                </c:pt>
                <c:pt idx="9">
                  <c:v>8.983369412744914E-2</c:v>
                </c:pt>
                <c:pt idx="10">
                  <c:v>0.18321833372345622</c:v>
                </c:pt>
                <c:pt idx="11">
                  <c:v>0.27035186996590777</c:v>
                </c:pt>
                <c:pt idx="12">
                  <c:v>0.36836040959449939</c:v>
                </c:pt>
                <c:pt idx="13">
                  <c:v>0.49075210650337253</c:v>
                </c:pt>
                <c:pt idx="14">
                  <c:v>0.66000334397619953</c:v>
                </c:pt>
                <c:pt idx="15">
                  <c:v>0.93001918678854067</c:v>
                </c:pt>
                <c:pt idx="16">
                  <c:v>1.4616059968409472</c:v>
                </c:pt>
                <c:pt idx="17" formatCode="General">
                  <c:v>2</c:v>
                </c:pt>
              </c:numCache>
            </c:numRef>
          </c:xVal>
          <c:yVal>
            <c:numRef>
              <c:f>Stufengrün!$AT$84:$AT$101</c:f>
              <c:numCache>
                <c:formatCode>General</c:formatCode>
                <c:ptCount val="18"/>
                <c:pt idx="14">
                  <c:v>0.14145200768569341</c:v>
                </c:pt>
                <c:pt idx="15">
                  <c:v>0.15749055948447155</c:v>
                </c:pt>
              </c:numCache>
            </c:numRef>
          </c:yVal>
        </c:ser>
        <c:ser>
          <c:idx val="15"/>
          <c:order val="16"/>
          <c:tx>
            <c:v>#17 G+7</c:v>
          </c:tx>
          <c:marker>
            <c:symbol val="none"/>
          </c:marker>
          <c:xVal>
            <c:numRef>
              <c:f>Stufengrün!$AE$84:$AE$101</c:f>
              <c:numCache>
                <c:formatCode>0.000</c:formatCode>
                <c:ptCount val="18"/>
                <c:pt idx="0" formatCode="General">
                  <c:v>-2</c:v>
                </c:pt>
                <c:pt idx="1">
                  <c:v>-1.4616059968409472</c:v>
                </c:pt>
                <c:pt idx="2">
                  <c:v>-0.93001918678854067</c:v>
                </c:pt>
                <c:pt idx="3">
                  <c:v>-0.66000334397619953</c:v>
                </c:pt>
                <c:pt idx="4">
                  <c:v>-0.49075210650337253</c:v>
                </c:pt>
                <c:pt idx="5">
                  <c:v>-0.36836040959449939</c:v>
                </c:pt>
                <c:pt idx="6">
                  <c:v>-0.27035186996590777</c:v>
                </c:pt>
                <c:pt idx="7">
                  <c:v>-0.18321833372345622</c:v>
                </c:pt>
                <c:pt idx="8">
                  <c:v>-8.983369412744914E-2</c:v>
                </c:pt>
                <c:pt idx="9">
                  <c:v>8.983369412744914E-2</c:v>
                </c:pt>
                <c:pt idx="10">
                  <c:v>0.18321833372345622</c:v>
                </c:pt>
                <c:pt idx="11">
                  <c:v>0.27035186996590777</c:v>
                </c:pt>
                <c:pt idx="12">
                  <c:v>0.36836040959449939</c:v>
                </c:pt>
                <c:pt idx="13">
                  <c:v>0.49075210650337253</c:v>
                </c:pt>
                <c:pt idx="14">
                  <c:v>0.66000334397619953</c:v>
                </c:pt>
                <c:pt idx="15">
                  <c:v>0.93001918678854067</c:v>
                </c:pt>
                <c:pt idx="16">
                  <c:v>1.4616059968409472</c:v>
                </c:pt>
                <c:pt idx="17" formatCode="General">
                  <c:v>2</c:v>
                </c:pt>
              </c:numCache>
            </c:numRef>
          </c:xVal>
          <c:yVal>
            <c:numRef>
              <c:f>Stufengrün!$AU$84:$AU$101</c:f>
              <c:numCache>
                <c:formatCode>General</c:formatCode>
                <c:ptCount val="18"/>
                <c:pt idx="15">
                  <c:v>0.15749055948447155</c:v>
                </c:pt>
                <c:pt idx="16">
                  <c:v>0.17341447243330643</c:v>
                </c:pt>
              </c:numCache>
            </c:numRef>
          </c:yVal>
        </c:ser>
        <c:ser>
          <c:idx val="16"/>
          <c:order val="17"/>
          <c:tx>
            <c:v>#17 G+8</c:v>
          </c:tx>
          <c:marker>
            <c:symbol val="none"/>
          </c:marker>
          <c:xVal>
            <c:numRef>
              <c:f>Stufengrün!$AE$84:$AE$101</c:f>
              <c:numCache>
                <c:formatCode>0.000</c:formatCode>
                <c:ptCount val="18"/>
                <c:pt idx="0" formatCode="General">
                  <c:v>-2</c:v>
                </c:pt>
                <c:pt idx="1">
                  <c:v>-1.4616059968409472</c:v>
                </c:pt>
                <c:pt idx="2">
                  <c:v>-0.93001918678854067</c:v>
                </c:pt>
                <c:pt idx="3">
                  <c:v>-0.66000334397619953</c:v>
                </c:pt>
                <c:pt idx="4">
                  <c:v>-0.49075210650337253</c:v>
                </c:pt>
                <c:pt idx="5">
                  <c:v>-0.36836040959449939</c:v>
                </c:pt>
                <c:pt idx="6">
                  <c:v>-0.27035186996590777</c:v>
                </c:pt>
                <c:pt idx="7">
                  <c:v>-0.18321833372345622</c:v>
                </c:pt>
                <c:pt idx="8">
                  <c:v>-8.983369412744914E-2</c:v>
                </c:pt>
                <c:pt idx="9">
                  <c:v>8.983369412744914E-2</c:v>
                </c:pt>
                <c:pt idx="10">
                  <c:v>0.18321833372345622</c:v>
                </c:pt>
                <c:pt idx="11">
                  <c:v>0.27035186996590777</c:v>
                </c:pt>
                <c:pt idx="12">
                  <c:v>0.36836040959449939</c:v>
                </c:pt>
                <c:pt idx="13">
                  <c:v>0.49075210650337253</c:v>
                </c:pt>
                <c:pt idx="14">
                  <c:v>0.66000334397619953</c:v>
                </c:pt>
                <c:pt idx="15">
                  <c:v>0.93001918678854067</c:v>
                </c:pt>
                <c:pt idx="16">
                  <c:v>1.4616059968409472</c:v>
                </c:pt>
                <c:pt idx="17" formatCode="General">
                  <c:v>2</c:v>
                </c:pt>
              </c:numCache>
            </c:numRef>
          </c:xVal>
          <c:yVal>
            <c:numRef>
              <c:f>Stufengrün!$AV$84:$AV$101</c:f>
              <c:numCache>
                <c:formatCode>General</c:formatCode>
                <c:ptCount val="18"/>
                <c:pt idx="16">
                  <c:v>0.17341447243330643</c:v>
                </c:pt>
                <c:pt idx="17">
                  <c:v>0.17897261731549866</c:v>
                </c:pt>
              </c:numCache>
            </c:numRef>
          </c:yVal>
        </c:ser>
        <c:axId val="159282688"/>
        <c:axId val="159284224"/>
      </c:scatterChart>
      <c:valAx>
        <c:axId val="159282688"/>
        <c:scaling>
          <c:orientation val="minMax"/>
        </c:scaling>
        <c:axPos val="b"/>
        <c:minorGridlines/>
        <c:numFmt formatCode="General" sourceLinked="1"/>
        <c:tickLblPos val="nextTo"/>
        <c:crossAx val="159284224"/>
        <c:crosses val="autoZero"/>
        <c:crossBetween val="midCat"/>
      </c:valAx>
      <c:valAx>
        <c:axId val="159284224"/>
        <c:scaling>
          <c:orientation val="minMax"/>
        </c:scaling>
        <c:axPos val="l"/>
        <c:majorGridlines/>
        <c:numFmt formatCode="General" sourceLinked="1"/>
        <c:tickLblPos val="nextTo"/>
        <c:crossAx val="1592826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6025513033833045"/>
          <c:y val="5.0757580033678924E-2"/>
          <c:w val="0.12643372157515254"/>
          <c:h val="0.893705491114691"/>
        </c:manualLayout>
      </c:layout>
      <c:txPr>
        <a:bodyPr/>
        <a:lstStyle/>
        <a:p>
          <a:pPr>
            <a:defRPr sz="800"/>
          </a:pPr>
          <a:endParaRPr lang="de-DE"/>
        </a:p>
      </c:txPr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lineMarker"/>
        <c:ser>
          <c:idx val="0"/>
          <c:order val="0"/>
          <c:tx>
            <c:strRef>
              <c:f>Stufengrün!$B$167</c:f>
              <c:strCache>
                <c:ptCount val="1"/>
                <c:pt idx="0">
                  <c:v>X</c:v>
                </c:pt>
              </c:strCache>
            </c:strRef>
          </c:tx>
          <c:spPr>
            <a:ln w="28575">
              <a:solidFill>
                <a:srgbClr val="C0504D">
                  <a:shade val="95000"/>
                  <a:satMod val="105000"/>
                </a:srgbClr>
              </a:solidFill>
            </a:ln>
          </c:spPr>
          <c:xVal>
            <c:numRef>
              <c:f>Stufengrün!$C$166:$F$166</c:f>
              <c:numCache>
                <c:formatCode>General</c:formatCode>
                <c:ptCount val="4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17</c:v>
                </c:pt>
              </c:numCache>
            </c:numRef>
          </c:xVal>
          <c:yVal>
            <c:numRef>
              <c:f>Stufengrün!$C$167:$F$167</c:f>
              <c:numCache>
                <c:formatCode>0.000</c:formatCode>
                <c:ptCount val="4"/>
                <c:pt idx="0">
                  <c:v>-2.6604672048746725E-2</c:v>
                </c:pt>
                <c:pt idx="1">
                  <c:v>-7.3764438719903236E-3</c:v>
                </c:pt>
                <c:pt idx="2">
                  <c:v>-1.7447286662285455E-3</c:v>
                </c:pt>
                <c:pt idx="3">
                  <c:v>0</c:v>
                </c:pt>
              </c:numCache>
            </c:numRef>
          </c:yVal>
        </c:ser>
        <c:axId val="159246976"/>
        <c:axId val="159302016"/>
      </c:scatterChart>
      <c:valAx>
        <c:axId val="159246976"/>
        <c:scaling>
          <c:orientation val="minMax"/>
        </c:scaling>
        <c:axPos val="b"/>
        <c:majorGridlines/>
        <c:minorGridlines/>
        <c:numFmt formatCode="General" sourceLinked="1"/>
        <c:tickLblPos val="nextTo"/>
        <c:crossAx val="159302016"/>
        <c:crosses val="autoZero"/>
        <c:crossBetween val="midCat"/>
        <c:minorUnit val="5"/>
      </c:valAx>
      <c:valAx>
        <c:axId val="159302016"/>
        <c:scaling>
          <c:orientation val="minMax"/>
          <c:max val="5.0000000000000114E-3"/>
        </c:scaling>
        <c:axPos val="l"/>
        <c:majorGridlines/>
        <c:numFmt formatCode="0.000" sourceLinked="1"/>
        <c:tickLblPos val="nextTo"/>
        <c:crossAx val="15924697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lineMarker"/>
        <c:ser>
          <c:idx val="0"/>
          <c:order val="0"/>
          <c:tx>
            <c:strRef>
              <c:f>Stufengrün!$B$168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solidFill>
                <a:srgbClr val="C0504D">
                  <a:shade val="95000"/>
                  <a:satMod val="105000"/>
                </a:srgbClr>
              </a:solidFill>
            </a:ln>
          </c:spPr>
          <c:xVal>
            <c:numRef>
              <c:f>Stufengrün!$C$166:$G$166</c:f>
              <c:numCache>
                <c:formatCode>General</c:formatCode>
                <c:ptCount val="5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17</c:v>
                </c:pt>
                <c:pt idx="4">
                  <c:v>33</c:v>
                </c:pt>
              </c:numCache>
            </c:numRef>
          </c:xVal>
          <c:yVal>
            <c:numRef>
              <c:f>Stufengrün!$C$168:$F$168</c:f>
              <c:numCache>
                <c:formatCode>0.000</c:formatCode>
                <c:ptCount val="4"/>
                <c:pt idx="0">
                  <c:v>2.0743923930736448</c:v>
                </c:pt>
                <c:pt idx="1">
                  <c:v>2.0193997296727311</c:v>
                </c:pt>
                <c:pt idx="2">
                  <c:v>2.004457684626693</c:v>
                </c:pt>
                <c:pt idx="3">
                  <c:v>2</c:v>
                </c:pt>
              </c:numCache>
            </c:numRef>
          </c:yVal>
        </c:ser>
        <c:axId val="159309184"/>
        <c:axId val="159310976"/>
      </c:scatterChart>
      <c:valAx>
        <c:axId val="159309184"/>
        <c:scaling>
          <c:orientation val="minMax"/>
        </c:scaling>
        <c:axPos val="b"/>
        <c:majorGridlines/>
        <c:minorGridlines/>
        <c:numFmt formatCode="General" sourceLinked="1"/>
        <c:tickLblPos val="nextTo"/>
        <c:crossAx val="159310976"/>
        <c:crosses val="autoZero"/>
        <c:crossBetween val="midCat"/>
        <c:minorUnit val="5"/>
      </c:valAx>
      <c:valAx>
        <c:axId val="159310976"/>
        <c:scaling>
          <c:orientation val="minMax"/>
          <c:max val="2.09"/>
        </c:scaling>
        <c:axPos val="l"/>
        <c:majorGridlines/>
        <c:numFmt formatCode="0.000" sourceLinked="1"/>
        <c:tickLblPos val="nextTo"/>
        <c:crossAx val="15930918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autoTitleDeleted val="1"/>
    <c:plotArea>
      <c:layout/>
      <c:scatterChart>
        <c:scatterStyle val="lineMarker"/>
        <c:ser>
          <c:idx val="0"/>
          <c:order val="0"/>
          <c:tx>
            <c:strRef>
              <c:f>Stufengrün!$B$184</c:f>
              <c:strCache>
                <c:ptCount val="1"/>
                <c:pt idx="0">
                  <c:v>X</c:v>
                </c:pt>
              </c:strCache>
            </c:strRef>
          </c:tx>
          <c:spPr>
            <a:ln w="28575">
              <a:solidFill>
                <a:srgbClr val="C0504D">
                  <a:shade val="95000"/>
                  <a:satMod val="105000"/>
                </a:srgbClr>
              </a:solidFill>
            </a:ln>
          </c:spPr>
          <c:xVal>
            <c:numRef>
              <c:f>Stufengrün!$C$183:$F$183</c:f>
              <c:numCache>
                <c:formatCode>General</c:formatCode>
                <c:ptCount val="4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17</c:v>
                </c:pt>
              </c:numCache>
            </c:numRef>
          </c:xVal>
          <c:yVal>
            <c:numRef>
              <c:f>Stufengrün!$C$184:$F$184</c:f>
              <c:numCache>
                <c:formatCode>0.000</c:formatCode>
                <c:ptCount val="4"/>
                <c:pt idx="0">
                  <c:v>-2.4561544376170197E-2</c:v>
                </c:pt>
                <c:pt idx="1">
                  <c:v>-6.9113222141484743E-3</c:v>
                </c:pt>
                <c:pt idx="2">
                  <c:v>-1.9110334030263409E-3</c:v>
                </c:pt>
                <c:pt idx="3">
                  <c:v>-4.7633497050847406E-4</c:v>
                </c:pt>
              </c:numCache>
            </c:numRef>
          </c:yVal>
        </c:ser>
        <c:axId val="159317376"/>
        <c:axId val="159401088"/>
      </c:scatterChart>
      <c:valAx>
        <c:axId val="159317376"/>
        <c:scaling>
          <c:orientation val="minMax"/>
        </c:scaling>
        <c:axPos val="b"/>
        <c:majorGridlines/>
        <c:minorGridlines/>
        <c:numFmt formatCode="General" sourceLinked="1"/>
        <c:tickLblPos val="nextTo"/>
        <c:crossAx val="159401088"/>
        <c:crosses val="autoZero"/>
        <c:crossBetween val="midCat"/>
        <c:minorUnit val="5"/>
      </c:valAx>
      <c:valAx>
        <c:axId val="159401088"/>
        <c:scaling>
          <c:orientation val="minMax"/>
          <c:max val="5.0000000000000114E-3"/>
        </c:scaling>
        <c:axPos val="l"/>
        <c:majorGridlines/>
        <c:numFmt formatCode="0.000" sourceLinked="1"/>
        <c:tickLblPos val="nextTo"/>
        <c:crossAx val="15931737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4" Type="http://schemas.openxmlformats.org/officeDocument/2006/relationships/chart" Target="../charts/chart4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13</xdr:row>
      <xdr:rowOff>66675</xdr:rowOff>
    </xdr:from>
    <xdr:to>
      <xdr:col>32</xdr:col>
      <xdr:colOff>380999</xdr:colOff>
      <xdr:row>27</xdr:row>
      <xdr:rowOff>76201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9524</xdr:colOff>
      <xdr:row>114</xdr:row>
      <xdr:rowOff>180975</xdr:rowOff>
    </xdr:from>
    <xdr:to>
      <xdr:col>16</xdr:col>
      <xdr:colOff>19049</xdr:colOff>
      <xdr:row>128</xdr:row>
      <xdr:rowOff>171450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371475</xdr:colOff>
      <xdr:row>130</xdr:row>
      <xdr:rowOff>9525</xdr:rowOff>
    </xdr:from>
    <xdr:to>
      <xdr:col>24</xdr:col>
      <xdr:colOff>0</xdr:colOff>
      <xdr:row>144</xdr:row>
      <xdr:rowOff>0</xdr:rowOff>
    </xdr:to>
    <xdr:graphicFrame macro="">
      <xdr:nvGraphicFramePr>
        <xdr:cNvPr id="6" name="Diagram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115</xdr:row>
      <xdr:rowOff>0</xdr:rowOff>
    </xdr:from>
    <xdr:to>
      <xdr:col>32</xdr:col>
      <xdr:colOff>9525</xdr:colOff>
      <xdr:row>128</xdr:row>
      <xdr:rowOff>180975</xdr:rowOff>
    </xdr:to>
    <xdr:graphicFrame macro="">
      <xdr:nvGraphicFramePr>
        <xdr:cNvPr id="7" name="Diagram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0</xdr:colOff>
      <xdr:row>130</xdr:row>
      <xdr:rowOff>9525</xdr:rowOff>
    </xdr:from>
    <xdr:to>
      <xdr:col>40</xdr:col>
      <xdr:colOff>9525</xdr:colOff>
      <xdr:row>144</xdr:row>
      <xdr:rowOff>0</xdr:rowOff>
    </xdr:to>
    <xdr:graphicFrame macro="">
      <xdr:nvGraphicFramePr>
        <xdr:cNvPr id="11" name="Diagramm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9524</xdr:colOff>
      <xdr:row>115</xdr:row>
      <xdr:rowOff>0</xdr:rowOff>
    </xdr:from>
    <xdr:to>
      <xdr:col>48</xdr:col>
      <xdr:colOff>19049</xdr:colOff>
      <xdr:row>128</xdr:row>
      <xdr:rowOff>180975</xdr:rowOff>
    </xdr:to>
    <xdr:graphicFrame macro="">
      <xdr:nvGraphicFramePr>
        <xdr:cNvPr id="12" name="Diagramm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169</xdr:row>
      <xdr:rowOff>28575</xdr:rowOff>
    </xdr:from>
    <xdr:to>
      <xdr:col>14</xdr:col>
      <xdr:colOff>9526</xdr:colOff>
      <xdr:row>181</xdr:row>
      <xdr:rowOff>9525</xdr:rowOff>
    </xdr:to>
    <xdr:graphicFrame macro="">
      <xdr:nvGraphicFramePr>
        <xdr:cNvPr id="8" name="Diagram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0</xdr:colOff>
      <xdr:row>169</xdr:row>
      <xdr:rowOff>0</xdr:rowOff>
    </xdr:from>
    <xdr:to>
      <xdr:col>28</xdr:col>
      <xdr:colOff>9526</xdr:colOff>
      <xdr:row>180</xdr:row>
      <xdr:rowOff>161925</xdr:rowOff>
    </xdr:to>
    <xdr:graphicFrame macro="">
      <xdr:nvGraphicFramePr>
        <xdr:cNvPr id="9" name="Diagramm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186</xdr:row>
      <xdr:rowOff>28575</xdr:rowOff>
    </xdr:from>
    <xdr:to>
      <xdr:col>14</xdr:col>
      <xdr:colOff>9526</xdr:colOff>
      <xdr:row>198</xdr:row>
      <xdr:rowOff>0</xdr:rowOff>
    </xdr:to>
    <xdr:graphicFrame macro="">
      <xdr:nvGraphicFramePr>
        <xdr:cNvPr id="10" name="Diagram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0</xdr:colOff>
      <xdr:row>186</xdr:row>
      <xdr:rowOff>1</xdr:rowOff>
    </xdr:from>
    <xdr:to>
      <xdr:col>28</xdr:col>
      <xdr:colOff>9526</xdr:colOff>
      <xdr:row>198</xdr:row>
      <xdr:rowOff>1</xdr:rowOff>
    </xdr:to>
    <xdr:graphicFrame macro="">
      <xdr:nvGraphicFramePr>
        <xdr:cNvPr id="13" name="Diagramm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19050</xdr:colOff>
      <xdr:row>152</xdr:row>
      <xdr:rowOff>28575</xdr:rowOff>
    </xdr:from>
    <xdr:to>
      <xdr:col>14</xdr:col>
      <xdr:colOff>28576</xdr:colOff>
      <xdr:row>164</xdr:row>
      <xdr:rowOff>9525</xdr:rowOff>
    </xdr:to>
    <xdr:graphicFrame macro="">
      <xdr:nvGraphicFramePr>
        <xdr:cNvPr id="14" name="Diagramm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9525</xdr:colOff>
      <xdr:row>152</xdr:row>
      <xdr:rowOff>28575</xdr:rowOff>
    </xdr:from>
    <xdr:to>
      <xdr:col>28</xdr:col>
      <xdr:colOff>19051</xdr:colOff>
      <xdr:row>164</xdr:row>
      <xdr:rowOff>0</xdr:rowOff>
    </xdr:to>
    <xdr:graphicFrame macro="">
      <xdr:nvGraphicFramePr>
        <xdr:cNvPr id="15" name="Diagramm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9525</xdr:colOff>
      <xdr:row>157</xdr:row>
      <xdr:rowOff>9525</xdr:rowOff>
    </xdr:from>
    <xdr:to>
      <xdr:col>43</xdr:col>
      <xdr:colOff>323850</xdr:colOff>
      <xdr:row>171</xdr:row>
      <xdr:rowOff>85725</xdr:rowOff>
    </xdr:to>
    <xdr:graphicFrame macro="">
      <xdr:nvGraphicFramePr>
        <xdr:cNvPr id="17" name="Diagramm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44</xdr:col>
      <xdr:colOff>19050</xdr:colOff>
      <xdr:row>157</xdr:row>
      <xdr:rowOff>19050</xdr:rowOff>
    </xdr:from>
    <xdr:to>
      <xdr:col>54</xdr:col>
      <xdr:colOff>19050</xdr:colOff>
      <xdr:row>171</xdr:row>
      <xdr:rowOff>95250</xdr:rowOff>
    </xdr:to>
    <xdr:graphicFrame macro="">
      <xdr:nvGraphicFramePr>
        <xdr:cNvPr id="18" name="Diagramm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0</xdr:colOff>
      <xdr:row>184</xdr:row>
      <xdr:rowOff>0</xdr:rowOff>
    </xdr:from>
    <xdr:to>
      <xdr:col>43</xdr:col>
      <xdr:colOff>314325</xdr:colOff>
      <xdr:row>198</xdr:row>
      <xdr:rowOff>76200</xdr:rowOff>
    </xdr:to>
    <xdr:graphicFrame macro="">
      <xdr:nvGraphicFramePr>
        <xdr:cNvPr id="19" name="Diagramm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44</xdr:col>
      <xdr:colOff>0</xdr:colOff>
      <xdr:row>184</xdr:row>
      <xdr:rowOff>0</xdr:rowOff>
    </xdr:from>
    <xdr:to>
      <xdr:col>54</xdr:col>
      <xdr:colOff>0</xdr:colOff>
      <xdr:row>198</xdr:row>
      <xdr:rowOff>76200</xdr:rowOff>
    </xdr:to>
    <xdr:graphicFrame macro="">
      <xdr:nvGraphicFramePr>
        <xdr:cNvPr id="20" name="Diagramm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76200</xdr:colOff>
      <xdr:row>1</xdr:row>
      <xdr:rowOff>19050</xdr:rowOff>
    </xdr:from>
    <xdr:to>
      <xdr:col>56</xdr:col>
      <xdr:colOff>47625</xdr:colOff>
      <xdr:row>32</xdr:row>
      <xdr:rowOff>180976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9525</xdr:colOff>
      <xdr:row>1</xdr:row>
      <xdr:rowOff>9525</xdr:rowOff>
    </xdr:from>
    <xdr:to>
      <xdr:col>38</xdr:col>
      <xdr:colOff>361950</xdr:colOff>
      <xdr:row>32</xdr:row>
      <xdr:rowOff>171451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102825</xdr:colOff>
      <xdr:row>21</xdr:row>
      <xdr:rowOff>87675</xdr:rowOff>
    </xdr:from>
    <xdr:to>
      <xdr:col>26</xdr:col>
      <xdr:colOff>81825</xdr:colOff>
      <xdr:row>27</xdr:row>
      <xdr:rowOff>24675</xdr:rowOff>
    </xdr:to>
    <xdr:sp macro="" textlink="">
      <xdr:nvSpPr>
        <xdr:cNvPr id="4" name="Pfeil nach rechts 3"/>
        <xdr:cNvSpPr/>
      </xdr:nvSpPr>
      <xdr:spPr>
        <a:xfrm rot="16200000">
          <a:off x="9267825" y="4448175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42</xdr:col>
      <xdr:colOff>188550</xdr:colOff>
      <xdr:row>21</xdr:row>
      <xdr:rowOff>40050</xdr:rowOff>
    </xdr:from>
    <xdr:to>
      <xdr:col>43</xdr:col>
      <xdr:colOff>167550</xdr:colOff>
      <xdr:row>26</xdr:row>
      <xdr:rowOff>167550</xdr:rowOff>
    </xdr:to>
    <xdr:sp macro="" textlink="">
      <xdr:nvSpPr>
        <xdr:cNvPr id="5" name="Pfeil nach rechts 4"/>
        <xdr:cNvSpPr/>
      </xdr:nvSpPr>
      <xdr:spPr>
        <a:xfrm rot="16200000">
          <a:off x="15830550" y="4400550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40</xdr:col>
      <xdr:colOff>16422</xdr:colOff>
      <xdr:row>1</xdr:row>
      <xdr:rowOff>133349</xdr:rowOff>
    </xdr:from>
    <xdr:to>
      <xdr:col>54</xdr:col>
      <xdr:colOff>370422</xdr:colOff>
      <xdr:row>31</xdr:row>
      <xdr:rowOff>106349</xdr:rowOff>
    </xdr:to>
    <xdr:sp macro="" textlink="">
      <xdr:nvSpPr>
        <xdr:cNvPr id="6" name="Ellipse 5"/>
        <xdr:cNvSpPr/>
      </xdr:nvSpPr>
      <xdr:spPr>
        <a:xfrm>
          <a:off x="15256422" y="323849"/>
          <a:ext cx="5688000" cy="568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46</xdr:col>
      <xdr:colOff>264073</xdr:colOff>
      <xdr:row>15</xdr:row>
      <xdr:rowOff>0</xdr:rowOff>
    </xdr:from>
    <xdr:to>
      <xdr:col>48</xdr:col>
      <xdr:colOff>114073</xdr:colOff>
      <xdr:row>18</xdr:row>
      <xdr:rowOff>40500</xdr:rowOff>
    </xdr:to>
    <xdr:sp macro="" textlink="">
      <xdr:nvSpPr>
        <xdr:cNvPr id="7" name="Ellipse 6"/>
        <xdr:cNvSpPr/>
      </xdr:nvSpPr>
      <xdr:spPr>
        <a:xfrm>
          <a:off x="17790073" y="2857500"/>
          <a:ext cx="612000" cy="612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76200</xdr:colOff>
      <xdr:row>1</xdr:row>
      <xdr:rowOff>19050</xdr:rowOff>
    </xdr:from>
    <xdr:to>
      <xdr:col>56</xdr:col>
      <xdr:colOff>47625</xdr:colOff>
      <xdr:row>32</xdr:row>
      <xdr:rowOff>180976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9525</xdr:colOff>
      <xdr:row>1</xdr:row>
      <xdr:rowOff>9525</xdr:rowOff>
    </xdr:from>
    <xdr:to>
      <xdr:col>38</xdr:col>
      <xdr:colOff>361950</xdr:colOff>
      <xdr:row>32</xdr:row>
      <xdr:rowOff>171451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102825</xdr:colOff>
      <xdr:row>21</xdr:row>
      <xdr:rowOff>87675</xdr:rowOff>
    </xdr:from>
    <xdr:to>
      <xdr:col>26</xdr:col>
      <xdr:colOff>81825</xdr:colOff>
      <xdr:row>27</xdr:row>
      <xdr:rowOff>24675</xdr:rowOff>
    </xdr:to>
    <xdr:sp macro="" textlink="">
      <xdr:nvSpPr>
        <xdr:cNvPr id="4" name="Pfeil nach rechts 3"/>
        <xdr:cNvSpPr/>
      </xdr:nvSpPr>
      <xdr:spPr>
        <a:xfrm rot="16200000">
          <a:off x="9267825" y="4448175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42</xdr:col>
      <xdr:colOff>188550</xdr:colOff>
      <xdr:row>21</xdr:row>
      <xdr:rowOff>40050</xdr:rowOff>
    </xdr:from>
    <xdr:to>
      <xdr:col>43</xdr:col>
      <xdr:colOff>167550</xdr:colOff>
      <xdr:row>26</xdr:row>
      <xdr:rowOff>167550</xdr:rowOff>
    </xdr:to>
    <xdr:sp macro="" textlink="">
      <xdr:nvSpPr>
        <xdr:cNvPr id="5" name="Pfeil nach rechts 4"/>
        <xdr:cNvSpPr/>
      </xdr:nvSpPr>
      <xdr:spPr>
        <a:xfrm rot="16200000">
          <a:off x="15830550" y="4400550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40</xdr:col>
      <xdr:colOff>16422</xdr:colOff>
      <xdr:row>1</xdr:row>
      <xdr:rowOff>133349</xdr:rowOff>
    </xdr:from>
    <xdr:to>
      <xdr:col>54</xdr:col>
      <xdr:colOff>370422</xdr:colOff>
      <xdr:row>31</xdr:row>
      <xdr:rowOff>106349</xdr:rowOff>
    </xdr:to>
    <xdr:sp macro="" textlink="">
      <xdr:nvSpPr>
        <xdr:cNvPr id="6" name="Ellipse 5"/>
        <xdr:cNvSpPr/>
      </xdr:nvSpPr>
      <xdr:spPr>
        <a:xfrm>
          <a:off x="15256422" y="323849"/>
          <a:ext cx="5688000" cy="568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46</xdr:col>
      <xdr:colOff>264073</xdr:colOff>
      <xdr:row>15</xdr:row>
      <xdr:rowOff>0</xdr:rowOff>
    </xdr:from>
    <xdr:to>
      <xdr:col>48</xdr:col>
      <xdr:colOff>114073</xdr:colOff>
      <xdr:row>18</xdr:row>
      <xdr:rowOff>40500</xdr:rowOff>
    </xdr:to>
    <xdr:sp macro="" textlink="">
      <xdr:nvSpPr>
        <xdr:cNvPr id="7" name="Ellipse 6"/>
        <xdr:cNvSpPr/>
      </xdr:nvSpPr>
      <xdr:spPr>
        <a:xfrm>
          <a:off x="17790073" y="2857500"/>
          <a:ext cx="612000" cy="612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22</xdr:col>
      <xdr:colOff>0</xdr:colOff>
      <xdr:row>37</xdr:row>
      <xdr:rowOff>0</xdr:rowOff>
    </xdr:from>
    <xdr:to>
      <xdr:col>38</xdr:col>
      <xdr:colOff>352425</xdr:colOff>
      <xdr:row>68</xdr:row>
      <xdr:rowOff>161926</xdr:rowOff>
    </xdr:to>
    <xdr:graphicFrame macro="">
      <xdr:nvGraphicFramePr>
        <xdr:cNvPr id="8" name="Diagram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47625</xdr:colOff>
      <xdr:row>57</xdr:row>
      <xdr:rowOff>123825</xdr:rowOff>
    </xdr:from>
    <xdr:to>
      <xdr:col>27</xdr:col>
      <xdr:colOff>26625</xdr:colOff>
      <xdr:row>63</xdr:row>
      <xdr:rowOff>60825</xdr:rowOff>
    </xdr:to>
    <xdr:sp macro="" textlink="">
      <xdr:nvSpPr>
        <xdr:cNvPr id="9" name="Pfeil nach rechts 8"/>
        <xdr:cNvSpPr/>
      </xdr:nvSpPr>
      <xdr:spPr>
        <a:xfrm rot="16200000">
          <a:off x="9593625" y="11342325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380999</xdr:colOff>
      <xdr:row>8</xdr:row>
      <xdr:rowOff>19049</xdr:rowOff>
    </xdr:from>
    <xdr:to>
      <xdr:col>51</xdr:col>
      <xdr:colOff>9524</xdr:colOff>
      <xdr:row>27</xdr:row>
      <xdr:rowOff>180974</xdr:rowOff>
    </xdr:to>
    <xdr:graphicFrame macro="">
      <xdr:nvGraphicFramePr>
        <xdr:cNvPr id="8" name="Diagram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31</xdr:row>
      <xdr:rowOff>9525</xdr:rowOff>
    </xdr:from>
    <xdr:to>
      <xdr:col>51</xdr:col>
      <xdr:colOff>9525</xdr:colOff>
      <xdr:row>50</xdr:row>
      <xdr:rowOff>171450</xdr:rowOff>
    </xdr:to>
    <xdr:graphicFrame macro="">
      <xdr:nvGraphicFramePr>
        <xdr:cNvPr id="9" name="Diagramm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9525</xdr:colOff>
      <xdr:row>0</xdr:row>
      <xdr:rowOff>66674</xdr:rowOff>
    </xdr:from>
    <xdr:to>
      <xdr:col>60</xdr:col>
      <xdr:colOff>352425</xdr:colOff>
      <xdr:row>20</xdr:row>
      <xdr:rowOff>19049</xdr:rowOff>
    </xdr:to>
    <xdr:graphicFrame macro="">
      <xdr:nvGraphicFramePr>
        <xdr:cNvPr id="9" name="Diagramm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45</xdr:col>
      <xdr:colOff>28575</xdr:colOff>
      <xdr:row>20</xdr:row>
      <xdr:rowOff>66675</xdr:rowOff>
    </xdr:from>
    <xdr:to>
      <xdr:col>64</xdr:col>
      <xdr:colOff>371475</xdr:colOff>
      <xdr:row>40</xdr:row>
      <xdr:rowOff>180975</xdr:rowOff>
    </xdr:to>
    <xdr:graphicFrame macro="">
      <xdr:nvGraphicFramePr>
        <xdr:cNvPr id="10" name="Diagram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161926</xdr:colOff>
      <xdr:row>10</xdr:row>
      <xdr:rowOff>9526</xdr:rowOff>
    </xdr:from>
    <xdr:to>
      <xdr:col>22</xdr:col>
      <xdr:colOff>133350</xdr:colOff>
      <xdr:row>35</xdr:row>
      <xdr:rowOff>28576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19050</xdr:colOff>
      <xdr:row>41</xdr:row>
      <xdr:rowOff>104775</xdr:rowOff>
    </xdr:from>
    <xdr:to>
      <xdr:col>60</xdr:col>
      <xdr:colOff>361950</xdr:colOff>
      <xdr:row>62</xdr:row>
      <xdr:rowOff>28575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</xdr:row>
      <xdr:rowOff>9525</xdr:rowOff>
    </xdr:from>
    <xdr:to>
      <xdr:col>31</xdr:col>
      <xdr:colOff>352425</xdr:colOff>
      <xdr:row>32</xdr:row>
      <xdr:rowOff>171451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93300</xdr:colOff>
      <xdr:row>21</xdr:row>
      <xdr:rowOff>87675</xdr:rowOff>
    </xdr:from>
    <xdr:to>
      <xdr:col>19</xdr:col>
      <xdr:colOff>72300</xdr:colOff>
      <xdr:row>27</xdr:row>
      <xdr:rowOff>24675</xdr:rowOff>
    </xdr:to>
    <xdr:sp macro="" textlink="">
      <xdr:nvSpPr>
        <xdr:cNvPr id="3" name="Pfeil nach rechts 2"/>
        <xdr:cNvSpPr/>
      </xdr:nvSpPr>
      <xdr:spPr>
        <a:xfrm rot="5400000">
          <a:off x="6591300" y="4448175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53</xdr:col>
      <xdr:colOff>371475</xdr:colOff>
      <xdr:row>1</xdr:row>
      <xdr:rowOff>9525</xdr:rowOff>
    </xdr:from>
    <xdr:to>
      <xdr:col>70</xdr:col>
      <xdr:colOff>342900</xdr:colOff>
      <xdr:row>32</xdr:row>
      <xdr:rowOff>171451</xdr:rowOff>
    </xdr:to>
    <xdr:graphicFrame macro="">
      <xdr:nvGraphicFramePr>
        <xdr:cNvPr id="18" name="Diagramm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55</xdr:col>
      <xdr:colOff>17100</xdr:colOff>
      <xdr:row>3</xdr:row>
      <xdr:rowOff>78150</xdr:rowOff>
    </xdr:from>
    <xdr:to>
      <xdr:col>55</xdr:col>
      <xdr:colOff>377100</xdr:colOff>
      <xdr:row>9</xdr:row>
      <xdr:rowOff>15150</xdr:rowOff>
    </xdr:to>
    <xdr:sp macro="" textlink="">
      <xdr:nvSpPr>
        <xdr:cNvPr id="19" name="Pfeil nach rechts 18"/>
        <xdr:cNvSpPr/>
      </xdr:nvSpPr>
      <xdr:spPr>
        <a:xfrm rot="5400000">
          <a:off x="20612100" y="1009650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</xdr:row>
      <xdr:rowOff>9525</xdr:rowOff>
    </xdr:from>
    <xdr:to>
      <xdr:col>31</xdr:col>
      <xdr:colOff>352425</xdr:colOff>
      <xdr:row>32</xdr:row>
      <xdr:rowOff>171451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93300</xdr:colOff>
      <xdr:row>21</xdr:row>
      <xdr:rowOff>87675</xdr:rowOff>
    </xdr:from>
    <xdr:to>
      <xdr:col>19</xdr:col>
      <xdr:colOff>72300</xdr:colOff>
      <xdr:row>27</xdr:row>
      <xdr:rowOff>24675</xdr:rowOff>
    </xdr:to>
    <xdr:sp macro="" textlink="">
      <xdr:nvSpPr>
        <xdr:cNvPr id="4" name="Pfeil nach rechts 3"/>
        <xdr:cNvSpPr/>
      </xdr:nvSpPr>
      <xdr:spPr>
        <a:xfrm rot="16200000">
          <a:off x="5448300" y="4448175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21</xdr:col>
      <xdr:colOff>368848</xdr:colOff>
      <xdr:row>1</xdr:row>
      <xdr:rowOff>152400</xdr:rowOff>
    </xdr:from>
    <xdr:to>
      <xdr:col>24</xdr:col>
      <xdr:colOff>377848</xdr:colOff>
      <xdr:row>7</xdr:row>
      <xdr:rowOff>161400</xdr:rowOff>
    </xdr:to>
    <xdr:sp macro="" textlink="">
      <xdr:nvSpPr>
        <xdr:cNvPr id="7" name="Ellipse 6"/>
        <xdr:cNvSpPr/>
      </xdr:nvSpPr>
      <xdr:spPr>
        <a:xfrm>
          <a:off x="7226848" y="342900"/>
          <a:ext cx="1152000" cy="1152000"/>
        </a:xfrm>
        <a:prstGeom prst="ellipse">
          <a:avLst/>
        </a:prstGeom>
        <a:noFill/>
        <a:ln w="19050"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34</xdr:col>
      <xdr:colOff>0</xdr:colOff>
      <xdr:row>26</xdr:row>
      <xdr:rowOff>0</xdr:rowOff>
    </xdr:from>
    <xdr:to>
      <xdr:col>47</xdr:col>
      <xdr:colOff>371476</xdr:colOff>
      <xdr:row>63</xdr:row>
      <xdr:rowOff>47625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257175</xdr:colOff>
      <xdr:row>40</xdr:row>
      <xdr:rowOff>133350</xdr:rowOff>
    </xdr:from>
    <xdr:to>
      <xdr:col>34</xdr:col>
      <xdr:colOff>365175</xdr:colOff>
      <xdr:row>41</xdr:row>
      <xdr:rowOff>50850</xdr:rowOff>
    </xdr:to>
    <xdr:sp macro="" textlink="">
      <xdr:nvSpPr>
        <xdr:cNvPr id="6" name="Ellipse 5"/>
        <xdr:cNvSpPr/>
      </xdr:nvSpPr>
      <xdr:spPr>
        <a:xfrm>
          <a:off x="12068175" y="7772400"/>
          <a:ext cx="108000" cy="108000"/>
        </a:xfrm>
        <a:prstGeom prst="ellipse">
          <a:avLst/>
        </a:prstGeom>
        <a:solidFill>
          <a:schemeClr val="bg1">
            <a:lumMod val="65000"/>
          </a:schemeClr>
        </a:solid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46</xdr:col>
      <xdr:colOff>104775</xdr:colOff>
      <xdr:row>54</xdr:row>
      <xdr:rowOff>66675</xdr:rowOff>
    </xdr:from>
    <xdr:to>
      <xdr:col>47</xdr:col>
      <xdr:colOff>83775</xdr:colOff>
      <xdr:row>60</xdr:row>
      <xdr:rowOff>3675</xdr:rowOff>
    </xdr:to>
    <xdr:sp macro="" textlink="">
      <xdr:nvSpPr>
        <xdr:cNvPr id="8" name="Pfeil nach rechts 7"/>
        <xdr:cNvSpPr/>
      </xdr:nvSpPr>
      <xdr:spPr>
        <a:xfrm rot="16200000">
          <a:off x="16127775" y="10732725"/>
          <a:ext cx="1080000" cy="360000"/>
        </a:xfrm>
        <a:prstGeom prst="rightArrow">
          <a:avLst/>
        </a:prstGeom>
        <a:solidFill>
          <a:schemeClr val="accent5">
            <a:lumMod val="40000"/>
            <a:lumOff val="60000"/>
          </a:schemeClr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59</xdr:col>
      <xdr:colOff>0</xdr:colOff>
      <xdr:row>45</xdr:row>
      <xdr:rowOff>85727</xdr:rowOff>
    </xdr:from>
    <xdr:to>
      <xdr:col>68</xdr:col>
      <xdr:colOff>200025</xdr:colOff>
      <xdr:row>64</xdr:row>
      <xdr:rowOff>95251</xdr:rowOff>
    </xdr:to>
    <xdr:graphicFrame macro="">
      <xdr:nvGraphicFramePr>
        <xdr:cNvPr id="9" name="Diagramm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0</xdr:colOff>
      <xdr:row>26</xdr:row>
      <xdr:rowOff>9525</xdr:rowOff>
    </xdr:from>
    <xdr:to>
      <xdr:col>58</xdr:col>
      <xdr:colOff>200025</xdr:colOff>
      <xdr:row>45</xdr:row>
      <xdr:rowOff>0</xdr:rowOff>
    </xdr:to>
    <xdr:graphicFrame macro="">
      <xdr:nvGraphicFramePr>
        <xdr:cNvPr id="10" name="Diagram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59</xdr:col>
      <xdr:colOff>0</xdr:colOff>
      <xdr:row>26</xdr:row>
      <xdr:rowOff>9525</xdr:rowOff>
    </xdr:from>
    <xdr:to>
      <xdr:col>68</xdr:col>
      <xdr:colOff>200025</xdr:colOff>
      <xdr:row>44</xdr:row>
      <xdr:rowOff>171450</xdr:rowOff>
    </xdr:to>
    <xdr:graphicFrame macro="">
      <xdr:nvGraphicFramePr>
        <xdr:cNvPr id="11" name="Diagramm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69</xdr:col>
      <xdr:colOff>0</xdr:colOff>
      <xdr:row>26</xdr:row>
      <xdr:rowOff>0</xdr:rowOff>
    </xdr:from>
    <xdr:to>
      <xdr:col>78</xdr:col>
      <xdr:colOff>200025</xdr:colOff>
      <xdr:row>44</xdr:row>
      <xdr:rowOff>171450</xdr:rowOff>
    </xdr:to>
    <xdr:graphicFrame macro="">
      <xdr:nvGraphicFramePr>
        <xdr:cNvPr id="12" name="Diagramm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34</xdr:row>
      <xdr:rowOff>0</xdr:rowOff>
    </xdr:from>
    <xdr:to>
      <xdr:col>31</xdr:col>
      <xdr:colOff>352425</xdr:colOff>
      <xdr:row>65</xdr:row>
      <xdr:rowOff>180976</xdr:rowOff>
    </xdr:to>
    <xdr:graphicFrame macro="">
      <xdr:nvGraphicFramePr>
        <xdr:cNvPr id="13" name="Diagramm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55200</xdr:colOff>
      <xdr:row>53</xdr:row>
      <xdr:rowOff>125775</xdr:rowOff>
    </xdr:from>
    <xdr:to>
      <xdr:col>19</xdr:col>
      <xdr:colOff>34200</xdr:colOff>
      <xdr:row>59</xdr:row>
      <xdr:rowOff>62775</xdr:rowOff>
    </xdr:to>
    <xdr:sp macro="" textlink="">
      <xdr:nvSpPr>
        <xdr:cNvPr id="14" name="Pfeil nach rechts 13"/>
        <xdr:cNvSpPr/>
      </xdr:nvSpPr>
      <xdr:spPr>
        <a:xfrm rot="16200000">
          <a:off x="6553200" y="10601325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22</xdr:col>
      <xdr:colOff>264073</xdr:colOff>
      <xdr:row>47</xdr:row>
      <xdr:rowOff>171450</xdr:rowOff>
    </xdr:from>
    <xdr:to>
      <xdr:col>24</xdr:col>
      <xdr:colOff>114073</xdr:colOff>
      <xdr:row>51</xdr:row>
      <xdr:rowOff>21450</xdr:rowOff>
    </xdr:to>
    <xdr:sp macro="" textlink="">
      <xdr:nvSpPr>
        <xdr:cNvPr id="15" name="Ellipse 14"/>
        <xdr:cNvSpPr/>
      </xdr:nvSpPr>
      <xdr:spPr>
        <a:xfrm>
          <a:off x="8646073" y="9144000"/>
          <a:ext cx="612000" cy="612000"/>
        </a:xfrm>
        <a:prstGeom prst="ellipse">
          <a:avLst/>
        </a:prstGeom>
        <a:noFill/>
        <a:ln w="19050"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51</xdr:col>
      <xdr:colOff>38100</xdr:colOff>
      <xdr:row>39</xdr:row>
      <xdr:rowOff>133350</xdr:rowOff>
    </xdr:from>
    <xdr:to>
      <xdr:col>56</xdr:col>
      <xdr:colOff>352425</xdr:colOff>
      <xdr:row>42</xdr:row>
      <xdr:rowOff>180975</xdr:rowOff>
    </xdr:to>
    <xdr:sp macro="" textlink="">
      <xdr:nvSpPr>
        <xdr:cNvPr id="19" name="Textfeld 18"/>
        <xdr:cNvSpPr txBox="1"/>
      </xdr:nvSpPr>
      <xdr:spPr>
        <a:xfrm>
          <a:off x="19469100" y="7581900"/>
          <a:ext cx="2219325" cy="61912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200" b="1">
              <a:latin typeface="Courier New" pitchFamily="49" charset="0"/>
              <a:cs typeface="Courier New" pitchFamily="49" charset="0"/>
            </a:rPr>
            <a:t>Y</a:t>
          </a:r>
          <a:r>
            <a:rPr lang="de-DE" sz="1200" b="1" baseline="0">
              <a:latin typeface="Courier New" pitchFamily="49" charset="0"/>
              <a:cs typeface="Courier New" pitchFamily="49" charset="0"/>
            </a:rPr>
            <a:t> = 3,0735 + 0,2678 x</a:t>
          </a:r>
        </a:p>
        <a:p>
          <a:r>
            <a:rPr lang="de-DE" sz="1200" b="1" baseline="0">
              <a:latin typeface="Courier New" pitchFamily="49" charset="0"/>
              <a:cs typeface="Courier New" pitchFamily="49" charset="0"/>
            </a:rPr>
            <a:t>Y = 2,9713 + 0,2628 x</a:t>
          </a:r>
        </a:p>
        <a:p>
          <a:r>
            <a:rPr lang="de-DE" sz="1200" b="1" baseline="0">
              <a:latin typeface="Courier New" pitchFamily="49" charset="0"/>
              <a:cs typeface="Courier New" pitchFamily="49" charset="0"/>
            </a:rPr>
            <a:t>Y = 2,7765 + 0,2283 x</a:t>
          </a:r>
          <a:endParaRPr lang="de-DE" sz="1200" b="1">
            <a:latin typeface="Courier New" pitchFamily="49" charset="0"/>
            <a:cs typeface="Courier New" pitchFamily="49" charset="0"/>
          </a:endParaRPr>
        </a:p>
      </xdr:txBody>
    </xdr:sp>
    <xdr:clientData/>
  </xdr:twoCellAnchor>
  <xdr:twoCellAnchor>
    <xdr:from>
      <xdr:col>61</xdr:col>
      <xdr:colOff>76200</xdr:colOff>
      <xdr:row>30</xdr:row>
      <xdr:rowOff>161925</xdr:rowOff>
    </xdr:from>
    <xdr:to>
      <xdr:col>67</xdr:col>
      <xdr:colOff>9525</xdr:colOff>
      <xdr:row>34</xdr:row>
      <xdr:rowOff>19050</xdr:rowOff>
    </xdr:to>
    <xdr:sp macro="" textlink="">
      <xdr:nvSpPr>
        <xdr:cNvPr id="20" name="Textfeld 19"/>
        <xdr:cNvSpPr txBox="1"/>
      </xdr:nvSpPr>
      <xdr:spPr>
        <a:xfrm>
          <a:off x="23317200" y="5895975"/>
          <a:ext cx="2219325" cy="61912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200" b="1">
              <a:latin typeface="Courier New" pitchFamily="49" charset="0"/>
              <a:cs typeface="Courier New" pitchFamily="49" charset="0"/>
            </a:rPr>
            <a:t>Y</a:t>
          </a:r>
          <a:r>
            <a:rPr lang="de-DE" sz="1200" b="1" baseline="0">
              <a:latin typeface="Courier New" pitchFamily="49" charset="0"/>
              <a:cs typeface="Courier New" pitchFamily="49" charset="0"/>
            </a:rPr>
            <a:t> = 3,3033 + 0,2120 x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200" b="1" baseline="0">
              <a:latin typeface="Courier New" pitchFamily="49" charset="0"/>
              <a:cs typeface="Courier New" pitchFamily="49" charset="0"/>
            </a:rPr>
            <a:t>Y = 3,0735 + 0,2678 x</a:t>
          </a:r>
        </a:p>
        <a:p>
          <a:r>
            <a:rPr lang="de-DE" sz="1200" b="1" baseline="0">
              <a:latin typeface="Courier New" pitchFamily="49" charset="0"/>
              <a:cs typeface="Courier New" pitchFamily="49" charset="0"/>
            </a:rPr>
            <a:t>Y = 2,7523 + 0,3510 x</a:t>
          </a:r>
          <a:endParaRPr lang="de-DE" sz="1200" b="1">
            <a:latin typeface="Courier New" pitchFamily="49" charset="0"/>
            <a:cs typeface="Courier New" pitchFamily="49" charset="0"/>
          </a:endParaRPr>
        </a:p>
      </xdr:txBody>
    </xdr:sp>
    <xdr:clientData/>
  </xdr:twoCellAnchor>
  <xdr:twoCellAnchor>
    <xdr:from>
      <xdr:col>71</xdr:col>
      <xdr:colOff>19050</xdr:colOff>
      <xdr:row>39</xdr:row>
      <xdr:rowOff>104775</xdr:rowOff>
    </xdr:from>
    <xdr:to>
      <xdr:col>76</xdr:col>
      <xdr:colOff>333375</xdr:colOff>
      <xdr:row>42</xdr:row>
      <xdr:rowOff>152400</xdr:rowOff>
    </xdr:to>
    <xdr:sp macro="" textlink="">
      <xdr:nvSpPr>
        <xdr:cNvPr id="21" name="Textfeld 20"/>
        <xdr:cNvSpPr txBox="1"/>
      </xdr:nvSpPr>
      <xdr:spPr>
        <a:xfrm>
          <a:off x="27070050" y="7553325"/>
          <a:ext cx="2219325" cy="61912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200" b="1">
              <a:latin typeface="Courier New" pitchFamily="49" charset="0"/>
              <a:cs typeface="Courier New" pitchFamily="49" charset="0"/>
            </a:rPr>
            <a:t>Y</a:t>
          </a:r>
          <a:r>
            <a:rPr lang="de-DE" sz="1200" b="1" baseline="0">
              <a:latin typeface="Courier New" pitchFamily="49" charset="0"/>
              <a:cs typeface="Courier New" pitchFamily="49" charset="0"/>
            </a:rPr>
            <a:t> = 3,2362 + 0,3302 x</a:t>
          </a:r>
        </a:p>
        <a:p>
          <a:r>
            <a:rPr lang="de-DE" sz="1200" b="1" baseline="0">
              <a:latin typeface="Courier New" pitchFamily="49" charset="0"/>
              <a:cs typeface="Courier New" pitchFamily="49" charset="0"/>
            </a:rPr>
            <a:t>Y = 3,0735 + 0,2678 x</a:t>
          </a:r>
        </a:p>
        <a:p>
          <a:r>
            <a:rPr lang="de-DE" sz="1200" b="1" baseline="0">
              <a:latin typeface="Courier New" pitchFamily="49" charset="0"/>
              <a:cs typeface="Courier New" pitchFamily="49" charset="0"/>
            </a:rPr>
            <a:t>Y = 2,8638 + 0,2028 x</a:t>
          </a:r>
          <a:endParaRPr lang="de-DE" sz="1200" b="1">
            <a:latin typeface="Courier New" pitchFamily="49" charset="0"/>
            <a:cs typeface="Courier New" pitchFamily="49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9525</xdr:colOff>
      <xdr:row>1</xdr:row>
      <xdr:rowOff>0</xdr:rowOff>
    </xdr:from>
    <xdr:to>
      <xdr:col>55</xdr:col>
      <xdr:colOff>361950</xdr:colOff>
      <xdr:row>32</xdr:row>
      <xdr:rowOff>161926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1</xdr:row>
      <xdr:rowOff>9525</xdr:rowOff>
    </xdr:from>
    <xdr:to>
      <xdr:col>38</xdr:col>
      <xdr:colOff>352425</xdr:colOff>
      <xdr:row>32</xdr:row>
      <xdr:rowOff>171451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140925</xdr:colOff>
      <xdr:row>8</xdr:row>
      <xdr:rowOff>30525</xdr:rowOff>
    </xdr:from>
    <xdr:to>
      <xdr:col>26</xdr:col>
      <xdr:colOff>119925</xdr:colOff>
      <xdr:row>13</xdr:row>
      <xdr:rowOff>158025</xdr:rowOff>
    </xdr:to>
    <xdr:sp macro="" textlink="">
      <xdr:nvSpPr>
        <xdr:cNvPr id="4" name="Pfeil nach rechts 3"/>
        <xdr:cNvSpPr/>
      </xdr:nvSpPr>
      <xdr:spPr>
        <a:xfrm rot="5400000">
          <a:off x="9305925" y="1914525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42</xdr:col>
      <xdr:colOff>121875</xdr:colOff>
      <xdr:row>7</xdr:row>
      <xdr:rowOff>135300</xdr:rowOff>
    </xdr:from>
    <xdr:to>
      <xdr:col>43</xdr:col>
      <xdr:colOff>100875</xdr:colOff>
      <xdr:row>13</xdr:row>
      <xdr:rowOff>72300</xdr:rowOff>
    </xdr:to>
    <xdr:sp macro="" textlink="">
      <xdr:nvSpPr>
        <xdr:cNvPr id="5" name="Pfeil nach rechts 4"/>
        <xdr:cNvSpPr/>
      </xdr:nvSpPr>
      <xdr:spPr>
        <a:xfrm rot="5400000">
          <a:off x="15763875" y="1828800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39</xdr:col>
      <xdr:colOff>333375</xdr:colOff>
      <xdr:row>1</xdr:row>
      <xdr:rowOff>104775</xdr:rowOff>
    </xdr:from>
    <xdr:to>
      <xdr:col>54</xdr:col>
      <xdr:colOff>306375</xdr:colOff>
      <xdr:row>31</xdr:row>
      <xdr:rowOff>77775</xdr:rowOff>
    </xdr:to>
    <xdr:sp macro="" textlink="">
      <xdr:nvSpPr>
        <xdr:cNvPr id="6" name="Ellipse 5"/>
        <xdr:cNvSpPr/>
      </xdr:nvSpPr>
      <xdr:spPr>
        <a:xfrm>
          <a:off x="15192375" y="295275"/>
          <a:ext cx="5688000" cy="568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46</xdr:col>
      <xdr:colOff>206923</xdr:colOff>
      <xdr:row>14</xdr:row>
      <xdr:rowOff>171450</xdr:rowOff>
    </xdr:from>
    <xdr:to>
      <xdr:col>48</xdr:col>
      <xdr:colOff>56923</xdr:colOff>
      <xdr:row>18</xdr:row>
      <xdr:rowOff>21450</xdr:rowOff>
    </xdr:to>
    <xdr:sp macro="" textlink="">
      <xdr:nvSpPr>
        <xdr:cNvPr id="7" name="Ellipse 6"/>
        <xdr:cNvSpPr/>
      </xdr:nvSpPr>
      <xdr:spPr>
        <a:xfrm>
          <a:off x="17732923" y="2838450"/>
          <a:ext cx="612000" cy="612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85725</xdr:colOff>
      <xdr:row>1</xdr:row>
      <xdr:rowOff>19050</xdr:rowOff>
    </xdr:from>
    <xdr:to>
      <xdr:col>56</xdr:col>
      <xdr:colOff>57150</xdr:colOff>
      <xdr:row>32</xdr:row>
      <xdr:rowOff>180976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9525</xdr:colOff>
      <xdr:row>1</xdr:row>
      <xdr:rowOff>9525</xdr:rowOff>
    </xdr:from>
    <xdr:to>
      <xdr:col>38</xdr:col>
      <xdr:colOff>361950</xdr:colOff>
      <xdr:row>32</xdr:row>
      <xdr:rowOff>171451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140925</xdr:colOff>
      <xdr:row>6</xdr:row>
      <xdr:rowOff>163875</xdr:rowOff>
    </xdr:from>
    <xdr:to>
      <xdr:col>26</xdr:col>
      <xdr:colOff>119925</xdr:colOff>
      <xdr:row>12</xdr:row>
      <xdr:rowOff>100875</xdr:rowOff>
    </xdr:to>
    <xdr:sp macro="" textlink="">
      <xdr:nvSpPr>
        <xdr:cNvPr id="4" name="Pfeil nach rechts 3"/>
        <xdr:cNvSpPr/>
      </xdr:nvSpPr>
      <xdr:spPr>
        <a:xfrm rot="5400000">
          <a:off x="9305925" y="1666875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42</xdr:col>
      <xdr:colOff>217125</xdr:colOff>
      <xdr:row>6</xdr:row>
      <xdr:rowOff>125775</xdr:rowOff>
    </xdr:from>
    <xdr:to>
      <xdr:col>43</xdr:col>
      <xdr:colOff>196125</xdr:colOff>
      <xdr:row>12</xdr:row>
      <xdr:rowOff>62775</xdr:rowOff>
    </xdr:to>
    <xdr:sp macro="" textlink="">
      <xdr:nvSpPr>
        <xdr:cNvPr id="5" name="Pfeil nach rechts 4"/>
        <xdr:cNvSpPr/>
      </xdr:nvSpPr>
      <xdr:spPr>
        <a:xfrm rot="5400000">
          <a:off x="15859125" y="1628775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40</xdr:col>
      <xdr:colOff>25947</xdr:colOff>
      <xdr:row>1</xdr:row>
      <xdr:rowOff>133349</xdr:rowOff>
    </xdr:from>
    <xdr:to>
      <xdr:col>54</xdr:col>
      <xdr:colOff>379947</xdr:colOff>
      <xdr:row>31</xdr:row>
      <xdr:rowOff>106349</xdr:rowOff>
    </xdr:to>
    <xdr:sp macro="" textlink="">
      <xdr:nvSpPr>
        <xdr:cNvPr id="6" name="Ellipse 5"/>
        <xdr:cNvSpPr/>
      </xdr:nvSpPr>
      <xdr:spPr>
        <a:xfrm>
          <a:off x="15265947" y="323849"/>
          <a:ext cx="5688000" cy="568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46</xdr:col>
      <xdr:colOff>273598</xdr:colOff>
      <xdr:row>15</xdr:row>
      <xdr:rowOff>0</xdr:rowOff>
    </xdr:from>
    <xdr:to>
      <xdr:col>48</xdr:col>
      <xdr:colOff>123598</xdr:colOff>
      <xdr:row>18</xdr:row>
      <xdr:rowOff>40500</xdr:rowOff>
    </xdr:to>
    <xdr:sp macro="" textlink="">
      <xdr:nvSpPr>
        <xdr:cNvPr id="7" name="Ellipse 6"/>
        <xdr:cNvSpPr/>
      </xdr:nvSpPr>
      <xdr:spPr>
        <a:xfrm>
          <a:off x="17799598" y="2857500"/>
          <a:ext cx="612000" cy="612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76200</xdr:colOff>
      <xdr:row>0</xdr:row>
      <xdr:rowOff>180975</xdr:rowOff>
    </xdr:from>
    <xdr:to>
      <xdr:col>56</xdr:col>
      <xdr:colOff>47625</xdr:colOff>
      <xdr:row>32</xdr:row>
      <xdr:rowOff>152401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9525</xdr:colOff>
      <xdr:row>1</xdr:row>
      <xdr:rowOff>9525</xdr:rowOff>
    </xdr:from>
    <xdr:to>
      <xdr:col>38</xdr:col>
      <xdr:colOff>361950</xdr:colOff>
      <xdr:row>32</xdr:row>
      <xdr:rowOff>171451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140925</xdr:colOff>
      <xdr:row>6</xdr:row>
      <xdr:rowOff>125775</xdr:rowOff>
    </xdr:from>
    <xdr:to>
      <xdr:col>26</xdr:col>
      <xdr:colOff>119925</xdr:colOff>
      <xdr:row>12</xdr:row>
      <xdr:rowOff>62775</xdr:rowOff>
    </xdr:to>
    <xdr:sp macro="" textlink="">
      <xdr:nvSpPr>
        <xdr:cNvPr id="4" name="Pfeil nach rechts 3"/>
        <xdr:cNvSpPr/>
      </xdr:nvSpPr>
      <xdr:spPr>
        <a:xfrm rot="5400000">
          <a:off x="9305925" y="1628775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42</xdr:col>
      <xdr:colOff>198075</xdr:colOff>
      <xdr:row>6</xdr:row>
      <xdr:rowOff>59100</xdr:rowOff>
    </xdr:from>
    <xdr:to>
      <xdr:col>43</xdr:col>
      <xdr:colOff>177075</xdr:colOff>
      <xdr:row>11</xdr:row>
      <xdr:rowOff>186600</xdr:rowOff>
    </xdr:to>
    <xdr:sp macro="" textlink="">
      <xdr:nvSpPr>
        <xdr:cNvPr id="5" name="Pfeil nach rechts 4"/>
        <xdr:cNvSpPr/>
      </xdr:nvSpPr>
      <xdr:spPr>
        <a:xfrm rot="5400000">
          <a:off x="15840075" y="1562100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40</xdr:col>
      <xdr:colOff>16422</xdr:colOff>
      <xdr:row>1</xdr:row>
      <xdr:rowOff>104774</xdr:rowOff>
    </xdr:from>
    <xdr:to>
      <xdr:col>54</xdr:col>
      <xdr:colOff>370422</xdr:colOff>
      <xdr:row>31</xdr:row>
      <xdr:rowOff>77774</xdr:rowOff>
    </xdr:to>
    <xdr:sp macro="" textlink="">
      <xdr:nvSpPr>
        <xdr:cNvPr id="6" name="Ellipse 5"/>
        <xdr:cNvSpPr/>
      </xdr:nvSpPr>
      <xdr:spPr>
        <a:xfrm>
          <a:off x="15256422" y="295274"/>
          <a:ext cx="5688000" cy="568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46</xdr:col>
      <xdr:colOff>264073</xdr:colOff>
      <xdr:row>14</xdr:row>
      <xdr:rowOff>161925</xdr:rowOff>
    </xdr:from>
    <xdr:to>
      <xdr:col>48</xdr:col>
      <xdr:colOff>114073</xdr:colOff>
      <xdr:row>18</xdr:row>
      <xdr:rowOff>11925</xdr:rowOff>
    </xdr:to>
    <xdr:sp macro="" textlink="">
      <xdr:nvSpPr>
        <xdr:cNvPr id="7" name="Ellipse 6"/>
        <xdr:cNvSpPr/>
      </xdr:nvSpPr>
      <xdr:spPr>
        <a:xfrm>
          <a:off x="17790073" y="2828925"/>
          <a:ext cx="612000" cy="612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76200</xdr:colOff>
      <xdr:row>1</xdr:row>
      <xdr:rowOff>19050</xdr:rowOff>
    </xdr:from>
    <xdr:to>
      <xdr:col>56</xdr:col>
      <xdr:colOff>47625</xdr:colOff>
      <xdr:row>32</xdr:row>
      <xdr:rowOff>180976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9525</xdr:colOff>
      <xdr:row>1</xdr:row>
      <xdr:rowOff>9525</xdr:rowOff>
    </xdr:from>
    <xdr:to>
      <xdr:col>38</xdr:col>
      <xdr:colOff>361950</xdr:colOff>
      <xdr:row>32</xdr:row>
      <xdr:rowOff>171451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121875</xdr:colOff>
      <xdr:row>6</xdr:row>
      <xdr:rowOff>182925</xdr:rowOff>
    </xdr:from>
    <xdr:to>
      <xdr:col>26</xdr:col>
      <xdr:colOff>100875</xdr:colOff>
      <xdr:row>12</xdr:row>
      <xdr:rowOff>119925</xdr:rowOff>
    </xdr:to>
    <xdr:sp macro="" textlink="">
      <xdr:nvSpPr>
        <xdr:cNvPr id="4" name="Pfeil nach rechts 3"/>
        <xdr:cNvSpPr/>
      </xdr:nvSpPr>
      <xdr:spPr>
        <a:xfrm rot="5400000">
          <a:off x="9286875" y="1685925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42</xdr:col>
      <xdr:colOff>198075</xdr:colOff>
      <xdr:row>6</xdr:row>
      <xdr:rowOff>144825</xdr:rowOff>
    </xdr:from>
    <xdr:to>
      <xdr:col>43</xdr:col>
      <xdr:colOff>177075</xdr:colOff>
      <xdr:row>12</xdr:row>
      <xdr:rowOff>81825</xdr:rowOff>
    </xdr:to>
    <xdr:sp macro="" textlink="">
      <xdr:nvSpPr>
        <xdr:cNvPr id="5" name="Pfeil nach rechts 4"/>
        <xdr:cNvSpPr/>
      </xdr:nvSpPr>
      <xdr:spPr>
        <a:xfrm rot="5400000">
          <a:off x="15840075" y="1647825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40</xdr:col>
      <xdr:colOff>16422</xdr:colOff>
      <xdr:row>1</xdr:row>
      <xdr:rowOff>133349</xdr:rowOff>
    </xdr:from>
    <xdr:to>
      <xdr:col>54</xdr:col>
      <xdr:colOff>370422</xdr:colOff>
      <xdr:row>31</xdr:row>
      <xdr:rowOff>106349</xdr:rowOff>
    </xdr:to>
    <xdr:sp macro="" textlink="">
      <xdr:nvSpPr>
        <xdr:cNvPr id="6" name="Ellipse 5"/>
        <xdr:cNvSpPr/>
      </xdr:nvSpPr>
      <xdr:spPr>
        <a:xfrm>
          <a:off x="15256422" y="323849"/>
          <a:ext cx="5688000" cy="568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46</xdr:col>
      <xdr:colOff>264073</xdr:colOff>
      <xdr:row>15</xdr:row>
      <xdr:rowOff>0</xdr:rowOff>
    </xdr:from>
    <xdr:to>
      <xdr:col>48</xdr:col>
      <xdr:colOff>114073</xdr:colOff>
      <xdr:row>18</xdr:row>
      <xdr:rowOff>40500</xdr:rowOff>
    </xdr:to>
    <xdr:sp macro="" textlink="">
      <xdr:nvSpPr>
        <xdr:cNvPr id="7" name="Ellipse 6"/>
        <xdr:cNvSpPr/>
      </xdr:nvSpPr>
      <xdr:spPr>
        <a:xfrm>
          <a:off x="17790073" y="2857500"/>
          <a:ext cx="612000" cy="612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76200</xdr:colOff>
      <xdr:row>1</xdr:row>
      <xdr:rowOff>19050</xdr:rowOff>
    </xdr:from>
    <xdr:to>
      <xdr:col>56</xdr:col>
      <xdr:colOff>47625</xdr:colOff>
      <xdr:row>32</xdr:row>
      <xdr:rowOff>180976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9525</xdr:colOff>
      <xdr:row>1</xdr:row>
      <xdr:rowOff>9525</xdr:rowOff>
    </xdr:from>
    <xdr:to>
      <xdr:col>38</xdr:col>
      <xdr:colOff>361950</xdr:colOff>
      <xdr:row>32</xdr:row>
      <xdr:rowOff>171451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131400</xdr:colOff>
      <xdr:row>6</xdr:row>
      <xdr:rowOff>163875</xdr:rowOff>
    </xdr:from>
    <xdr:to>
      <xdr:col>26</xdr:col>
      <xdr:colOff>110400</xdr:colOff>
      <xdr:row>12</xdr:row>
      <xdr:rowOff>100875</xdr:rowOff>
    </xdr:to>
    <xdr:sp macro="" textlink="">
      <xdr:nvSpPr>
        <xdr:cNvPr id="4" name="Pfeil nach rechts 3"/>
        <xdr:cNvSpPr/>
      </xdr:nvSpPr>
      <xdr:spPr>
        <a:xfrm rot="5400000">
          <a:off x="9296400" y="1666875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42</xdr:col>
      <xdr:colOff>207600</xdr:colOff>
      <xdr:row>6</xdr:row>
      <xdr:rowOff>68625</xdr:rowOff>
    </xdr:from>
    <xdr:to>
      <xdr:col>43</xdr:col>
      <xdr:colOff>186600</xdr:colOff>
      <xdr:row>12</xdr:row>
      <xdr:rowOff>5625</xdr:rowOff>
    </xdr:to>
    <xdr:sp macro="" textlink="">
      <xdr:nvSpPr>
        <xdr:cNvPr id="5" name="Pfeil nach rechts 4"/>
        <xdr:cNvSpPr/>
      </xdr:nvSpPr>
      <xdr:spPr>
        <a:xfrm rot="5400000">
          <a:off x="15849600" y="1571625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40</xdr:col>
      <xdr:colOff>16422</xdr:colOff>
      <xdr:row>1</xdr:row>
      <xdr:rowOff>133349</xdr:rowOff>
    </xdr:from>
    <xdr:to>
      <xdr:col>54</xdr:col>
      <xdr:colOff>370422</xdr:colOff>
      <xdr:row>31</xdr:row>
      <xdr:rowOff>106349</xdr:rowOff>
    </xdr:to>
    <xdr:sp macro="" textlink="">
      <xdr:nvSpPr>
        <xdr:cNvPr id="6" name="Ellipse 5"/>
        <xdr:cNvSpPr/>
      </xdr:nvSpPr>
      <xdr:spPr>
        <a:xfrm>
          <a:off x="15256422" y="323849"/>
          <a:ext cx="5688000" cy="568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46</xdr:col>
      <xdr:colOff>264073</xdr:colOff>
      <xdr:row>15</xdr:row>
      <xdr:rowOff>0</xdr:rowOff>
    </xdr:from>
    <xdr:to>
      <xdr:col>48</xdr:col>
      <xdr:colOff>114073</xdr:colOff>
      <xdr:row>18</xdr:row>
      <xdr:rowOff>40500</xdr:rowOff>
    </xdr:to>
    <xdr:sp macro="" textlink="">
      <xdr:nvSpPr>
        <xdr:cNvPr id="7" name="Ellipse 6"/>
        <xdr:cNvSpPr/>
      </xdr:nvSpPr>
      <xdr:spPr>
        <a:xfrm>
          <a:off x="17790073" y="2857500"/>
          <a:ext cx="612000" cy="612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9525</xdr:colOff>
      <xdr:row>1</xdr:row>
      <xdr:rowOff>0</xdr:rowOff>
    </xdr:from>
    <xdr:to>
      <xdr:col>55</xdr:col>
      <xdr:colOff>361950</xdr:colOff>
      <xdr:row>32</xdr:row>
      <xdr:rowOff>161926</xdr:rowOff>
    </xdr:to>
    <xdr:graphicFrame macro="">
      <xdr:nvGraphicFramePr>
        <xdr:cNvPr id="9" name="Diagramm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1</xdr:row>
      <xdr:rowOff>9525</xdr:rowOff>
    </xdr:from>
    <xdr:to>
      <xdr:col>38</xdr:col>
      <xdr:colOff>352425</xdr:colOff>
      <xdr:row>32</xdr:row>
      <xdr:rowOff>171451</xdr:rowOff>
    </xdr:to>
    <xdr:graphicFrame macro="">
      <xdr:nvGraphicFramePr>
        <xdr:cNvPr id="10" name="Diagram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121875</xdr:colOff>
      <xdr:row>21</xdr:row>
      <xdr:rowOff>30525</xdr:rowOff>
    </xdr:from>
    <xdr:to>
      <xdr:col>26</xdr:col>
      <xdr:colOff>100875</xdr:colOff>
      <xdr:row>26</xdr:row>
      <xdr:rowOff>158025</xdr:rowOff>
    </xdr:to>
    <xdr:sp macro="" textlink="">
      <xdr:nvSpPr>
        <xdr:cNvPr id="4" name="Pfeil nach rechts 3"/>
        <xdr:cNvSpPr/>
      </xdr:nvSpPr>
      <xdr:spPr>
        <a:xfrm rot="16200000">
          <a:off x="9286875" y="4391025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42</xdr:col>
      <xdr:colOff>131400</xdr:colOff>
      <xdr:row>20</xdr:row>
      <xdr:rowOff>135300</xdr:rowOff>
    </xdr:from>
    <xdr:to>
      <xdr:col>43</xdr:col>
      <xdr:colOff>110400</xdr:colOff>
      <xdr:row>26</xdr:row>
      <xdr:rowOff>72300</xdr:rowOff>
    </xdr:to>
    <xdr:sp macro="" textlink="">
      <xdr:nvSpPr>
        <xdr:cNvPr id="6" name="Pfeil nach rechts 5"/>
        <xdr:cNvSpPr/>
      </xdr:nvSpPr>
      <xdr:spPr>
        <a:xfrm rot="16200000">
          <a:off x="15773400" y="4305300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39</xdr:col>
      <xdr:colOff>333375</xdr:colOff>
      <xdr:row>1</xdr:row>
      <xdr:rowOff>104775</xdr:rowOff>
    </xdr:from>
    <xdr:to>
      <xdr:col>54</xdr:col>
      <xdr:colOff>306375</xdr:colOff>
      <xdr:row>31</xdr:row>
      <xdr:rowOff>77775</xdr:rowOff>
    </xdr:to>
    <xdr:sp macro="" textlink="">
      <xdr:nvSpPr>
        <xdr:cNvPr id="7" name="Ellipse 6"/>
        <xdr:cNvSpPr/>
      </xdr:nvSpPr>
      <xdr:spPr>
        <a:xfrm>
          <a:off x="15192375" y="295275"/>
          <a:ext cx="5688000" cy="568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46</xdr:col>
      <xdr:colOff>206923</xdr:colOff>
      <xdr:row>14</xdr:row>
      <xdr:rowOff>171450</xdr:rowOff>
    </xdr:from>
    <xdr:to>
      <xdr:col>48</xdr:col>
      <xdr:colOff>56923</xdr:colOff>
      <xdr:row>18</xdr:row>
      <xdr:rowOff>21450</xdr:rowOff>
    </xdr:to>
    <xdr:sp macro="" textlink="">
      <xdr:nvSpPr>
        <xdr:cNvPr id="8" name="Ellipse 7"/>
        <xdr:cNvSpPr/>
      </xdr:nvSpPr>
      <xdr:spPr>
        <a:xfrm>
          <a:off x="17732923" y="2838450"/>
          <a:ext cx="612000" cy="612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85725</xdr:colOff>
      <xdr:row>1</xdr:row>
      <xdr:rowOff>19050</xdr:rowOff>
    </xdr:from>
    <xdr:to>
      <xdr:col>56</xdr:col>
      <xdr:colOff>57150</xdr:colOff>
      <xdr:row>32</xdr:row>
      <xdr:rowOff>180976</xdr:rowOff>
    </xdr:to>
    <xdr:graphicFrame macro="">
      <xdr:nvGraphicFramePr>
        <xdr:cNvPr id="8" name="Diagram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9525</xdr:colOff>
      <xdr:row>1</xdr:row>
      <xdr:rowOff>9525</xdr:rowOff>
    </xdr:from>
    <xdr:to>
      <xdr:col>38</xdr:col>
      <xdr:colOff>361950</xdr:colOff>
      <xdr:row>32</xdr:row>
      <xdr:rowOff>171451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102825</xdr:colOff>
      <xdr:row>21</xdr:row>
      <xdr:rowOff>87675</xdr:rowOff>
    </xdr:from>
    <xdr:to>
      <xdr:col>26</xdr:col>
      <xdr:colOff>81825</xdr:colOff>
      <xdr:row>27</xdr:row>
      <xdr:rowOff>24675</xdr:rowOff>
    </xdr:to>
    <xdr:sp macro="" textlink="">
      <xdr:nvSpPr>
        <xdr:cNvPr id="3" name="Pfeil nach rechts 2"/>
        <xdr:cNvSpPr/>
      </xdr:nvSpPr>
      <xdr:spPr>
        <a:xfrm rot="16200000">
          <a:off x="9267825" y="5019675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42</xdr:col>
      <xdr:colOff>198075</xdr:colOff>
      <xdr:row>21</xdr:row>
      <xdr:rowOff>40050</xdr:rowOff>
    </xdr:from>
    <xdr:to>
      <xdr:col>43</xdr:col>
      <xdr:colOff>177075</xdr:colOff>
      <xdr:row>26</xdr:row>
      <xdr:rowOff>167550</xdr:rowOff>
    </xdr:to>
    <xdr:sp macro="" textlink="">
      <xdr:nvSpPr>
        <xdr:cNvPr id="5" name="Pfeil nach rechts 4"/>
        <xdr:cNvSpPr/>
      </xdr:nvSpPr>
      <xdr:spPr>
        <a:xfrm rot="16200000">
          <a:off x="15840075" y="4400550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40</xdr:col>
      <xdr:colOff>25947</xdr:colOff>
      <xdr:row>1</xdr:row>
      <xdr:rowOff>133349</xdr:rowOff>
    </xdr:from>
    <xdr:to>
      <xdr:col>54</xdr:col>
      <xdr:colOff>379947</xdr:colOff>
      <xdr:row>31</xdr:row>
      <xdr:rowOff>106349</xdr:rowOff>
    </xdr:to>
    <xdr:sp macro="" textlink="">
      <xdr:nvSpPr>
        <xdr:cNvPr id="6" name="Ellipse 5"/>
        <xdr:cNvSpPr/>
      </xdr:nvSpPr>
      <xdr:spPr>
        <a:xfrm>
          <a:off x="15265947" y="323849"/>
          <a:ext cx="5688000" cy="568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46</xdr:col>
      <xdr:colOff>273598</xdr:colOff>
      <xdr:row>15</xdr:row>
      <xdr:rowOff>0</xdr:rowOff>
    </xdr:from>
    <xdr:to>
      <xdr:col>48</xdr:col>
      <xdr:colOff>123598</xdr:colOff>
      <xdr:row>18</xdr:row>
      <xdr:rowOff>40500</xdr:rowOff>
    </xdr:to>
    <xdr:sp macro="" textlink="">
      <xdr:nvSpPr>
        <xdr:cNvPr id="7" name="Ellipse 6"/>
        <xdr:cNvSpPr/>
      </xdr:nvSpPr>
      <xdr:spPr>
        <a:xfrm>
          <a:off x="17799598" y="2857500"/>
          <a:ext cx="612000" cy="612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76200</xdr:colOff>
      <xdr:row>0</xdr:row>
      <xdr:rowOff>180975</xdr:rowOff>
    </xdr:from>
    <xdr:to>
      <xdr:col>56</xdr:col>
      <xdr:colOff>47625</xdr:colOff>
      <xdr:row>32</xdr:row>
      <xdr:rowOff>152401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9525</xdr:colOff>
      <xdr:row>1</xdr:row>
      <xdr:rowOff>9525</xdr:rowOff>
    </xdr:from>
    <xdr:to>
      <xdr:col>38</xdr:col>
      <xdr:colOff>361950</xdr:colOff>
      <xdr:row>32</xdr:row>
      <xdr:rowOff>171451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102825</xdr:colOff>
      <xdr:row>21</xdr:row>
      <xdr:rowOff>87675</xdr:rowOff>
    </xdr:from>
    <xdr:to>
      <xdr:col>26</xdr:col>
      <xdr:colOff>81825</xdr:colOff>
      <xdr:row>27</xdr:row>
      <xdr:rowOff>24675</xdr:rowOff>
    </xdr:to>
    <xdr:sp macro="" textlink="">
      <xdr:nvSpPr>
        <xdr:cNvPr id="4" name="Pfeil nach rechts 3"/>
        <xdr:cNvSpPr/>
      </xdr:nvSpPr>
      <xdr:spPr>
        <a:xfrm rot="16200000">
          <a:off x="9267825" y="4448175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42</xdr:col>
      <xdr:colOff>188550</xdr:colOff>
      <xdr:row>21</xdr:row>
      <xdr:rowOff>11475</xdr:rowOff>
    </xdr:from>
    <xdr:to>
      <xdr:col>43</xdr:col>
      <xdr:colOff>167550</xdr:colOff>
      <xdr:row>26</xdr:row>
      <xdr:rowOff>138975</xdr:rowOff>
    </xdr:to>
    <xdr:sp macro="" textlink="">
      <xdr:nvSpPr>
        <xdr:cNvPr id="5" name="Pfeil nach rechts 4"/>
        <xdr:cNvSpPr/>
      </xdr:nvSpPr>
      <xdr:spPr>
        <a:xfrm rot="16200000">
          <a:off x="15830550" y="4371975"/>
          <a:ext cx="1080000" cy="360000"/>
        </a:xfrm>
        <a:prstGeom prst="rightArrow">
          <a:avLst/>
        </a:prstGeom>
        <a:solidFill>
          <a:srgbClr val="FFFF00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40</xdr:col>
      <xdr:colOff>16422</xdr:colOff>
      <xdr:row>1</xdr:row>
      <xdr:rowOff>104774</xdr:rowOff>
    </xdr:from>
    <xdr:to>
      <xdr:col>54</xdr:col>
      <xdr:colOff>370422</xdr:colOff>
      <xdr:row>31</xdr:row>
      <xdr:rowOff>77774</xdr:rowOff>
    </xdr:to>
    <xdr:sp macro="" textlink="">
      <xdr:nvSpPr>
        <xdr:cNvPr id="6" name="Ellipse 5"/>
        <xdr:cNvSpPr/>
      </xdr:nvSpPr>
      <xdr:spPr>
        <a:xfrm>
          <a:off x="15256422" y="295274"/>
          <a:ext cx="5688000" cy="568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46</xdr:col>
      <xdr:colOff>264073</xdr:colOff>
      <xdr:row>14</xdr:row>
      <xdr:rowOff>161925</xdr:rowOff>
    </xdr:from>
    <xdr:to>
      <xdr:col>48</xdr:col>
      <xdr:colOff>114073</xdr:colOff>
      <xdr:row>18</xdr:row>
      <xdr:rowOff>11925</xdr:rowOff>
    </xdr:to>
    <xdr:sp macro="" textlink="">
      <xdr:nvSpPr>
        <xdr:cNvPr id="7" name="Ellipse 6"/>
        <xdr:cNvSpPr/>
      </xdr:nvSpPr>
      <xdr:spPr>
        <a:xfrm>
          <a:off x="17790073" y="2828925"/>
          <a:ext cx="612000" cy="612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D186"/>
  <sheetViews>
    <sheetView workbookViewId="0">
      <selection activeCell="C3" sqref="C3"/>
    </sheetView>
  </sheetViews>
  <sheetFormatPr baseColWidth="10" defaultRowHeight="15"/>
  <cols>
    <col min="1" max="57" width="5.7109375" customWidth="1"/>
  </cols>
  <sheetData>
    <row r="1" spans="1:56">
      <c r="A1" s="37" t="s">
        <v>39</v>
      </c>
      <c r="B1" s="226" t="s">
        <v>37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</row>
    <row r="2" spans="1:56">
      <c r="A2" s="28"/>
      <c r="B2" s="27" t="s">
        <v>115</v>
      </c>
      <c r="C2" s="26">
        <v>0.2</v>
      </c>
      <c r="D2" s="32" t="s">
        <v>8</v>
      </c>
      <c r="E2" s="227"/>
      <c r="F2" s="27" t="s">
        <v>36</v>
      </c>
      <c r="G2" s="55">
        <v>3</v>
      </c>
      <c r="H2" s="286"/>
      <c r="I2" s="286"/>
      <c r="J2" s="227"/>
      <c r="K2" s="288" t="s">
        <v>149</v>
      </c>
      <c r="L2" s="227"/>
      <c r="M2" s="227"/>
      <c r="N2" s="288" t="s">
        <v>150</v>
      </c>
      <c r="O2" s="227"/>
      <c r="P2" s="227"/>
      <c r="Q2" s="227"/>
      <c r="R2" s="287">
        <f>2*Höhe</f>
        <v>0.4</v>
      </c>
      <c r="S2" s="227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</row>
    <row r="3" spans="1:56">
      <c r="A3" s="28"/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</row>
    <row r="4" spans="1:56">
      <c r="A4" s="37" t="s">
        <v>40</v>
      </c>
      <c r="B4" s="226" t="s">
        <v>50</v>
      </c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</row>
    <row r="5" spans="1:56">
      <c r="A5" s="28"/>
      <c r="B5" s="234" t="s">
        <v>51</v>
      </c>
      <c r="C5" s="185">
        <v>-2</v>
      </c>
      <c r="D5" s="68" t="s">
        <v>8</v>
      </c>
      <c r="E5" s="227"/>
      <c r="F5" s="27" t="s">
        <v>25</v>
      </c>
      <c r="G5" s="186">
        <v>2</v>
      </c>
      <c r="H5" s="224" t="s">
        <v>8</v>
      </c>
      <c r="I5" s="227"/>
      <c r="J5" s="227"/>
      <c r="K5" s="227"/>
      <c r="L5" s="225"/>
      <c r="M5" s="225"/>
      <c r="N5" s="225"/>
      <c r="O5" s="227"/>
      <c r="P5" s="227"/>
      <c r="Q5" s="227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</row>
    <row r="6" spans="1:56">
      <c r="A6" s="28"/>
      <c r="B6" s="187" t="s">
        <v>116</v>
      </c>
      <c r="C6" s="184"/>
      <c r="D6" s="142"/>
      <c r="E6" s="28"/>
      <c r="F6" s="188" t="s">
        <v>89</v>
      </c>
      <c r="G6" s="29"/>
      <c r="H6" s="29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</row>
    <row r="7" spans="1:56">
      <c r="A7" s="37" t="s">
        <v>41</v>
      </c>
      <c r="B7" s="362" t="s">
        <v>38</v>
      </c>
      <c r="C7" s="358"/>
      <c r="D7" s="358"/>
      <c r="E7" s="358"/>
      <c r="F7" s="358"/>
      <c r="G7" s="358"/>
      <c r="H7" s="358"/>
      <c r="I7" s="361" t="s">
        <v>120</v>
      </c>
      <c r="J7" s="361"/>
      <c r="K7" s="361"/>
      <c r="L7" s="361"/>
      <c r="M7" s="361"/>
      <c r="N7" s="361"/>
      <c r="O7" s="361"/>
      <c r="P7" s="361"/>
      <c r="Q7" s="361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</row>
    <row r="8" spans="1:56">
      <c r="A8" s="28"/>
      <c r="B8" s="27" t="s">
        <v>52</v>
      </c>
      <c r="C8" s="2">
        <f>-Ystart/10</f>
        <v>0.2</v>
      </c>
      <c r="D8" s="1" t="s">
        <v>8</v>
      </c>
      <c r="F8" s="23" t="s">
        <v>53</v>
      </c>
      <c r="G8" s="23">
        <f>Yloch/10</f>
        <v>0.2</v>
      </c>
      <c r="H8" s="37" t="s">
        <v>8</v>
      </c>
      <c r="I8" s="28"/>
      <c r="J8" s="28"/>
      <c r="K8" s="357" t="s">
        <v>49</v>
      </c>
      <c r="L8" s="358"/>
      <c r="M8" s="358"/>
      <c r="N8" s="358"/>
      <c r="O8" s="359"/>
      <c r="P8" s="23" t="s">
        <v>56</v>
      </c>
      <c r="Q8" s="23">
        <v>7.0000000000000007E-2</v>
      </c>
      <c r="R8" s="28"/>
      <c r="S8" s="66" t="s">
        <v>117</v>
      </c>
      <c r="T8" s="155">
        <f>1/HSteigung*SQRT(2*Höhe*HSteigung/$Q$8/PI()-1)</f>
        <v>0.70369981810490123</v>
      </c>
      <c r="U8" s="360" t="s">
        <v>118</v>
      </c>
      <c r="V8" s="361"/>
      <c r="W8" s="361"/>
      <c r="X8" s="361"/>
      <c r="Y8" s="361"/>
      <c r="Z8" s="361"/>
      <c r="AA8" s="361"/>
      <c r="AB8" s="361"/>
      <c r="AC8" s="361"/>
      <c r="AD8" s="361"/>
      <c r="AE8" s="361"/>
      <c r="AF8" s="361"/>
      <c r="AG8" s="361"/>
      <c r="AH8" s="28"/>
      <c r="AI8" s="28"/>
      <c r="AJ8" s="28"/>
      <c r="AK8" s="28"/>
      <c r="AL8" s="28"/>
      <c r="AM8" s="28"/>
      <c r="AN8" s="28"/>
      <c r="AO8" s="28"/>
    </row>
    <row r="9" spans="1:56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</row>
    <row r="10" spans="1:56">
      <c r="A10" s="28"/>
      <c r="B10" s="23" t="s">
        <v>27</v>
      </c>
      <c r="C10" s="23">
        <f>D10-delYS</f>
        <v>-3.0000000000000009</v>
      </c>
      <c r="D10" s="23">
        <f>E10-delYS</f>
        <v>-2.8000000000000007</v>
      </c>
      <c r="E10" s="23">
        <f>F10-delYS</f>
        <v>-2.6000000000000005</v>
      </c>
      <c r="F10" s="23">
        <f>G10-delYS</f>
        <v>-2.4000000000000004</v>
      </c>
      <c r="G10" s="23">
        <f>H10-delYS</f>
        <v>-2.2000000000000002</v>
      </c>
      <c r="H10" s="47">
        <f>Ystart</f>
        <v>-2</v>
      </c>
      <c r="I10" s="23">
        <f t="shared" ref="I10:R10" si="0">H10+delYS</f>
        <v>-1.8</v>
      </c>
      <c r="J10" s="23">
        <f t="shared" si="0"/>
        <v>-1.6</v>
      </c>
      <c r="K10" s="23">
        <f t="shared" si="0"/>
        <v>-1.4000000000000001</v>
      </c>
      <c r="L10" s="23">
        <f t="shared" si="0"/>
        <v>-1.2000000000000002</v>
      </c>
      <c r="M10" s="23">
        <f t="shared" si="0"/>
        <v>-1.0000000000000002</v>
      </c>
      <c r="N10" s="23">
        <f t="shared" si="0"/>
        <v>-0.80000000000000027</v>
      </c>
      <c r="O10" s="23">
        <f t="shared" si="0"/>
        <v>-0.60000000000000031</v>
      </c>
      <c r="P10" s="23">
        <f t="shared" si="0"/>
        <v>-0.4000000000000003</v>
      </c>
      <c r="Q10" s="23">
        <f t="shared" si="0"/>
        <v>-0.20000000000000029</v>
      </c>
      <c r="R10" s="23">
        <f t="shared" si="0"/>
        <v>-2.7755575615628914E-16</v>
      </c>
      <c r="S10" s="23">
        <f t="shared" ref="S10:AA10" si="1">T10-delYL</f>
        <v>0.20000000000000029</v>
      </c>
      <c r="T10" s="23">
        <f t="shared" si="1"/>
        <v>0.4000000000000003</v>
      </c>
      <c r="U10" s="23">
        <f t="shared" si="1"/>
        <v>0.60000000000000031</v>
      </c>
      <c r="V10" s="23">
        <f t="shared" si="1"/>
        <v>0.80000000000000027</v>
      </c>
      <c r="W10" s="23">
        <f t="shared" si="1"/>
        <v>1.0000000000000002</v>
      </c>
      <c r="X10" s="23">
        <f t="shared" si="1"/>
        <v>1.2000000000000002</v>
      </c>
      <c r="Y10" s="23">
        <f t="shared" si="1"/>
        <v>1.4000000000000001</v>
      </c>
      <c r="Z10" s="23">
        <f t="shared" si="1"/>
        <v>1.6</v>
      </c>
      <c r="AA10" s="23">
        <f t="shared" si="1"/>
        <v>1.8</v>
      </c>
      <c r="AB10" s="24">
        <f>Yloch</f>
        <v>2</v>
      </c>
      <c r="AC10" s="23">
        <f>AB10+delYL</f>
        <v>2.2000000000000002</v>
      </c>
      <c r="AD10" s="23">
        <f>AC10+delYL</f>
        <v>2.4000000000000004</v>
      </c>
      <c r="AE10" s="23">
        <f>AD10+delYL</f>
        <v>2.6000000000000005</v>
      </c>
      <c r="AF10" s="23">
        <f>AE10+delYL</f>
        <v>2.8000000000000007</v>
      </c>
      <c r="AG10" s="23">
        <f>AF10+delYL</f>
        <v>3.0000000000000009</v>
      </c>
      <c r="AH10" s="28"/>
      <c r="AI10" s="28"/>
      <c r="AJ10" s="28"/>
      <c r="AK10" s="28"/>
      <c r="AL10" s="28"/>
      <c r="AM10" s="28"/>
      <c r="AN10" s="28"/>
      <c r="AO10" s="28"/>
    </row>
    <row r="11" spans="1:56">
      <c r="A11" s="28"/>
      <c r="B11" s="23" t="s">
        <v>29</v>
      </c>
      <c r="C11" s="23">
        <f>Höhe*2/PI()*ATAN(HSteigung*C10)</f>
        <v>-0.18591068500908908</v>
      </c>
      <c r="D11" s="23">
        <f t="shared" ref="D11:AG11" si="2">Höhe*2/PI()*ATAN(HSteigung*D10)</f>
        <v>-0.18491338983458047</v>
      </c>
      <c r="E11" s="23">
        <f t="shared" si="2"/>
        <v>-0.18376497881486484</v>
      </c>
      <c r="F11" s="23">
        <f t="shared" si="2"/>
        <v>-0.18242852732675899</v>
      </c>
      <c r="G11" s="23">
        <f t="shared" si="2"/>
        <v>-0.18085411514630198</v>
      </c>
      <c r="H11" s="69">
        <f t="shared" si="2"/>
        <v>-0.17897261731549866</v>
      </c>
      <c r="I11" s="23">
        <f t="shared" si="2"/>
        <v>-0.17668560663926314</v>
      </c>
      <c r="J11" s="23">
        <f t="shared" si="2"/>
        <v>-0.17384824681773192</v>
      </c>
      <c r="K11" s="23">
        <f>Höhe*2/PI()*ATAN(HSteigung*K10)</f>
        <v>-0.1702388938805531</v>
      </c>
      <c r="L11" s="23">
        <f t="shared" si="2"/>
        <v>-0.16550197556276833</v>
      </c>
      <c r="M11" s="23">
        <f t="shared" si="2"/>
        <v>-0.15903344706017331</v>
      </c>
      <c r="N11" s="23">
        <f t="shared" si="2"/>
        <v>-0.14973363344879906</v>
      </c>
      <c r="O11" s="23">
        <f t="shared" si="2"/>
        <v>-0.13543421311316195</v>
      </c>
      <c r="P11" s="23">
        <f t="shared" si="2"/>
        <v>-0.11154317535052183</v>
      </c>
      <c r="Q11" s="23">
        <f t="shared" si="2"/>
        <v>-6.8808347849052362E-2</v>
      </c>
      <c r="R11" s="26">
        <f t="shared" si="2"/>
        <v>-1.0601848938211722E-16</v>
      </c>
      <c r="S11" s="23">
        <f t="shared" si="2"/>
        <v>6.8808347849052362E-2</v>
      </c>
      <c r="T11" s="23">
        <f t="shared" si="2"/>
        <v>0.11154317535052183</v>
      </c>
      <c r="U11" s="23">
        <f t="shared" si="2"/>
        <v>0.13543421311316195</v>
      </c>
      <c r="V11" s="23">
        <f t="shared" si="2"/>
        <v>0.14973363344879906</v>
      </c>
      <c r="W11" s="23">
        <f t="shared" si="2"/>
        <v>0.15903344706017331</v>
      </c>
      <c r="X11" s="23">
        <f t="shared" si="2"/>
        <v>0.16550197556276833</v>
      </c>
      <c r="Y11" s="23">
        <f t="shared" si="2"/>
        <v>0.1702388938805531</v>
      </c>
      <c r="Z11" s="23">
        <f t="shared" si="2"/>
        <v>0.17384824681773192</v>
      </c>
      <c r="AA11" s="23">
        <f t="shared" si="2"/>
        <v>0.17668560663926314</v>
      </c>
      <c r="AB11" s="24">
        <f t="shared" si="2"/>
        <v>0.17897261731549866</v>
      </c>
      <c r="AC11" s="23">
        <f t="shared" si="2"/>
        <v>0.18085411514630198</v>
      </c>
      <c r="AD11" s="23">
        <f t="shared" si="2"/>
        <v>0.18242852732675899</v>
      </c>
      <c r="AE11" s="23">
        <f t="shared" si="2"/>
        <v>0.18376497881486484</v>
      </c>
      <c r="AF11" s="23">
        <f t="shared" si="2"/>
        <v>0.18491338983458047</v>
      </c>
      <c r="AG11" s="23">
        <f t="shared" si="2"/>
        <v>0.18591068500908908</v>
      </c>
      <c r="AH11" s="28"/>
      <c r="AI11" s="28"/>
      <c r="AJ11" s="28"/>
      <c r="AK11" s="28"/>
      <c r="AL11" s="28"/>
      <c r="AM11" s="28"/>
      <c r="AN11" s="28"/>
      <c r="AO11" s="28"/>
    </row>
    <row r="12" spans="1:56">
      <c r="A12" s="28"/>
      <c r="B12" s="26" t="s">
        <v>28</v>
      </c>
      <c r="C12" s="50">
        <f t="shared" ref="C12:AG12" si="3">Höhe*2/PI()*HSteigung*(1/(1+(POWER(HSteigung*C10,2))))</f>
        <v>4.6581934563481526E-3</v>
      </c>
      <c r="D12" s="50">
        <f t="shared" si="3"/>
        <v>5.3377845642893877E-3</v>
      </c>
      <c r="E12" s="50">
        <f t="shared" si="3"/>
        <v>6.1767765753646285E-3</v>
      </c>
      <c r="F12" s="50">
        <f t="shared" si="3"/>
        <v>7.2288392017514887E-3</v>
      </c>
      <c r="G12" s="50">
        <f t="shared" si="3"/>
        <v>8.5720795202098004E-3</v>
      </c>
      <c r="H12" s="59">
        <f t="shared" si="3"/>
        <v>1.0323563876231049E-2</v>
      </c>
      <c r="I12" s="50">
        <f t="shared" si="3"/>
        <v>1.2664849582909442E-2</v>
      </c>
      <c r="J12" s="50">
        <f t="shared" si="3"/>
        <v>1.588901262148705E-2</v>
      </c>
      <c r="K12" s="21">
        <f t="shared" si="3"/>
        <v>2.0492052758613134E-2</v>
      </c>
      <c r="L12" s="21">
        <f t="shared" si="3"/>
        <v>2.7361881333850192E-2</v>
      </c>
      <c r="M12" s="21">
        <f t="shared" si="3"/>
        <v>3.8197186342054858E-2</v>
      </c>
      <c r="N12" s="21">
        <f t="shared" si="3"/>
        <v>5.6504713523749778E-2</v>
      </c>
      <c r="O12" s="21">
        <f t="shared" si="3"/>
        <v>9.0087703636921798E-2</v>
      </c>
      <c r="P12" s="21">
        <f t="shared" si="3"/>
        <v>0.15654584566415919</v>
      </c>
      <c r="Q12" s="21">
        <f t="shared" si="3"/>
        <v>0.28086166427981507</v>
      </c>
      <c r="R12" s="21">
        <f t="shared" si="3"/>
        <v>0.38197186342054879</v>
      </c>
      <c r="S12" s="21">
        <f t="shared" si="3"/>
        <v>0.28086166427981507</v>
      </c>
      <c r="T12" s="21">
        <f t="shared" si="3"/>
        <v>0.15654584566415919</v>
      </c>
      <c r="U12" s="21">
        <f t="shared" si="3"/>
        <v>9.0087703636921798E-2</v>
      </c>
      <c r="V12" s="21">
        <f t="shared" si="3"/>
        <v>5.6504713523749778E-2</v>
      </c>
      <c r="W12" s="50">
        <f t="shared" si="3"/>
        <v>3.8197186342054858E-2</v>
      </c>
      <c r="X12" s="50">
        <f t="shared" si="3"/>
        <v>2.7361881333850192E-2</v>
      </c>
      <c r="Y12" s="50">
        <f t="shared" si="3"/>
        <v>2.0492052758613134E-2</v>
      </c>
      <c r="Z12" s="50">
        <f t="shared" si="3"/>
        <v>1.588901262148705E-2</v>
      </c>
      <c r="AA12" s="50">
        <f t="shared" si="3"/>
        <v>1.2664849582909442E-2</v>
      </c>
      <c r="AB12" s="57">
        <f t="shared" si="3"/>
        <v>1.0323563876231049E-2</v>
      </c>
      <c r="AC12" s="50">
        <f t="shared" si="3"/>
        <v>8.5720795202098004E-3</v>
      </c>
      <c r="AD12" s="50">
        <f t="shared" si="3"/>
        <v>7.2288392017514887E-3</v>
      </c>
      <c r="AE12" s="50">
        <f t="shared" si="3"/>
        <v>6.1767765753646285E-3</v>
      </c>
      <c r="AF12" s="50">
        <f t="shared" si="3"/>
        <v>5.3377845642893877E-3</v>
      </c>
      <c r="AG12" s="50">
        <f t="shared" si="3"/>
        <v>4.6581934563481526E-3</v>
      </c>
      <c r="AH12" s="28"/>
      <c r="AI12" s="28"/>
      <c r="AJ12" s="28"/>
      <c r="AK12" s="28"/>
      <c r="AL12" s="28"/>
      <c r="AM12" s="28"/>
      <c r="AN12" s="28"/>
      <c r="AO12" s="28"/>
    </row>
    <row r="13" spans="1:56">
      <c r="A13" s="28"/>
      <c r="B13" s="28"/>
      <c r="C13" s="28"/>
      <c r="D13" s="22"/>
      <c r="E13" s="22"/>
      <c r="F13" s="22"/>
      <c r="G13" s="22"/>
      <c r="H13" s="353" t="s">
        <v>119</v>
      </c>
      <c r="I13" s="354"/>
      <c r="J13" s="354"/>
      <c r="K13" s="354"/>
      <c r="L13" s="354"/>
      <c r="M13" s="354"/>
      <c r="N13" s="354"/>
      <c r="O13" s="354"/>
      <c r="P13" s="354"/>
      <c r="Q13" s="355"/>
      <c r="R13" s="285">
        <f>(H11-AB11)/(H10-AB10)</f>
        <v>8.9486308657749328E-2</v>
      </c>
      <c r="S13" s="356" t="s">
        <v>54</v>
      </c>
      <c r="T13" s="354"/>
      <c r="U13" s="354"/>
      <c r="V13" s="354"/>
      <c r="W13" s="354"/>
      <c r="X13" s="354"/>
      <c r="Y13" s="354"/>
      <c r="Z13" s="354"/>
      <c r="AA13" s="354"/>
      <c r="AB13" s="354"/>
      <c r="AC13" s="22"/>
      <c r="AD13" s="22"/>
      <c r="AE13" s="22"/>
      <c r="AF13" s="22"/>
      <c r="AG13" s="22"/>
      <c r="AH13" s="28"/>
      <c r="AI13" s="28"/>
      <c r="AJ13" s="28"/>
      <c r="AK13" s="28"/>
      <c r="AL13" s="28"/>
      <c r="AM13" s="28"/>
      <c r="AN13" s="28"/>
      <c r="AO13" s="28"/>
    </row>
    <row r="14" spans="1:56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</row>
    <row r="15" spans="1:56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X15" s="56">
        <v>65</v>
      </c>
      <c r="AY15" s="23" t="s">
        <v>34</v>
      </c>
      <c r="AZ15" s="23" t="s">
        <v>35</v>
      </c>
      <c r="BA15" s="20" t="s">
        <v>30</v>
      </c>
      <c r="BB15" s="20" t="s">
        <v>31</v>
      </c>
      <c r="BC15" s="20" t="s">
        <v>32</v>
      </c>
      <c r="BD15" s="20" t="s">
        <v>33</v>
      </c>
    </row>
    <row r="16" spans="1:56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 t="s">
        <v>48</v>
      </c>
      <c r="AL16" s="28"/>
      <c r="AM16" s="28"/>
      <c r="AN16" s="28"/>
      <c r="AO16" s="28"/>
      <c r="AX16" s="23">
        <f>-(AX15-1)/2</f>
        <v>-32</v>
      </c>
      <c r="AY16" s="34"/>
      <c r="AZ16" s="24"/>
      <c r="BA16" s="19"/>
      <c r="BB16" s="19"/>
      <c r="BC16" s="19"/>
      <c r="BD16" s="19"/>
    </row>
    <row r="17" spans="1:56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X17" s="23">
        <f>1+AX16</f>
        <v>-31</v>
      </c>
      <c r="AY17" s="21"/>
      <c r="AZ17" s="23"/>
      <c r="BA17" s="19"/>
      <c r="BB17" s="19"/>
      <c r="BC17" s="19"/>
      <c r="BD17" s="19"/>
    </row>
    <row r="18" spans="1:56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X18" s="23">
        <f>1+AX17</f>
        <v>-30</v>
      </c>
      <c r="AY18" s="21"/>
      <c r="AZ18" s="23"/>
      <c r="BA18" s="19"/>
      <c r="BB18" s="19"/>
      <c r="BC18" s="19"/>
      <c r="BD18" s="19"/>
    </row>
    <row r="19" spans="1:56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X19" s="23">
        <f t="shared" ref="AX19:AX48" si="4">1+AX18</f>
        <v>-29</v>
      </c>
      <c r="AY19" s="21"/>
      <c r="AZ19" s="23"/>
      <c r="BA19" s="19"/>
      <c r="BB19" s="19"/>
      <c r="BC19" s="19"/>
      <c r="BD19" s="19"/>
    </row>
    <row r="20" spans="1:56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X20" s="23">
        <f t="shared" si="4"/>
        <v>-28</v>
      </c>
      <c r="AY20" s="21"/>
      <c r="AZ20" s="23"/>
      <c r="BA20" s="19"/>
      <c r="BB20" s="19"/>
      <c r="BC20" s="19"/>
      <c r="BD20" s="19"/>
    </row>
    <row r="21" spans="1:56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X21" s="23">
        <f t="shared" si="4"/>
        <v>-27</v>
      </c>
      <c r="AY21" s="21"/>
      <c r="AZ21" s="23"/>
      <c r="BA21" s="19"/>
      <c r="BB21" s="19"/>
      <c r="BC21" s="19"/>
      <c r="BD21" s="19"/>
    </row>
    <row r="22" spans="1:56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X22" s="23">
        <f t="shared" si="4"/>
        <v>-26</v>
      </c>
      <c r="AY22" s="21"/>
      <c r="AZ22" s="23"/>
      <c r="BA22" s="19"/>
      <c r="BB22" s="19"/>
      <c r="BC22" s="19"/>
      <c r="BD22" s="19"/>
    </row>
    <row r="23" spans="1:56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X23" s="23">
        <f t="shared" si="4"/>
        <v>-25</v>
      </c>
      <c r="AY23" s="21"/>
      <c r="AZ23" s="23"/>
      <c r="BA23" s="19"/>
      <c r="BB23" s="19"/>
      <c r="BC23" s="19"/>
      <c r="BD23" s="19"/>
    </row>
    <row r="24" spans="1:56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X24" s="23">
        <f t="shared" si="4"/>
        <v>-24</v>
      </c>
      <c r="AY24" s="21"/>
      <c r="AZ24" s="23"/>
      <c r="BA24" s="19"/>
      <c r="BB24" s="19"/>
      <c r="BC24" s="19"/>
      <c r="BD24" s="19"/>
    </row>
    <row r="25" spans="1:56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X25" s="23">
        <f t="shared" si="4"/>
        <v>-23</v>
      </c>
      <c r="AY25" s="21"/>
      <c r="AZ25" s="23"/>
      <c r="BA25" s="19"/>
      <c r="BB25" s="19"/>
      <c r="BC25" s="19"/>
      <c r="BD25" s="19"/>
    </row>
    <row r="26" spans="1:56">
      <c r="A26" s="28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X26" s="23">
        <f t="shared" si="4"/>
        <v>-22</v>
      </c>
      <c r="AY26" s="21"/>
      <c r="AZ26" s="23"/>
      <c r="BA26" s="19"/>
      <c r="BB26" s="19"/>
      <c r="BC26" s="19"/>
      <c r="BD26" s="19"/>
    </row>
    <row r="27" spans="1:56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X27" s="23">
        <f t="shared" si="4"/>
        <v>-21</v>
      </c>
      <c r="AY27" s="21"/>
      <c r="AZ27" s="23"/>
      <c r="BA27" s="19"/>
      <c r="BB27" s="19"/>
      <c r="BC27" s="19"/>
      <c r="BD27" s="19"/>
    </row>
    <row r="28" spans="1:56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X28" s="23">
        <f t="shared" si="4"/>
        <v>-20</v>
      </c>
      <c r="AY28" s="21"/>
      <c r="AZ28" s="23"/>
      <c r="BA28" s="19"/>
      <c r="BB28" s="19"/>
      <c r="BC28" s="19"/>
      <c r="BD28" s="19"/>
    </row>
    <row r="29" spans="1:56">
      <c r="A29" s="37" t="s">
        <v>42</v>
      </c>
      <c r="B29" s="54" t="s">
        <v>43</v>
      </c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X29" s="23">
        <f t="shared" si="4"/>
        <v>-19</v>
      </c>
      <c r="AY29" s="21"/>
      <c r="AZ29" s="23"/>
      <c r="BA29" s="19"/>
      <c r="BB29" s="19"/>
      <c r="BC29" s="19"/>
      <c r="BD29" s="19"/>
    </row>
    <row r="30" spans="1:56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X30" s="23">
        <f t="shared" si="4"/>
        <v>-18</v>
      </c>
      <c r="AY30" s="21"/>
      <c r="AZ30" s="23"/>
      <c r="BA30" s="19"/>
      <c r="BB30" s="19"/>
      <c r="BC30" s="19"/>
      <c r="BD30" s="19"/>
    </row>
    <row r="31" spans="1:56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174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56">
        <v>33</v>
      </c>
      <c r="AQ31" s="23" t="s">
        <v>34</v>
      </c>
      <c r="AR31" s="23" t="s">
        <v>35</v>
      </c>
      <c r="AS31" s="20" t="s">
        <v>30</v>
      </c>
      <c r="AT31" s="20" t="s">
        <v>31</v>
      </c>
      <c r="AU31" s="20" t="s">
        <v>32</v>
      </c>
      <c r="AV31" s="20" t="s">
        <v>33</v>
      </c>
      <c r="AX31" s="23">
        <f t="shared" si="4"/>
        <v>-17</v>
      </c>
      <c r="AY31" s="21"/>
      <c r="AZ31" s="23"/>
      <c r="BA31" s="19"/>
      <c r="BB31" s="19"/>
      <c r="BC31" s="19"/>
      <c r="BD31" s="19"/>
    </row>
    <row r="32" spans="1:56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3">
        <f>-(AP31-1)/2</f>
        <v>-16</v>
      </c>
      <c r="AQ32" s="34">
        <f>AI40</f>
        <v>1.0323563876231049E-2</v>
      </c>
      <c r="AR32" s="25">
        <f>AJ40</f>
        <v>-0.15832548956303655</v>
      </c>
      <c r="AS32" s="19">
        <f>-(AR32-AR33)/(AQ32-AQ33)</f>
        <v>-1.6909767681685599</v>
      </c>
      <c r="AT32" s="19">
        <f t="shared" ref="AT32:AT63" si="5">Höhe*2/PI()*ATAN(HSteigung*AS32)</f>
        <v>-0.17521902130704084</v>
      </c>
      <c r="AU32" s="19">
        <f t="shared" ref="AU32:AU63" si="6">Höhe*2/PI()*HSteigung*(1/(1+(HSteigung*AS32*HSteigung*AS32)))</f>
        <v>1.4287535661265833E-2</v>
      </c>
      <c r="AV32" s="19">
        <f>AT32-AU32*AS32</f>
        <v>-0.15105913042946051</v>
      </c>
      <c r="AX32" s="23">
        <f t="shared" si="4"/>
        <v>-16</v>
      </c>
      <c r="AY32" s="21"/>
      <c r="AZ32" s="23"/>
      <c r="BA32" s="19"/>
      <c r="BB32" s="19"/>
      <c r="BC32" s="19"/>
      <c r="BD32" s="19"/>
    </row>
    <row r="33" spans="1:56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3">
        <f>1+AP32</f>
        <v>-15</v>
      </c>
      <c r="AQ33" s="21">
        <f>AM40</f>
        <v>1.8884603411096445E-2</v>
      </c>
      <c r="AR33" s="20">
        <f>AN40</f>
        <v>-0.14384897059820659</v>
      </c>
      <c r="AS33" s="19">
        <f t="shared" ref="AS33:AS63" si="7">-(AR33-AR34)/(AQ33-AQ34)</f>
        <v>-1.2842342590795865</v>
      </c>
      <c r="AT33" s="19">
        <f t="shared" si="5"/>
        <v>-0.1676655669618817</v>
      </c>
      <c r="AU33" s="19">
        <f t="shared" si="6"/>
        <v>2.4109334092220977E-2</v>
      </c>
      <c r="AV33" s="19">
        <f t="shared" ref="AV33:AV63" si="8">AT33-AU33*AS33</f>
        <v>-0.13670353415705608</v>
      </c>
      <c r="AX33" s="23">
        <f t="shared" si="4"/>
        <v>-15</v>
      </c>
      <c r="AY33" s="21"/>
      <c r="AZ33" s="23"/>
      <c r="BA33" s="19"/>
      <c r="BB33" s="19"/>
      <c r="BC33" s="19"/>
      <c r="BD33" s="19"/>
    </row>
    <row r="34" spans="1:56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3">
        <f>1+AP33</f>
        <v>-14</v>
      </c>
      <c r="AQ34" s="21">
        <f>AI41</f>
        <v>2.9955432767914274E-2</v>
      </c>
      <c r="AR34" s="20">
        <f>AJ41</f>
        <v>-0.12963143226175711</v>
      </c>
      <c r="AS34" s="19">
        <f t="shared" si="7"/>
        <v>-1.0268134823816681</v>
      </c>
      <c r="AT34" s="19">
        <f t="shared" si="5"/>
        <v>-0.16003349235473319</v>
      </c>
      <c r="AU34" s="19">
        <f t="shared" si="6"/>
        <v>3.6416029718904952E-2</v>
      </c>
      <c r="AV34" s="19">
        <f t="shared" si="8"/>
        <v>-0.12264102206455008</v>
      </c>
      <c r="AX34" s="23">
        <f t="shared" si="4"/>
        <v>-14</v>
      </c>
      <c r="AY34" s="21"/>
      <c r="AZ34" s="23"/>
      <c r="BA34" s="19"/>
      <c r="BB34" s="19"/>
      <c r="BC34" s="19"/>
      <c r="BD34" s="19"/>
    </row>
    <row r="35" spans="1:56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3">
        <f t="shared" ref="AP35:AP40" si="9">1+AP34</f>
        <v>-13</v>
      </c>
      <c r="AQ35" s="21">
        <f>AM41</f>
        <v>4.348287213831558E-2</v>
      </c>
      <c r="AR35" s="20">
        <f>AN41</f>
        <v>-0.11574127513412846</v>
      </c>
      <c r="AS35" s="19">
        <f t="shared" si="7"/>
        <v>-0.84774947209430684</v>
      </c>
      <c r="AT35" s="19">
        <f t="shared" si="5"/>
        <v>-0.15230077962819788</v>
      </c>
      <c r="AU35" s="19">
        <f t="shared" si="6"/>
        <v>5.114704191538702E-2</v>
      </c>
      <c r="AV35" s="19">
        <f t="shared" si="8"/>
        <v>-0.10894090184524315</v>
      </c>
      <c r="AX35" s="23">
        <f t="shared" si="4"/>
        <v>-13</v>
      </c>
      <c r="AY35" s="21"/>
      <c r="AZ35" s="23"/>
      <c r="BA35" s="19"/>
      <c r="BB35" s="19"/>
      <c r="BC35" s="19"/>
      <c r="BD35" s="19"/>
    </row>
    <row r="36" spans="1:56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3">
        <f t="shared" si="9"/>
        <v>-12</v>
      </c>
      <c r="AQ36" s="21">
        <f>AI42</f>
        <v>5.9398558365054185E-2</v>
      </c>
      <c r="AR36" s="20">
        <f>AJ42</f>
        <v>-0.10224876053739218</v>
      </c>
      <c r="AS36" s="19">
        <f t="shared" si="7"/>
        <v>-0.71477774296448815</v>
      </c>
      <c r="AT36" s="19">
        <f t="shared" si="5"/>
        <v>-0.14444049428717329</v>
      </c>
      <c r="AU36" s="19">
        <f t="shared" si="6"/>
        <v>6.8231619406869448E-2</v>
      </c>
      <c r="AV36" s="19">
        <f t="shared" si="8"/>
        <v>-9.5670051368719172E-2</v>
      </c>
      <c r="AX36" s="23">
        <f t="shared" si="4"/>
        <v>-12</v>
      </c>
      <c r="AY36" s="21"/>
      <c r="AZ36" s="23"/>
      <c r="BA36" s="19"/>
      <c r="BB36" s="19"/>
      <c r="BC36" s="19"/>
      <c r="BD36" s="19"/>
    </row>
    <row r="37" spans="1:56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3">
        <f t="shared" si="9"/>
        <v>-11</v>
      </c>
      <c r="AQ37" s="21">
        <f>AM42</f>
        <v>7.7629619434300259E-2</v>
      </c>
      <c r="AR37" s="20">
        <f>AN42</f>
        <v>-8.9217603854468724E-2</v>
      </c>
      <c r="AS37" s="19">
        <f t="shared" si="7"/>
        <v>-0.61114056796329486</v>
      </c>
      <c r="AT37" s="19">
        <f t="shared" si="5"/>
        <v>-0.1364237806515137</v>
      </c>
      <c r="AU37" s="19">
        <f t="shared" si="6"/>
        <v>8.7579397786124169E-2</v>
      </c>
      <c r="AV37" s="19">
        <f t="shared" si="8"/>
        <v>-8.2900457746618444E-2</v>
      </c>
      <c r="AX37" s="23">
        <f t="shared" si="4"/>
        <v>-11</v>
      </c>
      <c r="AY37" s="21"/>
      <c r="AZ37" s="23"/>
      <c r="BA37" s="19"/>
      <c r="BB37" s="19"/>
      <c r="BC37" s="19"/>
      <c r="BD37" s="19"/>
    </row>
    <row r="38" spans="1:56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3">
        <f t="shared" si="9"/>
        <v>-10</v>
      </c>
      <c r="AQ38" s="21">
        <f>AI43</f>
        <v>9.8066350509976558E-2</v>
      </c>
      <c r="AR38" s="20">
        <f>AJ43</f>
        <v>-7.6727888417566795E-2</v>
      </c>
      <c r="AS38" s="19">
        <f t="shared" si="7"/>
        <v>-0.52724555732168799</v>
      </c>
      <c r="AT38" s="19">
        <f t="shared" si="5"/>
        <v>-0.12821833538831046</v>
      </c>
      <c r="AU38" s="19">
        <f t="shared" si="6"/>
        <v>0.10907588910943161</v>
      </c>
      <c r="AV38" s="19">
        <f t="shared" si="8"/>
        <v>-7.0708557444449552E-2</v>
      </c>
      <c r="AX38" s="23">
        <f t="shared" si="4"/>
        <v>-10</v>
      </c>
      <c r="AY38" s="21"/>
      <c r="AZ38" s="23"/>
      <c r="BA38" s="19"/>
      <c r="BB38" s="19"/>
      <c r="BC38" s="19"/>
      <c r="BD38" s="19"/>
    </row>
    <row r="39" spans="1:56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56">
        <v>17</v>
      </c>
      <c r="AI39" s="23" t="s">
        <v>34</v>
      </c>
      <c r="AJ39" s="23" t="s">
        <v>35</v>
      </c>
      <c r="AK39" s="20" t="s">
        <v>30</v>
      </c>
      <c r="AL39" s="20" t="s">
        <v>31</v>
      </c>
      <c r="AM39" s="20" t="s">
        <v>32</v>
      </c>
      <c r="AN39" s="20" t="s">
        <v>33</v>
      </c>
      <c r="AO39" s="28"/>
      <c r="AP39" s="23">
        <f t="shared" si="9"/>
        <v>-9</v>
      </c>
      <c r="AQ39" s="21">
        <f>AM43</f>
        <v>0.12058948703532404</v>
      </c>
      <c r="AR39" s="20">
        <f>AN43</f>
        <v>-6.4852664747627492E-2</v>
      </c>
      <c r="AS39" s="19">
        <f t="shared" si="7"/>
        <v>-0.45715123131670099</v>
      </c>
      <c r="AT39" s="19">
        <f t="shared" si="5"/>
        <v>-0.11978270151550295</v>
      </c>
      <c r="AU39" s="19">
        <f t="shared" si="6"/>
        <v>0.13258836514084066</v>
      </c>
      <c r="AV39" s="19">
        <f t="shared" si="8"/>
        <v>-5.9169767133099287E-2</v>
      </c>
      <c r="AX39" s="23">
        <f t="shared" si="4"/>
        <v>-9</v>
      </c>
      <c r="AY39" s="21"/>
      <c r="AZ39" s="23"/>
      <c r="BA39" s="19"/>
      <c r="BB39" s="19"/>
      <c r="BC39" s="19"/>
      <c r="BD39" s="19"/>
    </row>
    <row r="40" spans="1:56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6">
        <f>-(AH39-1)/2</f>
        <v>-8</v>
      </c>
      <c r="AI40" s="34">
        <f>AA44</f>
        <v>1.0323563876231049E-2</v>
      </c>
      <c r="AJ40" s="25">
        <f>AB44</f>
        <v>-0.15832548956303655</v>
      </c>
      <c r="AK40" s="19">
        <f>-(AJ40-AJ41)/(AI40-AI41)</f>
        <v>-1.4616059968409472</v>
      </c>
      <c r="AL40" s="19">
        <f t="shared" ref="AL40:AL55" si="10">Höhe*2/PI()*ATAN(HSteigung*AK40)</f>
        <v>-0.17145082019182817</v>
      </c>
      <c r="AM40" s="19">
        <f t="shared" ref="AM40:AM55" si="11">Höhe*2/PI()*HSteigung*(1/(1+(HSteigung*AK40*HSteigung*AK40)))</f>
        <v>1.8884603411096445E-2</v>
      </c>
      <c r="AN40" s="19">
        <f>AL40-AM40*AK40</f>
        <v>-0.14384897059820659</v>
      </c>
      <c r="AO40" s="28"/>
      <c r="AP40" s="23">
        <f t="shared" si="9"/>
        <v>-8</v>
      </c>
      <c r="AQ40" s="21">
        <f>AI44</f>
        <v>0.14505155745746634</v>
      </c>
      <c r="AR40" s="20">
        <f>AJ44</f>
        <v>-5.366979913358929E-2</v>
      </c>
      <c r="AS40" s="19">
        <f t="shared" si="7"/>
        <v>-0.3962478442415413</v>
      </c>
      <c r="AT40" s="19">
        <f t="shared" si="5"/>
        <v>-0.11095252534851778</v>
      </c>
      <c r="AU40" s="19">
        <f t="shared" si="6"/>
        <v>0.15829020458837095</v>
      </c>
      <c r="AV40" s="19">
        <f t="shared" si="8"/>
        <v>-4.8230373015823266E-2</v>
      </c>
      <c r="AX40" s="23">
        <f t="shared" si="4"/>
        <v>-8</v>
      </c>
      <c r="AY40" s="21"/>
      <c r="AZ40" s="23"/>
      <c r="BA40" s="19"/>
      <c r="BB40" s="19"/>
      <c r="BC40" s="19"/>
      <c r="BD40" s="19"/>
    </row>
    <row r="41" spans="1:56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6">
        <f t="shared" ref="AH41:AH48" si="12">1+AH40</f>
        <v>-7</v>
      </c>
      <c r="AI41" s="58">
        <f>AE44</f>
        <v>2.9955432767914274E-2</v>
      </c>
      <c r="AJ41" s="40">
        <f>AF44</f>
        <v>-0.12963143226175711</v>
      </c>
      <c r="AK41" s="19">
        <f t="shared" ref="AK41:AK55" si="13">-(AJ41-AJ42)/(AI41-AI42)</f>
        <v>-0.93001918678854067</v>
      </c>
      <c r="AL41" s="19">
        <f t="shared" si="10"/>
        <v>-0.1561811805194348</v>
      </c>
      <c r="AM41" s="19">
        <f t="shared" si="11"/>
        <v>4.348287213831558E-2</v>
      </c>
      <c r="AN41" s="19">
        <f t="shared" ref="AN41:AN55" si="14">AL41-AM41*AK41</f>
        <v>-0.11574127513412846</v>
      </c>
      <c r="AO41" s="28"/>
      <c r="AP41" s="23">
        <f>1+AP40</f>
        <v>-7</v>
      </c>
      <c r="AQ41" s="21">
        <f>AM44</f>
        <v>0.17196609299199722</v>
      </c>
      <c r="AR41" s="20">
        <f>AN44</f>
        <v>-4.3004972449269069E-2</v>
      </c>
      <c r="AS41" s="19">
        <f t="shared" si="7"/>
        <v>-0.3420627454768323</v>
      </c>
      <c r="AT41" s="19">
        <f t="shared" si="5"/>
        <v>-0.10164555499285884</v>
      </c>
      <c r="AU41" s="19">
        <f t="shared" si="6"/>
        <v>0.18604981644019705</v>
      </c>
      <c r="AV41" s="19">
        <f t="shared" si="8"/>
        <v>-3.8004843985864345E-2</v>
      </c>
      <c r="AX41" s="23">
        <f t="shared" si="4"/>
        <v>-7</v>
      </c>
      <c r="AY41" s="21"/>
      <c r="AZ41" s="23"/>
      <c r="BA41" s="19"/>
      <c r="BB41" s="19"/>
      <c r="BC41" s="19"/>
      <c r="BD41" s="19"/>
    </row>
    <row r="42" spans="1:56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6">
        <f t="shared" si="12"/>
        <v>-6</v>
      </c>
      <c r="AI42" s="51">
        <f>AA45</f>
        <v>5.9398558365054185E-2</v>
      </c>
      <c r="AJ42" s="41">
        <f>AB45</f>
        <v>-0.10224876053739218</v>
      </c>
      <c r="AK42" s="19">
        <f t="shared" si="13"/>
        <v>-0.66000334397619953</v>
      </c>
      <c r="AL42" s="19">
        <f t="shared" si="10"/>
        <v>-0.14045341227270666</v>
      </c>
      <c r="AM42" s="19">
        <f t="shared" si="11"/>
        <v>7.7629619434300259E-2</v>
      </c>
      <c r="AN42" s="19">
        <f t="shared" si="14"/>
        <v>-8.9217603854468724E-2</v>
      </c>
      <c r="AO42" s="28"/>
      <c r="AP42" s="23">
        <f>1+AP41</f>
        <v>-6</v>
      </c>
      <c r="AQ42" s="21">
        <f>AI45</f>
        <v>0.20050769073300986</v>
      </c>
      <c r="AR42" s="20">
        <f>AJ45</f>
        <v>-3.3241955165682929E-2</v>
      </c>
      <c r="AS42" s="19">
        <f t="shared" si="7"/>
        <v>-0.29326841771597045</v>
      </c>
      <c r="AT42" s="19">
        <f t="shared" si="5"/>
        <v>-9.1869973760363433E-2</v>
      </c>
      <c r="AU42" s="19">
        <f t="shared" si="6"/>
        <v>0.21530976873201241</v>
      </c>
      <c r="AV42" s="19">
        <f t="shared" si="8"/>
        <v>-2.8726418565534623E-2</v>
      </c>
      <c r="AX42" s="23">
        <f t="shared" si="4"/>
        <v>-6</v>
      </c>
      <c r="AY42" s="21"/>
      <c r="AZ42" s="23"/>
      <c r="BA42" s="19"/>
      <c r="BB42" s="19"/>
      <c r="BC42" s="19"/>
      <c r="BD42" s="19"/>
    </row>
    <row r="43" spans="1:56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56">
        <v>9</v>
      </c>
      <c r="AA43" s="23" t="s">
        <v>34</v>
      </c>
      <c r="AB43" s="23" t="s">
        <v>35</v>
      </c>
      <c r="AC43" s="20" t="s">
        <v>30</v>
      </c>
      <c r="AD43" s="20" t="s">
        <v>31</v>
      </c>
      <c r="AE43" s="20" t="s">
        <v>32</v>
      </c>
      <c r="AF43" s="20" t="s">
        <v>33</v>
      </c>
      <c r="AG43" s="28"/>
      <c r="AH43" s="26">
        <f t="shared" si="12"/>
        <v>-5</v>
      </c>
      <c r="AI43" s="64">
        <f>AE45</f>
        <v>9.8066350509976558E-2</v>
      </c>
      <c r="AJ43" s="62">
        <f>AF45</f>
        <v>-7.6727888417566795E-2</v>
      </c>
      <c r="AK43" s="19">
        <f t="shared" si="13"/>
        <v>-0.49075210650337253</v>
      </c>
      <c r="AL43" s="19">
        <f t="shared" si="10"/>
        <v>-0.1240322095323739</v>
      </c>
      <c r="AM43" s="19">
        <f t="shared" si="11"/>
        <v>0.12058948703532404</v>
      </c>
      <c r="AN43" s="19">
        <f t="shared" si="14"/>
        <v>-6.4852664747627492E-2</v>
      </c>
      <c r="AO43" s="28"/>
      <c r="AP43" s="23">
        <f t="shared" ref="AP43:AP62" si="15">1+AP42</f>
        <v>-5</v>
      </c>
      <c r="AQ43" s="21">
        <f>AM45</f>
        <v>0.23040733642038505</v>
      </c>
      <c r="AR43" s="20">
        <f>AN45</f>
        <v>-2.4473333384678268E-2</v>
      </c>
      <c r="AS43" s="19">
        <f t="shared" si="7"/>
        <v>-0.24816768649816551</v>
      </c>
      <c r="AT43" s="19">
        <f t="shared" si="5"/>
        <v>-8.148399172586461E-2</v>
      </c>
      <c r="AU43" s="19">
        <f t="shared" si="6"/>
        <v>0.24575409992116323</v>
      </c>
      <c r="AV43" s="19">
        <f t="shared" si="8"/>
        <v>-2.049576530099053E-2</v>
      </c>
      <c r="AX43" s="23">
        <f t="shared" si="4"/>
        <v>-5</v>
      </c>
      <c r="AY43" s="21"/>
      <c r="AZ43" s="23"/>
      <c r="BA43" s="19"/>
      <c r="BB43" s="19"/>
      <c r="BC43" s="19"/>
      <c r="BD43" s="19"/>
    </row>
    <row r="44" spans="1:56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3">
        <f>-(Z43-1)/2</f>
        <v>-4</v>
      </c>
      <c r="AA44" s="34">
        <f>S46</f>
        <v>1.0323563876231049E-2</v>
      </c>
      <c r="AB44" s="25">
        <f>T46</f>
        <v>-0.15832548956303655</v>
      </c>
      <c r="AC44" s="19">
        <f>-(AB44-AB45)/(AA44-AA45)</f>
        <v>-1.142674178769717</v>
      </c>
      <c r="AD44" s="19">
        <f t="shared" ref="AD44:AD51" si="16">Höhe*2/PI()*ATAN(HSteigung*AC44)</f>
        <v>-0.16386073179952501</v>
      </c>
      <c r="AE44" s="40">
        <f t="shared" ref="AE44:AE51" si="17">Höhe*2/PI()*HSteigung*(1/(1+(HSteigung*AC44*HSteigung*AC44)))</f>
        <v>2.9955432767914274E-2</v>
      </c>
      <c r="AF44" s="40">
        <f>AD44-AE44*AC44</f>
        <v>-0.12963143226175711</v>
      </c>
      <c r="AG44" s="28"/>
      <c r="AH44" s="26">
        <f t="shared" si="12"/>
        <v>-4</v>
      </c>
      <c r="AI44" s="35">
        <f>AA46</f>
        <v>0.14505155745746634</v>
      </c>
      <c r="AJ44" s="39">
        <f>AB46</f>
        <v>-5.366979913358929E-2</v>
      </c>
      <c r="AK44" s="19">
        <f t="shared" si="13"/>
        <v>-0.36836040959449939</v>
      </c>
      <c r="AL44" s="19">
        <f t="shared" si="10"/>
        <v>-0.10635047290016694</v>
      </c>
      <c r="AM44" s="19">
        <f t="shared" si="11"/>
        <v>0.17196609299199722</v>
      </c>
      <c r="AN44" s="19">
        <f t="shared" si="14"/>
        <v>-4.3004972449269069E-2</v>
      </c>
      <c r="AO44" s="28"/>
      <c r="AP44" s="23">
        <f t="shared" si="15"/>
        <v>-4</v>
      </c>
      <c r="AQ44" s="21">
        <f>AI46</f>
        <v>0.26129405619084795</v>
      </c>
      <c r="AR44" s="20">
        <f>AJ46</f>
        <v>-1.6808247595725342E-2</v>
      </c>
      <c r="AS44" s="19">
        <f t="shared" si="7"/>
        <v>-0.20480370318068758</v>
      </c>
      <c r="AT44" s="19">
        <f t="shared" si="5"/>
        <v>-7.0148950719737244E-2</v>
      </c>
      <c r="AU44" s="19">
        <f t="shared" si="6"/>
        <v>0.27729334514001408</v>
      </c>
      <c r="AV44" s="19">
        <f t="shared" si="8"/>
        <v>-1.3358246767701844E-2</v>
      </c>
      <c r="AX44" s="23">
        <f t="shared" si="4"/>
        <v>-4</v>
      </c>
      <c r="AY44" s="21"/>
      <c r="AZ44" s="23"/>
      <c r="BA44" s="19"/>
      <c r="BB44" s="19"/>
      <c r="BC44" s="19"/>
      <c r="BD44" s="19"/>
    </row>
    <row r="45" spans="1:56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56">
        <v>5</v>
      </c>
      <c r="S45" s="23" t="s">
        <v>34</v>
      </c>
      <c r="T45" s="23" t="s">
        <v>35</v>
      </c>
      <c r="U45" s="20" t="s">
        <v>30</v>
      </c>
      <c r="V45" s="20" t="s">
        <v>31</v>
      </c>
      <c r="W45" s="20" t="s">
        <v>32</v>
      </c>
      <c r="X45" s="20" t="s">
        <v>33</v>
      </c>
      <c r="Y45" s="28"/>
      <c r="Z45" s="23">
        <f t="shared" ref="Z45:Z52" si="18">1+Z44</f>
        <v>-3</v>
      </c>
      <c r="AA45" s="51">
        <f>W46</f>
        <v>5.9398558365054185E-2</v>
      </c>
      <c r="AB45" s="41">
        <f>X46</f>
        <v>-0.10224876053739218</v>
      </c>
      <c r="AC45" s="19">
        <f t="shared" ref="AC45:AC51" si="19">-(AB45-AB46)/(AA45-AA46)</f>
        <v>-0.56716007517016898</v>
      </c>
      <c r="AD45" s="19">
        <f t="shared" si="16"/>
        <v>-0.13234720714446924</v>
      </c>
      <c r="AE45" s="62">
        <f t="shared" si="17"/>
        <v>9.8066350509976558E-2</v>
      </c>
      <c r="AF45" s="62">
        <f t="shared" ref="AF45:AF51" si="20">AD45-AE45*AC45</f>
        <v>-7.6727888417566795E-2</v>
      </c>
      <c r="AG45" s="28"/>
      <c r="AH45" s="26">
        <f t="shared" si="12"/>
        <v>-3</v>
      </c>
      <c r="AI45" s="65">
        <f>AE46</f>
        <v>0.20050769073300986</v>
      </c>
      <c r="AJ45" s="61">
        <f>AF46</f>
        <v>-3.3241955165682929E-2</v>
      </c>
      <c r="AK45" s="19">
        <f t="shared" si="13"/>
        <v>-0.27035186996590777</v>
      </c>
      <c r="AL45" s="19">
        <f t="shared" si="10"/>
        <v>-8.6764387639793369E-2</v>
      </c>
      <c r="AM45" s="19">
        <f t="shared" si="11"/>
        <v>0.23040733642038505</v>
      </c>
      <c r="AN45" s="19">
        <f t="shared" si="14"/>
        <v>-2.4473333384678268E-2</v>
      </c>
      <c r="AO45" s="28"/>
      <c r="AP45" s="23">
        <f t="shared" si="15"/>
        <v>-3</v>
      </c>
      <c r="AQ45" s="21">
        <f>AM46</f>
        <v>0.29334599073405559</v>
      </c>
      <c r="AR45" s="20">
        <f>AN46</f>
        <v>-1.0243892707171416E-2</v>
      </c>
      <c r="AS45" s="19">
        <f t="shared" si="7"/>
        <v>-0.16149505203513628</v>
      </c>
      <c r="AT45" s="19">
        <f t="shared" si="5"/>
        <v>-5.7443332044879225E-2</v>
      </c>
      <c r="AU45" s="19">
        <f t="shared" si="6"/>
        <v>0.30935762648877058</v>
      </c>
      <c r="AV45" s="19">
        <f t="shared" si="8"/>
        <v>-7.483606057608963E-3</v>
      </c>
      <c r="AX45" s="23">
        <f t="shared" si="4"/>
        <v>-3</v>
      </c>
      <c r="AY45" s="21"/>
      <c r="AZ45" s="23"/>
      <c r="BA45" s="19"/>
      <c r="BB45" s="19"/>
      <c r="BC45" s="19"/>
      <c r="BD45" s="19"/>
    </row>
    <row r="46" spans="1:56">
      <c r="A46" s="28"/>
      <c r="B46" s="28"/>
      <c r="C46" s="28"/>
      <c r="D46" s="28"/>
      <c r="E46" s="28"/>
      <c r="F46" s="28"/>
      <c r="G46" s="28"/>
      <c r="H46" s="28"/>
      <c r="I46" s="28"/>
      <c r="J46" s="56">
        <v>3</v>
      </c>
      <c r="K46" s="23" t="s">
        <v>34</v>
      </c>
      <c r="L46" s="23" t="s">
        <v>35</v>
      </c>
      <c r="M46" s="20" t="s">
        <v>30</v>
      </c>
      <c r="N46" s="20" t="s">
        <v>31</v>
      </c>
      <c r="O46" s="20" t="s">
        <v>32</v>
      </c>
      <c r="P46" s="20" t="s">
        <v>33</v>
      </c>
      <c r="Q46" s="28"/>
      <c r="R46" s="23">
        <f>-(R45-1)/2</f>
        <v>-2</v>
      </c>
      <c r="S46" s="34">
        <f>K47</f>
        <v>1.0323563876231049E-2</v>
      </c>
      <c r="T46" s="25">
        <f>L47</f>
        <v>-0.15832548956303655</v>
      </c>
      <c r="U46" s="19">
        <f>-(T46-T47)/(S46-S47)</f>
        <v>-0.77679246641748789</v>
      </c>
      <c r="V46" s="19">
        <f>Höhe*2/PI()*ATAN(HSteigung*U46)</f>
        <v>-0.14838911319142573</v>
      </c>
      <c r="W46" s="41">
        <f>Höhe*2/PI()*HSteigung*(1/(1+(HSteigung*U46*HSteigung*U46)))</f>
        <v>5.9398558365054185E-2</v>
      </c>
      <c r="X46" s="41">
        <f>V46-W46*U46</f>
        <v>-0.10224876053739218</v>
      </c>
      <c r="Y46" s="28"/>
      <c r="Z46" s="23">
        <f t="shared" si="18"/>
        <v>-2</v>
      </c>
      <c r="AA46" s="35">
        <f>S47</f>
        <v>0.14505155745746634</v>
      </c>
      <c r="AB46" s="39">
        <f>T47</f>
        <v>-5.366979913358929E-2</v>
      </c>
      <c r="AC46" s="19">
        <f t="shared" si="19"/>
        <v>-0.31710907748474215</v>
      </c>
      <c r="AD46" s="19">
        <f t="shared" si="16"/>
        <v>-9.6824764002623673E-2</v>
      </c>
      <c r="AE46" s="61">
        <f t="shared" si="17"/>
        <v>0.20050769073300986</v>
      </c>
      <c r="AF46" s="61">
        <f t="shared" si="20"/>
        <v>-3.3241955165682929E-2</v>
      </c>
      <c r="AG46" s="28"/>
      <c r="AH46" s="26">
        <f t="shared" si="12"/>
        <v>-2</v>
      </c>
      <c r="AI46" s="48">
        <f>AA47</f>
        <v>0.26129405619084795</v>
      </c>
      <c r="AJ46" s="49">
        <f>AB47</f>
        <v>-1.6808247595725342E-2</v>
      </c>
      <c r="AK46" s="19">
        <f t="shared" si="13"/>
        <v>-0.18321833372345622</v>
      </c>
      <c r="AL46" s="19">
        <f t="shared" si="10"/>
        <v>-6.3990256333921511E-2</v>
      </c>
      <c r="AM46" s="19">
        <f t="shared" si="11"/>
        <v>0.29334599073405559</v>
      </c>
      <c r="AN46" s="19">
        <f t="shared" si="14"/>
        <v>-1.0243892707171416E-2</v>
      </c>
      <c r="AO46" s="28"/>
      <c r="AP46" s="23">
        <f t="shared" si="15"/>
        <v>-2</v>
      </c>
      <c r="AQ46" s="21">
        <f>AI47</f>
        <v>0.3251944406533937</v>
      </c>
      <c r="AR46" s="20">
        <f>AJ47</f>
        <v>-5.1005256302094765E-3</v>
      </c>
      <c r="AS46" s="19">
        <f t="shared" si="7"/>
        <v>-0.11559386798037476</v>
      </c>
      <c r="AT46" s="19">
        <f t="shared" si="5"/>
        <v>-4.2501344505747801E-2</v>
      </c>
      <c r="AU46" s="19">
        <f t="shared" si="6"/>
        <v>0.34096792028281814</v>
      </c>
      <c r="AV46" s="19">
        <f t="shared" si="8"/>
        <v>-3.0875437430327793E-3</v>
      </c>
      <c r="AX46" s="23">
        <f t="shared" si="4"/>
        <v>-2</v>
      </c>
      <c r="AY46" s="21"/>
      <c r="AZ46" s="23"/>
      <c r="BA46" s="19"/>
      <c r="BB46" s="19"/>
      <c r="BC46" s="19"/>
      <c r="BD46" s="19"/>
    </row>
    <row r="47" spans="1:56">
      <c r="A47" s="37"/>
      <c r="B47" s="56">
        <v>1</v>
      </c>
      <c r="C47" s="23" t="s">
        <v>34</v>
      </c>
      <c r="D47" s="23" t="s">
        <v>35</v>
      </c>
      <c r="E47" s="20" t="s">
        <v>30</v>
      </c>
      <c r="F47" s="20" t="s">
        <v>31</v>
      </c>
      <c r="G47" s="20" t="s">
        <v>32</v>
      </c>
      <c r="H47" s="20" t="s">
        <v>33</v>
      </c>
      <c r="I47" s="37"/>
      <c r="J47" s="23">
        <f>-(J46-1)/2</f>
        <v>-1</v>
      </c>
      <c r="K47" s="57">
        <f>H12</f>
        <v>1.0323563876231049E-2</v>
      </c>
      <c r="L47" s="25">
        <f>H11-K47*H10</f>
        <v>-0.15832548956303655</v>
      </c>
      <c r="M47" s="19">
        <f>-(L47-L48)/(K47-K48)</f>
        <v>-0.42600891691731474</v>
      </c>
      <c r="N47" s="19">
        <f>Höhe*2/PI()*ATAN(HSteigung*M47)</f>
        <v>-0.11546305602321418</v>
      </c>
      <c r="O47" s="39">
        <f>Höhe*2/PI()*HSteigung*(1/(1+(HSteigung*M47*HSteigung*M47)))</f>
        <v>0.14505155745746634</v>
      </c>
      <c r="P47" s="39">
        <f>N47-O47*M47</f>
        <v>-5.366979913358929E-2</v>
      </c>
      <c r="Q47" s="37"/>
      <c r="R47" s="23">
        <f>1+R46</f>
        <v>-1</v>
      </c>
      <c r="S47" s="35">
        <f>O47</f>
        <v>0.14505155745746634</v>
      </c>
      <c r="T47" s="39">
        <f>P47</f>
        <v>-5.366979913358929E-2</v>
      </c>
      <c r="U47" s="19">
        <f>-(T47-T48)/(S47-S48)</f>
        <v>-0.22653102238502199</v>
      </c>
      <c r="V47" s="19">
        <f>Höhe*2/PI()*ATAN(HSteigung*U47)</f>
        <v>-7.5999457287767511E-2</v>
      </c>
      <c r="W47" s="49">
        <f>Höhe*2/PI()*HSteigung*(1/(1+(HSteigung*U47*HSteigung*U47)))</f>
        <v>0.26129405619084795</v>
      </c>
      <c r="X47" s="49">
        <f>V47-W47*U47</f>
        <v>-1.6808247595725342E-2</v>
      </c>
      <c r="Y47" s="37"/>
      <c r="Z47" s="23">
        <f t="shared" si="18"/>
        <v>-1</v>
      </c>
      <c r="AA47" s="48">
        <f>W47</f>
        <v>0.26129405619084795</v>
      </c>
      <c r="AB47" s="49">
        <f>X47</f>
        <v>-1.6808247595725342E-2</v>
      </c>
      <c r="AC47" s="19">
        <f t="shared" si="19"/>
        <v>-0.1392820103511837</v>
      </c>
      <c r="AD47" s="19">
        <f t="shared" si="16"/>
        <v>-5.0394261079442851E-2</v>
      </c>
      <c r="AE47" s="63">
        <f t="shared" si="17"/>
        <v>0.3251944406533937</v>
      </c>
      <c r="AF47" s="63">
        <f t="shared" si="20"/>
        <v>-5.1005256302094765E-3</v>
      </c>
      <c r="AG47" s="37"/>
      <c r="AH47" s="26">
        <f t="shared" si="12"/>
        <v>-1</v>
      </c>
      <c r="AI47" s="52">
        <f>AE47</f>
        <v>0.3251944406533937</v>
      </c>
      <c r="AJ47" s="63">
        <f>AF47</f>
        <v>-5.1005256302094765E-3</v>
      </c>
      <c r="AK47" s="19">
        <f t="shared" si="13"/>
        <v>-8.983369412744914E-2</v>
      </c>
      <c r="AL47" s="19">
        <f t="shared" si="10"/>
        <v>-3.3517618267125363E-2</v>
      </c>
      <c r="AM47" s="19">
        <f t="shared" si="11"/>
        <v>0.35610748034149958</v>
      </c>
      <c r="AN47" s="19">
        <f t="shared" si="14"/>
        <v>-1.5271678016304802E-3</v>
      </c>
      <c r="AO47" s="37"/>
      <c r="AP47" s="23">
        <f t="shared" si="15"/>
        <v>-1</v>
      </c>
      <c r="AQ47" s="21">
        <f>AM47</f>
        <v>0.35610748034149958</v>
      </c>
      <c r="AR47" s="20">
        <f>AN47</f>
        <v>-1.5271678016304802E-3</v>
      </c>
      <c r="AS47" s="19">
        <f t="shared" si="7"/>
        <v>-5.9045205020471732E-2</v>
      </c>
      <c r="AT47" s="19">
        <f t="shared" si="5"/>
        <v>-2.2322062339583133E-2</v>
      </c>
      <c r="AU47" s="19">
        <f t="shared" si="6"/>
        <v>0.37035133975819889</v>
      </c>
      <c r="AV47" s="19">
        <f t="shared" si="8"/>
        <v>-4.5459155395389389E-4</v>
      </c>
      <c r="AX47" s="23">
        <f t="shared" si="4"/>
        <v>-1</v>
      </c>
      <c r="AY47" s="21"/>
      <c r="AZ47" s="23"/>
      <c r="BA47" s="19"/>
      <c r="BB47" s="19"/>
      <c r="BC47" s="19"/>
      <c r="BD47" s="19"/>
    </row>
    <row r="48" spans="1:56">
      <c r="B48" s="23">
        <f>-(B47-1)/2</f>
        <v>0</v>
      </c>
      <c r="C48" s="59">
        <f>(H11-AB11)/(H10-AB10)</f>
        <v>8.9486308657749328E-2</v>
      </c>
      <c r="D48" s="47">
        <f>(Zstart*Yloch-Ystart*Zloch)/(Yloch-Ystart)</f>
        <v>0</v>
      </c>
      <c r="E48" s="37"/>
      <c r="F48" s="37"/>
      <c r="G48" s="37"/>
      <c r="H48" s="37"/>
      <c r="I48" s="37"/>
      <c r="J48" s="23">
        <f>1+J47</f>
        <v>0</v>
      </c>
      <c r="K48" s="30">
        <f>R12</f>
        <v>0.38197186342054879</v>
      </c>
      <c r="L48" s="46">
        <v>0</v>
      </c>
      <c r="M48" s="19">
        <f>-(L48-L49)/(K48-K49)</f>
        <v>0.42600891691731474</v>
      </c>
      <c r="N48" s="19">
        <f>Höhe*2/PI()*ATAN(HSteigung*M48)</f>
        <v>0.11546305602321418</v>
      </c>
      <c r="O48" s="39">
        <f>Höhe*2/PI()*HSteigung*(1/(1+(HSteigung*M48*HSteigung*M48)))</f>
        <v>0.14505155745746634</v>
      </c>
      <c r="P48" s="39">
        <f>N48-O48*M48</f>
        <v>5.366979913358929E-2</v>
      </c>
      <c r="Q48" s="37"/>
      <c r="R48" s="23">
        <f>1+R47</f>
        <v>0</v>
      </c>
      <c r="S48" s="30">
        <f>K48</f>
        <v>0.38197186342054879</v>
      </c>
      <c r="T48" s="46">
        <f>L48</f>
        <v>0</v>
      </c>
      <c r="U48" s="19">
        <f>-(T48-T49)/(S48-S49)</f>
        <v>0.22653102238502199</v>
      </c>
      <c r="V48" s="19">
        <f>Höhe*2/PI()*ATAN(HSteigung*U48)</f>
        <v>7.5999457287767511E-2</v>
      </c>
      <c r="W48" s="49">
        <f>Höhe*2/PI()*HSteigung*(1/(1+(HSteigung*U48*HSteigung*U48)))</f>
        <v>0.26129405619084795</v>
      </c>
      <c r="X48" s="49">
        <f>V48-W48*U48</f>
        <v>1.6808247595725342E-2</v>
      </c>
      <c r="Y48" s="37"/>
      <c r="Z48" s="23">
        <f t="shared" si="18"/>
        <v>0</v>
      </c>
      <c r="AA48" s="30">
        <f>S48</f>
        <v>0.38197186342054879</v>
      </c>
      <c r="AB48" s="46">
        <f>T48</f>
        <v>0</v>
      </c>
      <c r="AC48" s="19">
        <f t="shared" si="19"/>
        <v>0.1392820103511837</v>
      </c>
      <c r="AD48" s="19">
        <f t="shared" si="16"/>
        <v>5.0394261079442851E-2</v>
      </c>
      <c r="AE48" s="63">
        <f t="shared" si="17"/>
        <v>0.3251944406533937</v>
      </c>
      <c r="AF48" s="63">
        <f t="shared" si="20"/>
        <v>5.1005256302094765E-3</v>
      </c>
      <c r="AG48" s="37"/>
      <c r="AH48" s="26">
        <f t="shared" si="12"/>
        <v>0</v>
      </c>
      <c r="AI48" s="30">
        <f>AA48</f>
        <v>0.38197186342054879</v>
      </c>
      <c r="AJ48" s="60">
        <f>AB48</f>
        <v>0</v>
      </c>
      <c r="AK48" s="19">
        <f t="shared" si="13"/>
        <v>8.983369412744914E-2</v>
      </c>
      <c r="AL48" s="19">
        <f t="shared" si="10"/>
        <v>3.3517618267125363E-2</v>
      </c>
      <c r="AM48" s="19">
        <f t="shared" si="11"/>
        <v>0.35610748034149958</v>
      </c>
      <c r="AN48" s="19">
        <f t="shared" si="14"/>
        <v>1.5271678016304802E-3</v>
      </c>
      <c r="AO48" s="37"/>
      <c r="AP48" s="23">
        <f t="shared" si="15"/>
        <v>0</v>
      </c>
      <c r="AQ48" s="30">
        <f>AI48</f>
        <v>0.38197186342054879</v>
      </c>
      <c r="AR48" s="60">
        <f>AJ48</f>
        <v>0</v>
      </c>
      <c r="AS48" s="19">
        <f t="shared" si="7"/>
        <v>5.9045205020471732E-2</v>
      </c>
      <c r="AT48" s="19">
        <f t="shared" si="5"/>
        <v>2.2322062339583133E-2</v>
      </c>
      <c r="AU48" s="19">
        <f t="shared" si="6"/>
        <v>0.37035133975819889</v>
      </c>
      <c r="AV48" s="19">
        <f t="shared" si="8"/>
        <v>4.5459155395389389E-4</v>
      </c>
      <c r="AX48" s="23">
        <f t="shared" si="4"/>
        <v>0</v>
      </c>
      <c r="AY48" s="30">
        <f>AQ48</f>
        <v>0.38197186342054879</v>
      </c>
      <c r="AZ48" s="46">
        <f>AR48</f>
        <v>0</v>
      </c>
      <c r="BA48" s="19"/>
      <c r="BB48" s="19"/>
      <c r="BC48" s="19"/>
      <c r="BD48" s="19"/>
    </row>
    <row r="49" spans="1:56">
      <c r="A49" s="28"/>
      <c r="B49" s="37"/>
      <c r="C49" s="37"/>
      <c r="D49" s="37"/>
      <c r="E49" s="37"/>
      <c r="F49" s="37"/>
      <c r="G49" s="37"/>
      <c r="H49" s="37"/>
      <c r="I49" s="37"/>
      <c r="J49" s="23">
        <f>1+J48</f>
        <v>1</v>
      </c>
      <c r="K49" s="57">
        <f>AB12</f>
        <v>1.0323563876231049E-2</v>
      </c>
      <c r="L49" s="25">
        <f>AB11-K49*AB10</f>
        <v>0.15832548956303655</v>
      </c>
      <c r="M49" s="37"/>
      <c r="N49" s="37"/>
      <c r="O49" s="37"/>
      <c r="P49" s="37"/>
      <c r="Q49" s="37"/>
      <c r="R49" s="23">
        <f>1+R48</f>
        <v>1</v>
      </c>
      <c r="S49" s="35">
        <f>O48</f>
        <v>0.14505155745746634</v>
      </c>
      <c r="T49" s="39">
        <f>P48</f>
        <v>5.366979913358929E-2</v>
      </c>
      <c r="U49" s="19">
        <f>-(T49-T50)/(S49-S50)</f>
        <v>0.77679246641748789</v>
      </c>
      <c r="V49" s="19">
        <f>Höhe*2/PI()*ATAN(HSteigung*U49)</f>
        <v>0.14838911319142573</v>
      </c>
      <c r="W49" s="41">
        <f>Höhe*2/PI()*HSteigung*(1/(1+(HSteigung*U49*HSteigung*U49)))</f>
        <v>5.9398558365054185E-2</v>
      </c>
      <c r="X49" s="41">
        <f>V49-W49*U49</f>
        <v>0.10224876053739218</v>
      </c>
      <c r="Y49" s="37"/>
      <c r="Z49" s="23">
        <f t="shared" si="18"/>
        <v>1</v>
      </c>
      <c r="AA49" s="48">
        <f>W48</f>
        <v>0.26129405619084795</v>
      </c>
      <c r="AB49" s="49">
        <f>X48</f>
        <v>1.6808247595725342E-2</v>
      </c>
      <c r="AC49" s="19">
        <f t="shared" si="19"/>
        <v>0.31710907748474215</v>
      </c>
      <c r="AD49" s="19">
        <f t="shared" si="16"/>
        <v>9.6824764002623673E-2</v>
      </c>
      <c r="AE49" s="61">
        <f t="shared" si="17"/>
        <v>0.20050769073300986</v>
      </c>
      <c r="AF49" s="61">
        <f t="shared" si="20"/>
        <v>3.3241955165682929E-2</v>
      </c>
      <c r="AG49" s="37"/>
      <c r="AH49" s="26">
        <f t="shared" ref="AH49:AH56" si="21">1+AH48</f>
        <v>1</v>
      </c>
      <c r="AI49" s="52">
        <f>AE48</f>
        <v>0.3251944406533937</v>
      </c>
      <c r="AJ49" s="63">
        <f>AF48</f>
        <v>5.1005256302094765E-3</v>
      </c>
      <c r="AK49" s="19">
        <f t="shared" si="13"/>
        <v>0.18321833372345622</v>
      </c>
      <c r="AL49" s="19">
        <f t="shared" si="10"/>
        <v>6.3990256333921511E-2</v>
      </c>
      <c r="AM49" s="19">
        <f t="shared" si="11"/>
        <v>0.29334599073405559</v>
      </c>
      <c r="AN49" s="19">
        <f t="shared" si="14"/>
        <v>1.0243892707171416E-2</v>
      </c>
      <c r="AO49" s="37"/>
      <c r="AP49" s="23">
        <f t="shared" si="15"/>
        <v>1</v>
      </c>
      <c r="AQ49" s="21">
        <f>AM48</f>
        <v>0.35610748034149958</v>
      </c>
      <c r="AR49" s="20">
        <f>AN48</f>
        <v>1.5271678016304802E-3</v>
      </c>
      <c r="AS49" s="19">
        <f t="shared" si="7"/>
        <v>0.11559386798037476</v>
      </c>
      <c r="AT49" s="19">
        <f t="shared" si="5"/>
        <v>4.2501344505747801E-2</v>
      </c>
      <c r="AU49" s="19">
        <f t="shared" si="6"/>
        <v>0.34096792028281814</v>
      </c>
      <c r="AV49" s="19">
        <f t="shared" si="8"/>
        <v>3.0875437430327793E-3</v>
      </c>
      <c r="AX49" s="23">
        <f>1+AX48</f>
        <v>1</v>
      </c>
      <c r="AY49" s="21"/>
      <c r="AZ49" s="23"/>
      <c r="BA49" s="19"/>
      <c r="BB49" s="19"/>
      <c r="BC49" s="19"/>
      <c r="BD49" s="19"/>
    </row>
    <row r="50" spans="1:56">
      <c r="A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23">
        <f>1+R49</f>
        <v>2</v>
      </c>
      <c r="S50" s="34">
        <f>K49</f>
        <v>1.0323563876231049E-2</v>
      </c>
      <c r="T50" s="25">
        <f>L49</f>
        <v>0.15832548956303655</v>
      </c>
      <c r="U50" s="37"/>
      <c r="V50" s="37"/>
      <c r="W50" s="37"/>
      <c r="X50" s="37"/>
      <c r="Y50" s="37"/>
      <c r="Z50" s="23">
        <f t="shared" si="18"/>
        <v>2</v>
      </c>
      <c r="AA50" s="35">
        <f>S49</f>
        <v>0.14505155745746634</v>
      </c>
      <c r="AB50" s="39">
        <f>T49</f>
        <v>5.366979913358929E-2</v>
      </c>
      <c r="AC50" s="19">
        <f t="shared" si="19"/>
        <v>0.56716007517016898</v>
      </c>
      <c r="AD50" s="19">
        <f t="shared" si="16"/>
        <v>0.13234720714446924</v>
      </c>
      <c r="AE50" s="62">
        <f t="shared" si="17"/>
        <v>9.8066350509976558E-2</v>
      </c>
      <c r="AF50" s="62">
        <f t="shared" si="20"/>
        <v>7.6727888417566795E-2</v>
      </c>
      <c r="AG50" s="37"/>
      <c r="AH50" s="26">
        <f t="shared" si="21"/>
        <v>2</v>
      </c>
      <c r="AI50" s="48">
        <f>AA49</f>
        <v>0.26129405619084795</v>
      </c>
      <c r="AJ50" s="49">
        <f>AB49</f>
        <v>1.6808247595725342E-2</v>
      </c>
      <c r="AK50" s="19">
        <f t="shared" si="13"/>
        <v>0.27035186996590777</v>
      </c>
      <c r="AL50" s="19">
        <f t="shared" si="10"/>
        <v>8.6764387639793369E-2</v>
      </c>
      <c r="AM50" s="19">
        <f t="shared" si="11"/>
        <v>0.23040733642038505</v>
      </c>
      <c r="AN50" s="19">
        <f t="shared" si="14"/>
        <v>2.4473333384678268E-2</v>
      </c>
      <c r="AO50" s="37"/>
      <c r="AP50" s="23">
        <f t="shared" si="15"/>
        <v>2</v>
      </c>
      <c r="AQ50" s="21">
        <f>AI49</f>
        <v>0.3251944406533937</v>
      </c>
      <c r="AR50" s="20">
        <f>AJ49</f>
        <v>5.1005256302094765E-3</v>
      </c>
      <c r="AS50" s="19">
        <f t="shared" si="7"/>
        <v>0.16149505203513628</v>
      </c>
      <c r="AT50" s="19">
        <f t="shared" si="5"/>
        <v>5.7443332044879225E-2</v>
      </c>
      <c r="AU50" s="19">
        <f t="shared" si="6"/>
        <v>0.30935762648877058</v>
      </c>
      <c r="AV50" s="19">
        <f t="shared" si="8"/>
        <v>7.483606057608963E-3</v>
      </c>
      <c r="AX50" s="23">
        <f>1+AX49</f>
        <v>2</v>
      </c>
      <c r="AY50" s="21"/>
      <c r="AZ50" s="23"/>
      <c r="BA50" s="19"/>
      <c r="BB50" s="19"/>
      <c r="BC50" s="19"/>
      <c r="BD50" s="19"/>
    </row>
    <row r="51" spans="1:56"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23">
        <f t="shared" si="18"/>
        <v>3</v>
      </c>
      <c r="AA51" s="51">
        <f>W49</f>
        <v>5.9398558365054185E-2</v>
      </c>
      <c r="AB51" s="41">
        <f>X49</f>
        <v>0.10224876053739218</v>
      </c>
      <c r="AC51" s="19">
        <f t="shared" si="19"/>
        <v>1.142674178769717</v>
      </c>
      <c r="AD51" s="19">
        <f t="shared" si="16"/>
        <v>0.16386073179952501</v>
      </c>
      <c r="AE51" s="40">
        <f t="shared" si="17"/>
        <v>2.9955432767914274E-2</v>
      </c>
      <c r="AF51" s="40">
        <f t="shared" si="20"/>
        <v>0.12963143226175711</v>
      </c>
      <c r="AG51" s="37"/>
      <c r="AH51" s="26">
        <f t="shared" si="21"/>
        <v>3</v>
      </c>
      <c r="AI51" s="65">
        <f>AE49</f>
        <v>0.20050769073300986</v>
      </c>
      <c r="AJ51" s="61">
        <f>AF49</f>
        <v>3.3241955165682929E-2</v>
      </c>
      <c r="AK51" s="19">
        <f t="shared" si="13"/>
        <v>0.36836040959449939</v>
      </c>
      <c r="AL51" s="19">
        <f t="shared" si="10"/>
        <v>0.10635047290016694</v>
      </c>
      <c r="AM51" s="19">
        <f t="shared" si="11"/>
        <v>0.17196609299199722</v>
      </c>
      <c r="AN51" s="19">
        <f t="shared" si="14"/>
        <v>4.3004972449269069E-2</v>
      </c>
      <c r="AO51" s="37"/>
      <c r="AP51" s="23">
        <f t="shared" si="15"/>
        <v>3</v>
      </c>
      <c r="AQ51" s="21">
        <f>AM49</f>
        <v>0.29334599073405559</v>
      </c>
      <c r="AR51" s="20">
        <f>AN49</f>
        <v>1.0243892707171416E-2</v>
      </c>
      <c r="AS51" s="19">
        <f t="shared" si="7"/>
        <v>0.20480370318068758</v>
      </c>
      <c r="AT51" s="19">
        <f t="shared" si="5"/>
        <v>7.0148950719737244E-2</v>
      </c>
      <c r="AU51" s="19">
        <f t="shared" si="6"/>
        <v>0.27729334514001408</v>
      </c>
      <c r="AV51" s="19">
        <f t="shared" si="8"/>
        <v>1.3358246767701844E-2</v>
      </c>
      <c r="AX51" s="23">
        <f t="shared" ref="AX51:AX80" si="22">1+AX50</f>
        <v>3</v>
      </c>
      <c r="AY51" s="21"/>
      <c r="AZ51" s="23"/>
      <c r="BA51" s="19"/>
      <c r="BB51" s="19"/>
      <c r="BC51" s="19"/>
      <c r="BD51" s="19"/>
    </row>
    <row r="52" spans="1:56"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23">
        <f t="shared" si="18"/>
        <v>4</v>
      </c>
      <c r="AA52" s="34">
        <f>S50</f>
        <v>1.0323563876231049E-2</v>
      </c>
      <c r="AB52" s="25">
        <f>T50</f>
        <v>0.15832548956303655</v>
      </c>
      <c r="AC52" s="37"/>
      <c r="AD52" s="37"/>
      <c r="AE52" s="37"/>
      <c r="AF52" s="37"/>
      <c r="AG52" s="37"/>
      <c r="AH52" s="26">
        <f t="shared" si="21"/>
        <v>4</v>
      </c>
      <c r="AI52" s="35">
        <f>AA50</f>
        <v>0.14505155745746634</v>
      </c>
      <c r="AJ52" s="39">
        <f>AB50</f>
        <v>5.366979913358929E-2</v>
      </c>
      <c r="AK52" s="19">
        <f t="shared" si="13"/>
        <v>0.49075210650337253</v>
      </c>
      <c r="AL52" s="19">
        <f t="shared" si="10"/>
        <v>0.1240322095323739</v>
      </c>
      <c r="AM52" s="19">
        <f t="shared" si="11"/>
        <v>0.12058948703532404</v>
      </c>
      <c r="AN52" s="19">
        <f t="shared" si="14"/>
        <v>6.4852664747627492E-2</v>
      </c>
      <c r="AO52" s="37"/>
      <c r="AP52" s="23">
        <f t="shared" si="15"/>
        <v>4</v>
      </c>
      <c r="AQ52" s="21">
        <f>AI50</f>
        <v>0.26129405619084795</v>
      </c>
      <c r="AR52" s="20">
        <f>AJ50</f>
        <v>1.6808247595725342E-2</v>
      </c>
      <c r="AS52" s="19">
        <f t="shared" si="7"/>
        <v>0.24816768649816551</v>
      </c>
      <c r="AT52" s="19">
        <f t="shared" si="5"/>
        <v>8.148399172586461E-2</v>
      </c>
      <c r="AU52" s="19">
        <f t="shared" si="6"/>
        <v>0.24575409992116323</v>
      </c>
      <c r="AV52" s="19">
        <f t="shared" si="8"/>
        <v>2.049576530099053E-2</v>
      </c>
      <c r="AX52" s="23">
        <f t="shared" si="22"/>
        <v>4</v>
      </c>
      <c r="AY52" s="21"/>
      <c r="AZ52" s="23"/>
      <c r="BA52" s="19"/>
      <c r="BB52" s="19"/>
      <c r="BC52" s="19"/>
      <c r="BD52" s="19"/>
    </row>
    <row r="53" spans="1:56"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26">
        <f t="shared" si="21"/>
        <v>5</v>
      </c>
      <c r="AI53" s="64">
        <f>AE50</f>
        <v>9.8066350509976558E-2</v>
      </c>
      <c r="AJ53" s="62">
        <f>AF50</f>
        <v>7.6727888417566795E-2</v>
      </c>
      <c r="AK53" s="19">
        <f t="shared" si="13"/>
        <v>0.66000334397619953</v>
      </c>
      <c r="AL53" s="19">
        <f t="shared" si="10"/>
        <v>0.14045341227270666</v>
      </c>
      <c r="AM53" s="19">
        <f t="shared" si="11"/>
        <v>7.7629619434300259E-2</v>
      </c>
      <c r="AN53" s="19">
        <f t="shared" si="14"/>
        <v>8.9217603854468724E-2</v>
      </c>
      <c r="AO53" s="37"/>
      <c r="AP53" s="23">
        <f t="shared" si="15"/>
        <v>5</v>
      </c>
      <c r="AQ53" s="21">
        <f>AM50</f>
        <v>0.23040733642038505</v>
      </c>
      <c r="AR53" s="20">
        <f>AN50</f>
        <v>2.4473333384678268E-2</v>
      </c>
      <c r="AS53" s="19">
        <f t="shared" si="7"/>
        <v>0.29326841771597045</v>
      </c>
      <c r="AT53" s="19">
        <f t="shared" si="5"/>
        <v>9.1869973760363433E-2</v>
      </c>
      <c r="AU53" s="19">
        <f t="shared" si="6"/>
        <v>0.21530976873201241</v>
      </c>
      <c r="AV53" s="19">
        <f t="shared" si="8"/>
        <v>2.8726418565534623E-2</v>
      </c>
      <c r="AX53" s="23">
        <f t="shared" si="22"/>
        <v>5</v>
      </c>
      <c r="AY53" s="21"/>
      <c r="AZ53" s="23"/>
      <c r="BA53" s="19"/>
      <c r="BB53" s="19"/>
      <c r="BC53" s="19"/>
      <c r="BD53" s="19"/>
    </row>
    <row r="54" spans="1:56">
      <c r="A54" s="28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26">
        <f t="shared" si="21"/>
        <v>6</v>
      </c>
      <c r="AI54" s="51">
        <f>AA51</f>
        <v>5.9398558365054185E-2</v>
      </c>
      <c r="AJ54" s="41">
        <f>AB51</f>
        <v>0.10224876053739218</v>
      </c>
      <c r="AK54" s="19">
        <f t="shared" si="13"/>
        <v>0.93001918678854067</v>
      </c>
      <c r="AL54" s="19">
        <f t="shared" si="10"/>
        <v>0.1561811805194348</v>
      </c>
      <c r="AM54" s="19">
        <f t="shared" si="11"/>
        <v>4.348287213831558E-2</v>
      </c>
      <c r="AN54" s="19">
        <f t="shared" si="14"/>
        <v>0.11574127513412846</v>
      </c>
      <c r="AO54" s="37"/>
      <c r="AP54" s="23">
        <f t="shared" si="15"/>
        <v>6</v>
      </c>
      <c r="AQ54" s="21">
        <f>AI51</f>
        <v>0.20050769073300986</v>
      </c>
      <c r="AR54" s="20">
        <f>AJ51</f>
        <v>3.3241955165682929E-2</v>
      </c>
      <c r="AS54" s="19">
        <f t="shared" si="7"/>
        <v>0.3420627454768323</v>
      </c>
      <c r="AT54" s="19">
        <f t="shared" si="5"/>
        <v>0.10164555499285884</v>
      </c>
      <c r="AU54" s="19">
        <f t="shared" si="6"/>
        <v>0.18604981644019705</v>
      </c>
      <c r="AV54" s="19">
        <f t="shared" si="8"/>
        <v>3.8004843985864345E-2</v>
      </c>
      <c r="AX54" s="23">
        <f t="shared" si="22"/>
        <v>6</v>
      </c>
      <c r="AY54" s="21"/>
      <c r="AZ54" s="23"/>
      <c r="BA54" s="19"/>
      <c r="BB54" s="19"/>
      <c r="BC54" s="19"/>
      <c r="BD54" s="19"/>
    </row>
    <row r="55" spans="1:56">
      <c r="A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26">
        <f t="shared" si="21"/>
        <v>7</v>
      </c>
      <c r="AI55" s="58">
        <f>AE51</f>
        <v>2.9955432767914274E-2</v>
      </c>
      <c r="AJ55" s="40">
        <f>AF51</f>
        <v>0.12963143226175711</v>
      </c>
      <c r="AK55" s="19">
        <f t="shared" si="13"/>
        <v>1.4616059968409472</v>
      </c>
      <c r="AL55" s="19">
        <f t="shared" si="10"/>
        <v>0.17145082019182817</v>
      </c>
      <c r="AM55" s="19">
        <f t="shared" si="11"/>
        <v>1.8884603411096445E-2</v>
      </c>
      <c r="AN55" s="19">
        <f t="shared" si="14"/>
        <v>0.14384897059820659</v>
      </c>
      <c r="AO55" s="37"/>
      <c r="AP55" s="23">
        <f t="shared" si="15"/>
        <v>7</v>
      </c>
      <c r="AQ55" s="21">
        <f>AM51</f>
        <v>0.17196609299199722</v>
      </c>
      <c r="AR55" s="20">
        <f>AN51</f>
        <v>4.3004972449269069E-2</v>
      </c>
      <c r="AS55" s="19">
        <f t="shared" si="7"/>
        <v>0.3962478442415413</v>
      </c>
      <c r="AT55" s="19">
        <f t="shared" si="5"/>
        <v>0.11095252534851778</v>
      </c>
      <c r="AU55" s="19">
        <f t="shared" si="6"/>
        <v>0.15829020458837095</v>
      </c>
      <c r="AV55" s="19">
        <f t="shared" si="8"/>
        <v>4.8230373015823266E-2</v>
      </c>
      <c r="AX55" s="23">
        <f t="shared" si="22"/>
        <v>7</v>
      </c>
      <c r="AY55" s="21"/>
      <c r="AZ55" s="23"/>
      <c r="BA55" s="19"/>
      <c r="BB55" s="19"/>
      <c r="BC55" s="19"/>
      <c r="BD55" s="19"/>
    </row>
    <row r="56" spans="1:56"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26">
        <f t="shared" si="21"/>
        <v>8</v>
      </c>
      <c r="AI56" s="34">
        <f>AA52</f>
        <v>1.0323563876231049E-2</v>
      </c>
      <c r="AJ56" s="25">
        <f>AB52</f>
        <v>0.15832548956303655</v>
      </c>
      <c r="AK56" s="1"/>
      <c r="AL56" s="1"/>
      <c r="AM56" s="1"/>
      <c r="AN56" s="1"/>
      <c r="AO56" s="37"/>
      <c r="AP56" s="23">
        <f t="shared" si="15"/>
        <v>8</v>
      </c>
      <c r="AQ56" s="21">
        <f>AI52</f>
        <v>0.14505155745746634</v>
      </c>
      <c r="AR56" s="20">
        <f>AJ52</f>
        <v>5.366979913358929E-2</v>
      </c>
      <c r="AS56" s="19">
        <f t="shared" si="7"/>
        <v>0.45715123131670099</v>
      </c>
      <c r="AT56" s="19">
        <f t="shared" si="5"/>
        <v>0.11978270151550295</v>
      </c>
      <c r="AU56" s="19">
        <f t="shared" si="6"/>
        <v>0.13258836514084066</v>
      </c>
      <c r="AV56" s="19">
        <f t="shared" si="8"/>
        <v>5.9169767133099287E-2</v>
      </c>
      <c r="AX56" s="23">
        <f t="shared" si="22"/>
        <v>8</v>
      </c>
      <c r="AY56" s="21"/>
      <c r="AZ56" s="23"/>
      <c r="BA56" s="19"/>
      <c r="BB56" s="19"/>
      <c r="BC56" s="19"/>
      <c r="BD56" s="19"/>
    </row>
    <row r="57" spans="1:56"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23">
        <f t="shared" si="15"/>
        <v>9</v>
      </c>
      <c r="AQ57" s="21">
        <f>AM52</f>
        <v>0.12058948703532404</v>
      </c>
      <c r="AR57" s="20">
        <f>AN52</f>
        <v>6.4852664747627492E-2</v>
      </c>
      <c r="AS57" s="19">
        <f t="shared" si="7"/>
        <v>0.52724555732168799</v>
      </c>
      <c r="AT57" s="19">
        <f t="shared" si="5"/>
        <v>0.12821833538831046</v>
      </c>
      <c r="AU57" s="19">
        <f t="shared" si="6"/>
        <v>0.10907588910943161</v>
      </c>
      <c r="AV57" s="19">
        <f t="shared" si="8"/>
        <v>7.0708557444449552E-2</v>
      </c>
      <c r="AX57" s="23">
        <f t="shared" si="22"/>
        <v>9</v>
      </c>
      <c r="AY57" s="21"/>
      <c r="AZ57" s="23"/>
      <c r="BA57" s="19"/>
      <c r="BB57" s="19"/>
      <c r="BC57" s="19"/>
      <c r="BD57" s="19"/>
    </row>
    <row r="58" spans="1:56"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23">
        <f t="shared" si="15"/>
        <v>10</v>
      </c>
      <c r="AQ58" s="21">
        <f>AI53</f>
        <v>9.8066350509976558E-2</v>
      </c>
      <c r="AR58" s="20">
        <f>AJ53</f>
        <v>7.6727888417566795E-2</v>
      </c>
      <c r="AS58" s="19">
        <f t="shared" si="7"/>
        <v>0.61114056796329486</v>
      </c>
      <c r="AT58" s="19">
        <f t="shared" si="5"/>
        <v>0.1364237806515137</v>
      </c>
      <c r="AU58" s="19">
        <f t="shared" si="6"/>
        <v>8.7579397786124169E-2</v>
      </c>
      <c r="AV58" s="19">
        <f t="shared" si="8"/>
        <v>8.2900457746618444E-2</v>
      </c>
      <c r="AX58" s="23">
        <f t="shared" si="22"/>
        <v>10</v>
      </c>
      <c r="AY58" s="21"/>
      <c r="AZ58" s="23"/>
      <c r="BA58" s="19"/>
      <c r="BB58" s="19"/>
      <c r="BC58" s="19"/>
      <c r="BD58" s="19"/>
    </row>
    <row r="59" spans="1:56"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23">
        <f t="shared" si="15"/>
        <v>11</v>
      </c>
      <c r="AQ59" s="21">
        <f>AM53</f>
        <v>7.7629619434300259E-2</v>
      </c>
      <c r="AR59" s="20">
        <f>AN53</f>
        <v>8.9217603854468724E-2</v>
      </c>
      <c r="AS59" s="19">
        <f t="shared" si="7"/>
        <v>0.71477774296448815</v>
      </c>
      <c r="AT59" s="19">
        <f t="shared" si="5"/>
        <v>0.14444049428717329</v>
      </c>
      <c r="AU59" s="19">
        <f t="shared" si="6"/>
        <v>6.8231619406869448E-2</v>
      </c>
      <c r="AV59" s="19">
        <f t="shared" si="8"/>
        <v>9.5670051368719172E-2</v>
      </c>
      <c r="AX59" s="23">
        <f t="shared" si="22"/>
        <v>11</v>
      </c>
      <c r="AY59" s="21"/>
      <c r="AZ59" s="23"/>
      <c r="BA59" s="19"/>
      <c r="BB59" s="19"/>
      <c r="BC59" s="19"/>
      <c r="BD59" s="19"/>
    </row>
    <row r="60" spans="1:56"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23">
        <f t="shared" si="15"/>
        <v>12</v>
      </c>
      <c r="AQ60" s="21">
        <f>AI54</f>
        <v>5.9398558365054185E-2</v>
      </c>
      <c r="AR60" s="20">
        <f>AJ54</f>
        <v>0.10224876053739218</v>
      </c>
      <c r="AS60" s="19">
        <f t="shared" si="7"/>
        <v>0.84774947209430684</v>
      </c>
      <c r="AT60" s="19">
        <f t="shared" si="5"/>
        <v>0.15230077962819788</v>
      </c>
      <c r="AU60" s="19">
        <f t="shared" si="6"/>
        <v>5.114704191538702E-2</v>
      </c>
      <c r="AV60" s="19">
        <f t="shared" si="8"/>
        <v>0.10894090184524315</v>
      </c>
      <c r="AX60" s="23">
        <f t="shared" si="22"/>
        <v>12</v>
      </c>
      <c r="AY60" s="21"/>
      <c r="AZ60" s="23"/>
      <c r="BA60" s="19"/>
      <c r="BB60" s="19"/>
      <c r="BC60" s="19"/>
      <c r="BD60" s="19"/>
    </row>
    <row r="61" spans="1:56">
      <c r="G61" s="1"/>
      <c r="H61" s="1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23">
        <f t="shared" si="15"/>
        <v>13</v>
      </c>
      <c r="AQ61" s="21">
        <f>AM54</f>
        <v>4.348287213831558E-2</v>
      </c>
      <c r="AR61" s="20">
        <f>AN54</f>
        <v>0.11574127513412846</v>
      </c>
      <c r="AS61" s="19">
        <f t="shared" si="7"/>
        <v>1.0268134823816681</v>
      </c>
      <c r="AT61" s="19">
        <f t="shared" si="5"/>
        <v>0.16003349235473319</v>
      </c>
      <c r="AU61" s="19">
        <f t="shared" si="6"/>
        <v>3.6416029718904952E-2</v>
      </c>
      <c r="AV61" s="19">
        <f t="shared" si="8"/>
        <v>0.12264102206455008</v>
      </c>
      <c r="AX61" s="23">
        <f t="shared" si="22"/>
        <v>13</v>
      </c>
      <c r="AY61" s="21"/>
      <c r="AZ61" s="23"/>
      <c r="BA61" s="19"/>
      <c r="BB61" s="19"/>
      <c r="BC61" s="19"/>
      <c r="BD61" s="19"/>
    </row>
    <row r="62" spans="1:56">
      <c r="A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23">
        <f t="shared" si="15"/>
        <v>14</v>
      </c>
      <c r="AQ62" s="21">
        <f>AI55</f>
        <v>2.9955432767914274E-2</v>
      </c>
      <c r="AR62" s="20">
        <f>AJ55</f>
        <v>0.12963143226175711</v>
      </c>
      <c r="AS62" s="19">
        <f t="shared" si="7"/>
        <v>1.2842342590795865</v>
      </c>
      <c r="AT62" s="19">
        <f t="shared" si="5"/>
        <v>0.1676655669618817</v>
      </c>
      <c r="AU62" s="19">
        <f t="shared" si="6"/>
        <v>2.4109334092220977E-2</v>
      </c>
      <c r="AV62" s="19">
        <f t="shared" si="8"/>
        <v>0.13670353415705608</v>
      </c>
      <c r="AX62" s="23">
        <f t="shared" si="22"/>
        <v>14</v>
      </c>
      <c r="AY62" s="21"/>
      <c r="AZ62" s="23"/>
      <c r="BA62" s="19"/>
      <c r="BB62" s="19"/>
      <c r="BC62" s="19"/>
      <c r="BD62" s="19"/>
    </row>
    <row r="63" spans="1:56"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23">
        <f>1+AP62</f>
        <v>15</v>
      </c>
      <c r="AQ63" s="21">
        <f>AM55</f>
        <v>1.8884603411096445E-2</v>
      </c>
      <c r="AR63" s="20">
        <f>AN55</f>
        <v>0.14384897059820659</v>
      </c>
      <c r="AS63" s="19">
        <f t="shared" si="7"/>
        <v>1.6909767681685599</v>
      </c>
      <c r="AT63" s="19">
        <f t="shared" si="5"/>
        <v>0.17521902130704084</v>
      </c>
      <c r="AU63" s="19">
        <f t="shared" si="6"/>
        <v>1.4287535661265833E-2</v>
      </c>
      <c r="AV63" s="19">
        <f t="shared" si="8"/>
        <v>0.15105913042946051</v>
      </c>
      <c r="AX63" s="23">
        <f t="shared" si="22"/>
        <v>15</v>
      </c>
      <c r="AY63" s="21"/>
      <c r="AZ63" s="23"/>
      <c r="BA63" s="19"/>
      <c r="BB63" s="19"/>
      <c r="BC63" s="19"/>
      <c r="BD63" s="19"/>
    </row>
    <row r="64" spans="1:56"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23">
        <f>1+AP63</f>
        <v>16</v>
      </c>
      <c r="AQ64" s="34">
        <f>AI56</f>
        <v>1.0323563876231049E-2</v>
      </c>
      <c r="AR64" s="25">
        <f>AJ56</f>
        <v>0.15832548956303655</v>
      </c>
      <c r="AX64" s="23">
        <f t="shared" si="22"/>
        <v>16</v>
      </c>
      <c r="AY64" s="21"/>
      <c r="AZ64" s="23"/>
      <c r="BA64" s="19"/>
      <c r="BB64" s="19"/>
      <c r="BC64" s="19"/>
      <c r="BD64" s="19"/>
    </row>
    <row r="65" spans="1:56"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1"/>
      <c r="AQ65" s="67"/>
      <c r="AR65" s="38"/>
      <c r="AS65" s="18"/>
      <c r="AX65" s="23">
        <f t="shared" si="22"/>
        <v>17</v>
      </c>
      <c r="AY65" s="21"/>
      <c r="AZ65" s="23"/>
      <c r="BA65" s="19"/>
      <c r="BB65" s="19"/>
      <c r="BC65" s="19"/>
      <c r="BD65" s="19"/>
    </row>
    <row r="66" spans="1:56"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1"/>
      <c r="AQ66" s="67"/>
      <c r="AR66" s="38"/>
      <c r="AS66" s="18"/>
      <c r="AX66" s="23">
        <f t="shared" si="22"/>
        <v>18</v>
      </c>
      <c r="AY66" s="21"/>
      <c r="AZ66" s="23"/>
      <c r="BA66" s="19"/>
      <c r="BB66" s="19"/>
      <c r="BC66" s="19"/>
      <c r="BD66" s="19"/>
    </row>
    <row r="67" spans="1:56"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1"/>
      <c r="AQ67" s="67"/>
      <c r="AR67" s="38"/>
      <c r="AS67" s="18"/>
      <c r="AX67" s="23">
        <f t="shared" si="22"/>
        <v>19</v>
      </c>
      <c r="AY67" s="21"/>
      <c r="AZ67" s="23"/>
      <c r="BA67" s="19"/>
      <c r="BB67" s="19"/>
      <c r="BC67" s="19"/>
      <c r="BD67" s="19"/>
    </row>
    <row r="68" spans="1:56"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1"/>
      <c r="AQ68" s="67"/>
      <c r="AR68" s="38"/>
      <c r="AS68" s="18"/>
      <c r="AX68" s="23">
        <f t="shared" si="22"/>
        <v>20</v>
      </c>
      <c r="AY68" s="21"/>
      <c r="AZ68" s="23"/>
      <c r="BA68" s="19"/>
      <c r="BB68" s="19"/>
      <c r="BC68" s="19"/>
      <c r="BD68" s="19"/>
    </row>
    <row r="69" spans="1:56"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1"/>
      <c r="AQ69" s="67"/>
      <c r="AR69" s="38"/>
      <c r="AS69" s="18"/>
      <c r="AX69" s="23">
        <f t="shared" si="22"/>
        <v>21</v>
      </c>
      <c r="AY69" s="21"/>
      <c r="AZ69" s="23"/>
      <c r="BA69" s="19"/>
      <c r="BB69" s="19"/>
      <c r="BC69" s="19"/>
      <c r="BD69" s="19"/>
    </row>
    <row r="70" spans="1:56"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1"/>
      <c r="AQ70" s="67"/>
      <c r="AR70" s="38"/>
      <c r="AS70" s="18"/>
      <c r="AX70" s="23">
        <f t="shared" si="22"/>
        <v>22</v>
      </c>
      <c r="AY70" s="21"/>
      <c r="AZ70" s="23"/>
      <c r="BA70" s="19"/>
      <c r="BB70" s="19"/>
      <c r="BC70" s="19"/>
      <c r="BD70" s="19"/>
    </row>
    <row r="71" spans="1:56"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1"/>
      <c r="AQ71" s="67"/>
      <c r="AR71" s="38"/>
      <c r="AS71" s="18"/>
      <c r="AX71" s="23">
        <f t="shared" si="22"/>
        <v>23</v>
      </c>
      <c r="AY71" s="21"/>
      <c r="AZ71" s="23"/>
      <c r="BA71" s="19"/>
      <c r="BB71" s="19"/>
      <c r="BC71" s="19"/>
      <c r="BD71" s="19"/>
    </row>
    <row r="72" spans="1:56"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1"/>
      <c r="AQ72" s="67"/>
      <c r="AR72" s="38"/>
      <c r="AS72" s="18"/>
      <c r="AX72" s="23">
        <f t="shared" si="22"/>
        <v>24</v>
      </c>
      <c r="AY72" s="21"/>
      <c r="AZ72" s="23"/>
      <c r="BA72" s="19"/>
      <c r="BB72" s="19"/>
      <c r="BC72" s="19"/>
      <c r="BD72" s="19"/>
    </row>
    <row r="73" spans="1:56"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1"/>
      <c r="AQ73" s="67"/>
      <c r="AR73" s="38"/>
      <c r="AS73" s="18"/>
      <c r="AX73" s="23">
        <f t="shared" si="22"/>
        <v>25</v>
      </c>
      <c r="AY73" s="21"/>
      <c r="AZ73" s="23"/>
      <c r="BA73" s="19"/>
      <c r="BB73" s="19"/>
      <c r="BC73" s="19"/>
      <c r="BD73" s="19"/>
    </row>
    <row r="74" spans="1:56"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1"/>
      <c r="AQ74" s="67"/>
      <c r="AR74" s="38"/>
      <c r="AS74" s="18"/>
      <c r="AX74" s="23">
        <f>1+AX73</f>
        <v>26</v>
      </c>
      <c r="AY74" s="21"/>
      <c r="AZ74" s="23"/>
      <c r="BA74" s="19"/>
      <c r="BB74" s="19"/>
      <c r="BC74" s="19"/>
      <c r="BD74" s="19"/>
    </row>
    <row r="75" spans="1:56"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1"/>
      <c r="AQ75" s="67"/>
      <c r="AR75" s="38"/>
      <c r="AS75" s="18"/>
      <c r="AX75" s="23">
        <f t="shared" si="22"/>
        <v>27</v>
      </c>
      <c r="AY75" s="21"/>
      <c r="AZ75" s="23"/>
      <c r="BA75" s="19"/>
      <c r="BB75" s="19"/>
      <c r="BC75" s="19"/>
      <c r="BD75" s="19"/>
    </row>
    <row r="76" spans="1:56"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1"/>
      <c r="AQ76" s="67"/>
      <c r="AR76" s="38"/>
      <c r="AS76" s="18"/>
      <c r="AX76" s="23">
        <f t="shared" si="22"/>
        <v>28</v>
      </c>
      <c r="AY76" s="21"/>
      <c r="AZ76" s="23"/>
      <c r="BA76" s="19"/>
      <c r="BB76" s="19"/>
      <c r="BC76" s="19"/>
      <c r="BD76" s="19"/>
    </row>
    <row r="77" spans="1:56"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1"/>
      <c r="AQ77" s="67"/>
      <c r="AR77" s="38"/>
      <c r="AS77" s="18"/>
      <c r="AX77" s="23">
        <f t="shared" si="22"/>
        <v>29</v>
      </c>
      <c r="AY77" s="21"/>
      <c r="AZ77" s="23"/>
      <c r="BA77" s="19"/>
      <c r="BB77" s="19"/>
      <c r="BC77" s="19"/>
      <c r="BD77" s="19"/>
    </row>
    <row r="78" spans="1:56"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1"/>
      <c r="AQ78" s="67"/>
      <c r="AR78" s="38"/>
      <c r="AS78" s="18"/>
      <c r="AX78" s="23">
        <f t="shared" si="22"/>
        <v>30</v>
      </c>
      <c r="AY78" s="21"/>
      <c r="AZ78" s="23"/>
      <c r="BA78" s="19"/>
      <c r="BB78" s="19"/>
      <c r="BC78" s="19"/>
      <c r="BD78" s="19"/>
    </row>
    <row r="79" spans="1:56"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X79" s="23">
        <f t="shared" si="22"/>
        <v>31</v>
      </c>
      <c r="AY79" s="21"/>
      <c r="AZ79" s="23"/>
      <c r="BA79" s="19"/>
      <c r="BB79" s="19"/>
      <c r="BC79" s="19"/>
      <c r="BD79" s="19"/>
    </row>
    <row r="80" spans="1:56">
      <c r="A80" s="37" t="s">
        <v>45</v>
      </c>
      <c r="B80" s="54" t="s">
        <v>46</v>
      </c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X80" s="23">
        <f t="shared" si="22"/>
        <v>32</v>
      </c>
      <c r="AY80" s="34"/>
      <c r="AZ80" s="24"/>
    </row>
    <row r="81" spans="1:48">
      <c r="A81" s="28"/>
      <c r="B81" s="28"/>
      <c r="C81" s="28"/>
      <c r="D81" s="28"/>
      <c r="E81" s="28"/>
      <c r="F81" s="28"/>
      <c r="G81" s="28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</row>
    <row r="82" spans="1:48">
      <c r="A82" s="28"/>
      <c r="B82" s="33" t="s">
        <v>47</v>
      </c>
      <c r="C82" s="33"/>
      <c r="D82" s="28"/>
      <c r="E82" s="56">
        <f>B47</f>
        <v>1</v>
      </c>
      <c r="F82" s="37">
        <f>B48</f>
        <v>0</v>
      </c>
      <c r="G82" s="28"/>
      <c r="H82" s="56">
        <f>J46</f>
        <v>3</v>
      </c>
      <c r="I82" s="23">
        <f>-(H82-1)/2</f>
        <v>-1</v>
      </c>
      <c r="J82" s="23">
        <f>1+I82</f>
        <v>0</v>
      </c>
      <c r="K82" s="23">
        <f>1+J82</f>
        <v>1</v>
      </c>
      <c r="L82" s="37"/>
      <c r="M82" s="56">
        <f>R45</f>
        <v>5</v>
      </c>
      <c r="N82" s="23">
        <f>-(M82-1)/2</f>
        <v>-2</v>
      </c>
      <c r="O82" s="23">
        <f>1+N82</f>
        <v>-1</v>
      </c>
      <c r="P82" s="23">
        <f>1+O82</f>
        <v>0</v>
      </c>
      <c r="Q82" s="23">
        <f>1+P82</f>
        <v>1</v>
      </c>
      <c r="R82" s="23">
        <f>1+Q82</f>
        <v>2</v>
      </c>
      <c r="S82" s="37"/>
      <c r="T82" s="56">
        <f>Z43</f>
        <v>9</v>
      </c>
      <c r="U82" s="23">
        <f>-(T82-1)/2</f>
        <v>-4</v>
      </c>
      <c r="V82" s="23">
        <f t="shared" ref="V82:AC82" si="23">1+U82</f>
        <v>-3</v>
      </c>
      <c r="W82" s="23">
        <f t="shared" si="23"/>
        <v>-2</v>
      </c>
      <c r="X82" s="23">
        <f t="shared" si="23"/>
        <v>-1</v>
      </c>
      <c r="Y82" s="23">
        <f t="shared" si="23"/>
        <v>0</v>
      </c>
      <c r="Z82" s="23">
        <f t="shared" si="23"/>
        <v>1</v>
      </c>
      <c r="AA82" s="23">
        <f t="shared" si="23"/>
        <v>2</v>
      </c>
      <c r="AB82" s="23">
        <f t="shared" si="23"/>
        <v>3</v>
      </c>
      <c r="AC82" s="23">
        <f t="shared" si="23"/>
        <v>4</v>
      </c>
      <c r="AD82" s="37"/>
      <c r="AE82" s="56">
        <f>AH39</f>
        <v>17</v>
      </c>
      <c r="AF82" s="23">
        <f>-(AE82-1)/2</f>
        <v>-8</v>
      </c>
      <c r="AG82" s="23">
        <f t="shared" ref="AG82:AN82" si="24">1+AF82</f>
        <v>-7</v>
      </c>
      <c r="AH82" s="23">
        <f t="shared" si="24"/>
        <v>-6</v>
      </c>
      <c r="AI82" s="23">
        <f t="shared" si="24"/>
        <v>-5</v>
      </c>
      <c r="AJ82" s="23">
        <f t="shared" si="24"/>
        <v>-4</v>
      </c>
      <c r="AK82" s="23">
        <f t="shared" si="24"/>
        <v>-3</v>
      </c>
      <c r="AL82" s="23">
        <f t="shared" si="24"/>
        <v>-2</v>
      </c>
      <c r="AM82" s="23">
        <f t="shared" si="24"/>
        <v>-1</v>
      </c>
      <c r="AN82" s="23">
        <f t="shared" si="24"/>
        <v>0</v>
      </c>
      <c r="AO82" s="23">
        <f t="shared" ref="AO82:AU82" si="25">1+AN82</f>
        <v>1</v>
      </c>
      <c r="AP82" s="23">
        <f t="shared" si="25"/>
        <v>2</v>
      </c>
      <c r="AQ82" s="23">
        <f t="shared" si="25"/>
        <v>3</v>
      </c>
      <c r="AR82" s="23">
        <f t="shared" si="25"/>
        <v>4</v>
      </c>
      <c r="AS82" s="23">
        <f t="shared" si="25"/>
        <v>5</v>
      </c>
      <c r="AT82" s="23">
        <f t="shared" si="25"/>
        <v>6</v>
      </c>
      <c r="AU82" s="23">
        <f t="shared" si="25"/>
        <v>7</v>
      </c>
      <c r="AV82" s="23">
        <f>1+AU82</f>
        <v>8</v>
      </c>
    </row>
    <row r="83" spans="1:48">
      <c r="A83" s="28"/>
      <c r="B83" s="23" t="s">
        <v>27</v>
      </c>
      <c r="C83" s="23" t="s">
        <v>44</v>
      </c>
      <c r="D83" s="28"/>
      <c r="E83" s="23" t="s">
        <v>27</v>
      </c>
      <c r="F83" s="23" t="s">
        <v>29</v>
      </c>
      <c r="G83" s="28"/>
      <c r="H83" s="23" t="s">
        <v>27</v>
      </c>
      <c r="I83" s="23" t="s">
        <v>29</v>
      </c>
      <c r="J83" s="23" t="s">
        <v>29</v>
      </c>
      <c r="K83" s="23" t="s">
        <v>29</v>
      </c>
      <c r="L83" s="37"/>
      <c r="M83" s="23" t="s">
        <v>27</v>
      </c>
      <c r="N83" s="23" t="s">
        <v>29</v>
      </c>
      <c r="O83" s="23" t="s">
        <v>29</v>
      </c>
      <c r="P83" s="23" t="s">
        <v>29</v>
      </c>
      <c r="Q83" s="23" t="s">
        <v>29</v>
      </c>
      <c r="R83" s="23" t="s">
        <v>29</v>
      </c>
      <c r="S83" s="37"/>
      <c r="T83" s="23" t="s">
        <v>27</v>
      </c>
      <c r="U83" s="23" t="s">
        <v>29</v>
      </c>
      <c r="V83" s="23" t="s">
        <v>29</v>
      </c>
      <c r="W83" s="23" t="s">
        <v>29</v>
      </c>
      <c r="X83" s="23" t="s">
        <v>29</v>
      </c>
      <c r="Y83" s="23" t="s">
        <v>29</v>
      </c>
      <c r="Z83" s="23" t="s">
        <v>29</v>
      </c>
      <c r="AA83" s="23" t="s">
        <v>29</v>
      </c>
      <c r="AB83" s="23" t="s">
        <v>29</v>
      </c>
      <c r="AC83" s="23" t="s">
        <v>29</v>
      </c>
      <c r="AD83" s="37"/>
      <c r="AE83" s="23" t="s">
        <v>27</v>
      </c>
      <c r="AF83" s="23" t="s">
        <v>29</v>
      </c>
      <c r="AG83" s="23" t="s">
        <v>29</v>
      </c>
      <c r="AH83" s="23" t="s">
        <v>29</v>
      </c>
      <c r="AI83" s="23" t="s">
        <v>29</v>
      </c>
      <c r="AJ83" s="23" t="s">
        <v>29</v>
      </c>
      <c r="AK83" s="23" t="s">
        <v>29</v>
      </c>
      <c r="AL83" s="23" t="s">
        <v>29</v>
      </c>
      <c r="AM83" s="23" t="s">
        <v>29</v>
      </c>
      <c r="AN83" s="23" t="s">
        <v>29</v>
      </c>
      <c r="AO83" s="23" t="s">
        <v>29</v>
      </c>
      <c r="AP83" s="23" t="s">
        <v>29</v>
      </c>
      <c r="AQ83" s="23" t="s">
        <v>29</v>
      </c>
      <c r="AR83" s="23" t="s">
        <v>29</v>
      </c>
      <c r="AS83" s="23" t="s">
        <v>29</v>
      </c>
      <c r="AT83" s="23" t="s">
        <v>29</v>
      </c>
      <c r="AU83" s="23" t="s">
        <v>29</v>
      </c>
      <c r="AV83" s="23" t="s">
        <v>29</v>
      </c>
    </row>
    <row r="84" spans="1:48">
      <c r="A84" s="28"/>
      <c r="B84" s="23">
        <f>1.5*Ystart</f>
        <v>-3</v>
      </c>
      <c r="C84" s="43">
        <f t="shared" ref="C84:C114" si="26">Höhe*2/PI()*ATAN(HSteigung*B84)</f>
        <v>-0.18591068500908908</v>
      </c>
      <c r="D84" s="28"/>
      <c r="E84" s="23">
        <f>Ystart</f>
        <v>-2</v>
      </c>
      <c r="F84" s="36">
        <f>C$48*E84+D$48</f>
        <v>-0.17897261731549866</v>
      </c>
      <c r="G84" s="28"/>
      <c r="H84" s="23">
        <f>Ystart</f>
        <v>-2</v>
      </c>
      <c r="I84" s="23">
        <f>$K$47*$H84+$L$47</f>
        <v>-0.17897261731549866</v>
      </c>
      <c r="J84" s="23"/>
      <c r="K84" s="23"/>
      <c r="L84" s="37"/>
      <c r="M84" s="23">
        <f>Ystart</f>
        <v>-2</v>
      </c>
      <c r="N84" s="23">
        <f>$S$46*$M84+$T$46</f>
        <v>-0.17897261731549866</v>
      </c>
      <c r="O84" s="23"/>
      <c r="P84" s="23"/>
      <c r="Q84" s="23"/>
      <c r="R84" s="23"/>
      <c r="S84" s="37"/>
      <c r="T84" s="23">
        <f>Ystart</f>
        <v>-2</v>
      </c>
      <c r="U84" s="23">
        <f>$AA$44*$T84+$AB$44</f>
        <v>-0.17897261731549866</v>
      </c>
      <c r="V84" s="23"/>
      <c r="W84" s="23"/>
      <c r="X84" s="23"/>
      <c r="Y84" s="23"/>
      <c r="Z84" s="23"/>
      <c r="AA84" s="23"/>
      <c r="AB84" s="23"/>
      <c r="AC84" s="23"/>
      <c r="AD84" s="37"/>
      <c r="AE84" s="23">
        <f>Ystart</f>
        <v>-2</v>
      </c>
      <c r="AF84" s="23">
        <f>$AI$40*$AE84+$AJ$40</f>
        <v>-0.17897261731549866</v>
      </c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</row>
    <row r="85" spans="1:48">
      <c r="A85" s="28"/>
      <c r="B85" s="23">
        <f t="shared" ref="B85:B99" si="27">B84+delYS</f>
        <v>-2.8</v>
      </c>
      <c r="C85" s="23">
        <f t="shared" si="26"/>
        <v>-0.18491338983458047</v>
      </c>
      <c r="D85" s="28"/>
      <c r="E85" s="23">
        <f>Yloch</f>
        <v>2</v>
      </c>
      <c r="F85" s="36">
        <f>C$48*E85+D$48</f>
        <v>0.17897261731549866</v>
      </c>
      <c r="G85" s="28"/>
      <c r="H85" s="20">
        <f>M47</f>
        <v>-0.42600891691731474</v>
      </c>
      <c r="I85" s="23">
        <f>$K$47*$H85+$L$47</f>
        <v>-0.16272341982867644</v>
      </c>
      <c r="J85" s="23">
        <f>$K$48*$H85+$L$48</f>
        <v>-0.16272341982867647</v>
      </c>
      <c r="K85" s="23"/>
      <c r="L85" s="37"/>
      <c r="M85" s="20">
        <f>U46</f>
        <v>-0.77679246641748789</v>
      </c>
      <c r="N85" s="23">
        <f>$S$46*$M85+$T$46</f>
        <v>-0.16634475620867253</v>
      </c>
      <c r="O85" s="23">
        <f>$S$47*$M85+$T$47</f>
        <v>-0.16634475620867253</v>
      </c>
      <c r="P85" s="23"/>
      <c r="Q85" s="23"/>
      <c r="R85" s="23"/>
      <c r="S85" s="37"/>
      <c r="T85" s="20">
        <f t="shared" ref="T85:T92" si="28">AC44</f>
        <v>-1.142674178769717</v>
      </c>
      <c r="U85" s="23">
        <f>$AA$44*$T85+$AB$44</f>
        <v>-0.17012195943728559</v>
      </c>
      <c r="V85" s="23">
        <f>$AA$45*$T85+$AB$45</f>
        <v>-0.17012195943728559</v>
      </c>
      <c r="W85" s="23"/>
      <c r="X85" s="23"/>
      <c r="Y85" s="23"/>
      <c r="Z85" s="23"/>
      <c r="AA85" s="23"/>
      <c r="AB85" s="23"/>
      <c r="AC85" s="23"/>
      <c r="AD85" s="37"/>
      <c r="AE85" s="20">
        <f>AK40</f>
        <v>-1.4616059968409472</v>
      </c>
      <c r="AF85" s="23">
        <f>$AI$40*$AE85+$AJ$40</f>
        <v>-0.17341447243330643</v>
      </c>
      <c r="AG85" s="23">
        <f>$AI$41*$AE85+$AJ$41</f>
        <v>-0.17341447243330643</v>
      </c>
      <c r="AH85" s="23"/>
      <c r="AI85" s="23"/>
      <c r="AJ85" s="23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"/>
    </row>
    <row r="86" spans="1:48">
      <c r="A86" s="28"/>
      <c r="B86" s="23">
        <f t="shared" si="27"/>
        <v>-2.5999999999999996</v>
      </c>
      <c r="C86" s="23">
        <f t="shared" si="26"/>
        <v>-0.18376497881486484</v>
      </c>
      <c r="D86" s="28"/>
      <c r="E86" s="28"/>
      <c r="F86" s="28"/>
      <c r="G86" s="28"/>
      <c r="H86" s="20">
        <f>M48</f>
        <v>0.42600891691731474</v>
      </c>
      <c r="I86" s="23"/>
      <c r="J86" s="23">
        <f>$K$48*$H86+$L$48</f>
        <v>0.16272341982867647</v>
      </c>
      <c r="K86" s="23">
        <f>$K$49*$H86+$L$49</f>
        <v>0.16272341982867644</v>
      </c>
      <c r="L86" s="37"/>
      <c r="M86" s="20">
        <f>U47</f>
        <v>-0.22653102238502199</v>
      </c>
      <c r="N86" s="23"/>
      <c r="O86" s="23">
        <f>$S$47*$M86+$T$47</f>
        <v>-8.6528476742968902E-2</v>
      </c>
      <c r="P86" s="23">
        <f>$S$48*$M86+$T$48</f>
        <v>-8.6528476742968902E-2</v>
      </c>
      <c r="Q86" s="23"/>
      <c r="R86" s="23"/>
      <c r="S86" s="37"/>
      <c r="T86" s="20">
        <f t="shared" si="28"/>
        <v>-0.56716007517016898</v>
      </c>
      <c r="U86" s="23"/>
      <c r="V86" s="23">
        <f>$AA$45*$T86+$AB$45</f>
        <v>-0.13593725136471599</v>
      </c>
      <c r="W86" s="23">
        <f>$AA$46*$T86+$AB$46</f>
        <v>-0.13593725136471599</v>
      </c>
      <c r="X86" s="23"/>
      <c r="Y86" s="23"/>
      <c r="Z86" s="23"/>
      <c r="AA86" s="23"/>
      <c r="AB86" s="23"/>
      <c r="AC86" s="23"/>
      <c r="AD86" s="37"/>
      <c r="AE86" s="20">
        <f t="shared" ref="AE86:AE100" si="29">AK41</f>
        <v>-0.93001918678854067</v>
      </c>
      <c r="AF86" s="23"/>
      <c r="AG86" s="23">
        <f>$AI$41*$AE86+$AJ$41</f>
        <v>-0.15749055948447155</v>
      </c>
      <c r="AH86" s="23">
        <f>$AI$42*$AE86+$AJ$42</f>
        <v>-0.15749055948447155</v>
      </c>
      <c r="AI86" s="23"/>
      <c r="AJ86" s="23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"/>
    </row>
    <row r="87" spans="1:48">
      <c r="A87" s="28"/>
      <c r="B87" s="23">
        <f t="shared" si="27"/>
        <v>-2.3999999999999995</v>
      </c>
      <c r="C87" s="23">
        <f t="shared" si="26"/>
        <v>-0.18242852732675899</v>
      </c>
      <c r="D87" s="28"/>
      <c r="E87" s="28"/>
      <c r="F87" s="28"/>
      <c r="G87" s="28"/>
      <c r="H87" s="23">
        <f>Yloch</f>
        <v>2</v>
      </c>
      <c r="I87" s="23"/>
      <c r="J87" s="23"/>
      <c r="K87" s="23">
        <f>$K$49*$H87+$L$49</f>
        <v>0.17897261731549866</v>
      </c>
      <c r="L87" s="37"/>
      <c r="M87" s="20">
        <f>U48</f>
        <v>0.22653102238502199</v>
      </c>
      <c r="N87" s="23"/>
      <c r="O87" s="23"/>
      <c r="P87" s="23">
        <f>$S$48*$M87+$T$48</f>
        <v>8.6528476742968902E-2</v>
      </c>
      <c r="Q87" s="23">
        <f>$S$49*$M87+$T$49</f>
        <v>8.6528476742968902E-2</v>
      </c>
      <c r="R87" s="23"/>
      <c r="S87" s="37"/>
      <c r="T87" s="20">
        <f t="shared" si="28"/>
        <v>-0.31710907748474215</v>
      </c>
      <c r="U87" s="23"/>
      <c r="V87" s="23"/>
      <c r="W87" s="23">
        <f>$AA$46*$T87+$AB$46</f>
        <v>-9.9666964706651512E-2</v>
      </c>
      <c r="X87" s="23">
        <f>$AA$47*$T87+$AB$47</f>
        <v>-9.9666964706651512E-2</v>
      </c>
      <c r="Y87" s="23"/>
      <c r="Z87" s="23"/>
      <c r="AA87" s="23"/>
      <c r="AB87" s="23"/>
      <c r="AC87" s="23"/>
      <c r="AD87" s="37"/>
      <c r="AE87" s="20">
        <f t="shared" si="29"/>
        <v>-0.66000334397619953</v>
      </c>
      <c r="AF87" s="23"/>
      <c r="AG87" s="23"/>
      <c r="AH87" s="23">
        <f>$AI$42*$AE87+$AJ$42</f>
        <v>-0.14145200768569341</v>
      </c>
      <c r="AI87" s="23">
        <f>$AI$43*$AE87+$AJ$43</f>
        <v>-0.14145200768569341</v>
      </c>
      <c r="AJ87" s="23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"/>
    </row>
    <row r="88" spans="1:48">
      <c r="A88" s="28"/>
      <c r="B88" s="23">
        <f t="shared" si="27"/>
        <v>-2.1999999999999993</v>
      </c>
      <c r="C88" s="23">
        <f t="shared" si="26"/>
        <v>-0.18085411514630198</v>
      </c>
      <c r="D88" s="28"/>
      <c r="E88" s="28"/>
      <c r="F88" s="28"/>
      <c r="G88" s="28"/>
      <c r="H88" s="37"/>
      <c r="I88" s="37"/>
      <c r="J88" s="37"/>
      <c r="K88" s="37"/>
      <c r="L88" s="37"/>
      <c r="M88" s="20">
        <f>U49</f>
        <v>0.77679246641748789</v>
      </c>
      <c r="N88" s="23"/>
      <c r="O88" s="23"/>
      <c r="P88" s="23"/>
      <c r="Q88" s="23">
        <f>$S$49*$M88+$T$49</f>
        <v>0.16634475620867253</v>
      </c>
      <c r="R88" s="23">
        <f>$S$50*$M88+$T$50</f>
        <v>0.16634475620867253</v>
      </c>
      <c r="S88" s="37"/>
      <c r="T88" s="20">
        <f t="shared" si="28"/>
        <v>-0.1392820103511837</v>
      </c>
      <c r="U88" s="23"/>
      <c r="V88" s="23"/>
      <c r="W88" s="23"/>
      <c r="X88" s="23">
        <f>$AA$47*$T88+$AB$47</f>
        <v>-5.3201809034801803E-2</v>
      </c>
      <c r="Y88" s="23">
        <f>$AA$48*$T88+$AB$48</f>
        <v>-5.3201809034801803E-2</v>
      </c>
      <c r="Z88" s="23"/>
      <c r="AA88" s="23"/>
      <c r="AB88" s="23"/>
      <c r="AC88" s="23"/>
      <c r="AD88" s="37"/>
      <c r="AE88" s="20">
        <f t="shared" si="29"/>
        <v>-0.49075210650337253</v>
      </c>
      <c r="AF88" s="23"/>
      <c r="AG88" s="23"/>
      <c r="AH88" s="23"/>
      <c r="AI88" s="23">
        <f>$AI$43*$AE88+$AJ$43</f>
        <v>-0.12485415650743587</v>
      </c>
      <c r="AJ88" s="23">
        <f>$AI$44*$AE88+$AJ$44</f>
        <v>-0.12485415650743587</v>
      </c>
      <c r="AK88" s="36"/>
      <c r="AL88" s="36"/>
      <c r="AM88" s="36"/>
      <c r="AN88" s="36"/>
      <c r="AO88" s="36"/>
      <c r="AP88" s="36"/>
      <c r="AQ88" s="3"/>
      <c r="AR88" s="3"/>
      <c r="AS88" s="3"/>
      <c r="AT88" s="3"/>
      <c r="AU88" s="3"/>
      <c r="AV88" s="3"/>
    </row>
    <row r="89" spans="1:48">
      <c r="A89" s="28"/>
      <c r="B89" s="47">
        <f t="shared" si="27"/>
        <v>-1.9999999999999993</v>
      </c>
      <c r="C89" s="47">
        <f t="shared" si="26"/>
        <v>-0.17897261731549863</v>
      </c>
      <c r="D89" s="28"/>
      <c r="E89" s="28"/>
      <c r="F89" s="28"/>
      <c r="G89" s="28"/>
      <c r="H89" s="37"/>
      <c r="I89" s="37"/>
      <c r="J89" s="37"/>
      <c r="K89" s="37"/>
      <c r="L89" s="37"/>
      <c r="M89" s="23">
        <f>Yloch</f>
        <v>2</v>
      </c>
      <c r="N89" s="23"/>
      <c r="O89" s="23"/>
      <c r="P89" s="23"/>
      <c r="Q89" s="23"/>
      <c r="R89" s="23">
        <f>$S$50*$M89+$T$50</f>
        <v>0.17897261731549866</v>
      </c>
      <c r="S89" s="37"/>
      <c r="T89" s="20">
        <f t="shared" si="28"/>
        <v>0.1392820103511837</v>
      </c>
      <c r="U89" s="23"/>
      <c r="V89" s="23"/>
      <c r="W89" s="23"/>
      <c r="X89" s="23"/>
      <c r="Y89" s="23">
        <f>$AA$48*$T89+$AB$48</f>
        <v>5.3201809034801803E-2</v>
      </c>
      <c r="Z89" s="23">
        <f>$AA$49*$T89+$AB$49</f>
        <v>5.3201809034801803E-2</v>
      </c>
      <c r="AA89" s="23"/>
      <c r="AB89" s="23"/>
      <c r="AC89" s="23"/>
      <c r="AD89" s="37"/>
      <c r="AE89" s="20">
        <f t="shared" si="29"/>
        <v>-0.36836040959449939</v>
      </c>
      <c r="AF89" s="23"/>
      <c r="AG89" s="23"/>
      <c r="AH89" s="23"/>
      <c r="AI89" s="23"/>
      <c r="AJ89" s="23">
        <f>$AI$44*$AE89+$AJ$44</f>
        <v>-0.10710105025094166</v>
      </c>
      <c r="AK89" s="23">
        <f>$AI$45*$AE89+$AJ$45</f>
        <v>-0.10710105025094166</v>
      </c>
      <c r="AL89" s="36"/>
      <c r="AM89" s="36"/>
      <c r="AN89" s="36"/>
      <c r="AO89" s="36"/>
      <c r="AP89" s="36"/>
      <c r="AQ89" s="3"/>
      <c r="AR89" s="3"/>
      <c r="AS89" s="3"/>
      <c r="AT89" s="3"/>
      <c r="AU89" s="3"/>
      <c r="AV89" s="3"/>
    </row>
    <row r="90" spans="1:48">
      <c r="A90" s="28"/>
      <c r="B90" s="23">
        <f t="shared" si="27"/>
        <v>-1.7999999999999994</v>
      </c>
      <c r="C90" s="23">
        <f t="shared" si="26"/>
        <v>-0.17668560663926314</v>
      </c>
      <c r="D90" s="28"/>
      <c r="E90" s="28"/>
      <c r="F90" s="28"/>
      <c r="G90" s="28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20">
        <f t="shared" si="28"/>
        <v>0.31710907748474215</v>
      </c>
      <c r="U90" s="23"/>
      <c r="V90" s="23"/>
      <c r="W90" s="23"/>
      <c r="X90" s="23"/>
      <c r="Y90" s="23"/>
      <c r="Z90" s="23">
        <f>$AA$49*$T90+$AB$49</f>
        <v>9.9666964706651512E-2</v>
      </c>
      <c r="AA90" s="23">
        <f>$AA$50*$T90+$AB$50</f>
        <v>9.9666964706651512E-2</v>
      </c>
      <c r="AB90" s="23"/>
      <c r="AC90" s="23"/>
      <c r="AD90" s="37"/>
      <c r="AE90" s="20">
        <f t="shared" si="29"/>
        <v>-0.27035186996590777</v>
      </c>
      <c r="AF90" s="23"/>
      <c r="AG90" s="23"/>
      <c r="AH90" s="23"/>
      <c r="AI90" s="23"/>
      <c r="AJ90" s="23"/>
      <c r="AK90" s="23">
        <f>$AI$45*$AE90+$AJ$45</f>
        <v>-8.7449584297898064E-2</v>
      </c>
      <c r="AL90" s="23">
        <f>$AI$46*$AE90+$AJ$46</f>
        <v>-8.7449584297898064E-2</v>
      </c>
      <c r="AM90" s="36"/>
      <c r="AN90" s="36"/>
      <c r="AO90" s="36"/>
      <c r="AP90" s="36"/>
      <c r="AQ90" s="3"/>
      <c r="AR90" s="3"/>
      <c r="AS90" s="3"/>
      <c r="AT90" s="3"/>
      <c r="AU90" s="3"/>
      <c r="AV90" s="3"/>
    </row>
    <row r="91" spans="1:48">
      <c r="A91" s="28"/>
      <c r="B91" s="23">
        <f t="shared" si="27"/>
        <v>-1.5999999999999994</v>
      </c>
      <c r="C91" s="23">
        <f t="shared" si="26"/>
        <v>-0.17384824681773189</v>
      </c>
      <c r="D91" s="28"/>
      <c r="E91" s="28"/>
      <c r="F91" s="28"/>
      <c r="G91" s="28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20">
        <f t="shared" si="28"/>
        <v>0.56716007517016898</v>
      </c>
      <c r="U91" s="23"/>
      <c r="V91" s="23"/>
      <c r="W91" s="23"/>
      <c r="X91" s="23"/>
      <c r="Y91" s="23"/>
      <c r="Z91" s="23"/>
      <c r="AA91" s="23">
        <f>$AA$50*$T91+$AB$50</f>
        <v>0.13593725136471599</v>
      </c>
      <c r="AB91" s="23">
        <f>$AA$51*$T91+$AB$51</f>
        <v>0.13593725136471599</v>
      </c>
      <c r="AC91" s="23"/>
      <c r="AD91" s="37"/>
      <c r="AE91" s="20">
        <f t="shared" si="29"/>
        <v>-0.18321833372345622</v>
      </c>
      <c r="AF91" s="23"/>
      <c r="AG91" s="23"/>
      <c r="AH91" s="23"/>
      <c r="AI91" s="23"/>
      <c r="AJ91" s="23"/>
      <c r="AK91" s="36"/>
      <c r="AL91" s="23">
        <f>$AI$46*$AE91+$AJ$46</f>
        <v>-6.4682109182855635E-2</v>
      </c>
      <c r="AM91" s="23">
        <f>$AI$47*$AE91+$AJ$47</f>
        <v>-6.4682109182855635E-2</v>
      </c>
      <c r="AN91" s="36"/>
      <c r="AO91" s="36"/>
      <c r="AP91" s="36"/>
      <c r="AQ91" s="3"/>
      <c r="AR91" s="3"/>
      <c r="AS91" s="3"/>
      <c r="AT91" s="3"/>
      <c r="AU91" s="3"/>
      <c r="AV91" s="3"/>
    </row>
    <row r="92" spans="1:48">
      <c r="A92" s="28"/>
      <c r="B92" s="23">
        <f t="shared" si="27"/>
        <v>-1.3999999999999995</v>
      </c>
      <c r="C92" s="23">
        <f t="shared" si="26"/>
        <v>-0.1702388938805531</v>
      </c>
      <c r="D92" s="28"/>
      <c r="E92" s="28"/>
      <c r="F92" s="28"/>
      <c r="G92" s="28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20">
        <f t="shared" si="28"/>
        <v>1.142674178769717</v>
      </c>
      <c r="U92" s="23"/>
      <c r="V92" s="23"/>
      <c r="W92" s="23"/>
      <c r="X92" s="23"/>
      <c r="Y92" s="23"/>
      <c r="Z92" s="23"/>
      <c r="AA92" s="23"/>
      <c r="AB92" s="23">
        <f>$AA$51*$T92+$AB$51</f>
        <v>0.17012195943728559</v>
      </c>
      <c r="AC92" s="23">
        <f>$AA$52*$T92+$AB$52</f>
        <v>0.17012195943728559</v>
      </c>
      <c r="AD92" s="37"/>
      <c r="AE92" s="20">
        <f t="shared" si="29"/>
        <v>-8.983369412744914E-2</v>
      </c>
      <c r="AF92" s="23"/>
      <c r="AG92" s="23"/>
      <c r="AH92" s="23"/>
      <c r="AI92" s="23"/>
      <c r="AJ92" s="23"/>
      <c r="AK92" s="36"/>
      <c r="AL92" s="36"/>
      <c r="AM92" s="23">
        <f>$AI$47*$AE92+$AJ$47</f>
        <v>-3.4313943543813355E-2</v>
      </c>
      <c r="AN92" s="23">
        <f>$AI$48*$AE92+$AJ$48</f>
        <v>-3.4313943543813355E-2</v>
      </c>
      <c r="AO92" s="36"/>
      <c r="AP92" s="36"/>
      <c r="AQ92" s="3"/>
      <c r="AR92" s="3"/>
      <c r="AS92" s="3"/>
      <c r="AT92" s="3"/>
      <c r="AU92" s="3"/>
      <c r="AV92" s="3"/>
    </row>
    <row r="93" spans="1:48">
      <c r="A93" s="28"/>
      <c r="B93" s="23">
        <f t="shared" si="27"/>
        <v>-1.1999999999999995</v>
      </c>
      <c r="C93" s="23">
        <f t="shared" si="26"/>
        <v>-0.16550197556276833</v>
      </c>
      <c r="D93" s="28"/>
      <c r="E93" s="28"/>
      <c r="F93" s="28"/>
      <c r="G93" s="28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23">
        <f>Yloch</f>
        <v>2</v>
      </c>
      <c r="U93" s="23"/>
      <c r="V93" s="23"/>
      <c r="W93" s="23"/>
      <c r="X93" s="23"/>
      <c r="Y93" s="23"/>
      <c r="Z93" s="23"/>
      <c r="AA93" s="23"/>
      <c r="AB93" s="23"/>
      <c r="AC93" s="23">
        <f>$AA$52*$T93+$AB$52</f>
        <v>0.17897261731549866</v>
      </c>
      <c r="AD93" s="37"/>
      <c r="AE93" s="20">
        <f t="shared" si="29"/>
        <v>8.983369412744914E-2</v>
      </c>
      <c r="AF93" s="23"/>
      <c r="AG93" s="23"/>
      <c r="AH93" s="23"/>
      <c r="AI93" s="23"/>
      <c r="AJ93" s="23"/>
      <c r="AK93" s="36"/>
      <c r="AL93" s="36"/>
      <c r="AM93" s="36"/>
      <c r="AN93" s="23">
        <f>$AI$48*$AE93+$AJ$48</f>
        <v>3.4313943543813355E-2</v>
      </c>
      <c r="AO93" s="23">
        <f>$AI$49*$AE93+$AJ$49</f>
        <v>3.4313943543813355E-2</v>
      </c>
      <c r="AP93" s="36"/>
      <c r="AQ93" s="3"/>
      <c r="AR93" s="3"/>
      <c r="AS93" s="3"/>
      <c r="AT93" s="3"/>
      <c r="AU93" s="3"/>
      <c r="AV93" s="3"/>
    </row>
    <row r="94" spans="1:48">
      <c r="A94" s="28"/>
      <c r="B94" s="23">
        <f t="shared" si="27"/>
        <v>-0.99999999999999956</v>
      </c>
      <c r="C94" s="23">
        <f t="shared" si="26"/>
        <v>-0.15903344706017328</v>
      </c>
      <c r="D94" s="28"/>
      <c r="E94" s="28"/>
      <c r="F94" s="28"/>
      <c r="G94" s="28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20">
        <f t="shared" si="29"/>
        <v>0.18321833372345622</v>
      </c>
      <c r="AF94" s="23"/>
      <c r="AG94" s="23"/>
      <c r="AH94" s="23"/>
      <c r="AI94" s="23"/>
      <c r="AJ94" s="23"/>
      <c r="AK94" s="36"/>
      <c r="AL94" s="36"/>
      <c r="AM94" s="36"/>
      <c r="AN94" s="36"/>
      <c r="AO94" s="23">
        <f>$AI$49*$AE94+$AJ$49</f>
        <v>6.4682109182855635E-2</v>
      </c>
      <c r="AP94" s="23">
        <f>$AI$50*$AE94+$AJ$50</f>
        <v>6.4682109182855635E-2</v>
      </c>
      <c r="AQ94" s="3"/>
      <c r="AR94" s="3"/>
      <c r="AS94" s="3"/>
      <c r="AT94" s="3"/>
      <c r="AU94" s="3"/>
      <c r="AV94" s="3"/>
    </row>
    <row r="95" spans="1:48">
      <c r="A95" s="28"/>
      <c r="B95" s="23">
        <f t="shared" si="27"/>
        <v>-0.7999999999999996</v>
      </c>
      <c r="C95" s="23">
        <f t="shared" si="26"/>
        <v>-0.149733633448799</v>
      </c>
      <c r="D95" s="28"/>
      <c r="E95" s="28"/>
      <c r="F95" s="28"/>
      <c r="G95" s="28"/>
      <c r="H95" s="28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20">
        <f t="shared" si="29"/>
        <v>0.27035186996590777</v>
      </c>
      <c r="AF95" s="23"/>
      <c r="AG95" s="23"/>
      <c r="AH95" s="23"/>
      <c r="AI95" s="23"/>
      <c r="AJ95" s="23"/>
      <c r="AK95" s="23"/>
      <c r="AL95" s="23"/>
      <c r="AM95" s="36"/>
      <c r="AN95" s="36"/>
      <c r="AO95" s="36"/>
      <c r="AP95" s="23">
        <f>$AI$50*$AE95+$AJ$50</f>
        <v>8.7449584297898064E-2</v>
      </c>
      <c r="AQ95" s="23">
        <f>$AI$51*$AE95+$AJ$51</f>
        <v>8.7449584297898064E-2</v>
      </c>
      <c r="AR95" s="36"/>
      <c r="AS95" s="3"/>
      <c r="AT95" s="3"/>
      <c r="AU95" s="3"/>
      <c r="AV95" s="3"/>
    </row>
    <row r="96" spans="1:48">
      <c r="A96" s="28"/>
      <c r="B96" s="23">
        <f t="shared" si="27"/>
        <v>-0.59999999999999964</v>
      </c>
      <c r="C96" s="23">
        <f t="shared" si="26"/>
        <v>-0.13543421311316189</v>
      </c>
      <c r="D96" s="28"/>
      <c r="E96" s="28"/>
      <c r="F96" s="28"/>
      <c r="G96" s="28"/>
      <c r="H96" s="28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20">
        <f t="shared" si="29"/>
        <v>0.36836040959449939</v>
      </c>
      <c r="AF96" s="23"/>
      <c r="AG96" s="23"/>
      <c r="AH96" s="23"/>
      <c r="AI96" s="23"/>
      <c r="AJ96" s="23"/>
      <c r="AK96" s="23"/>
      <c r="AL96" s="23"/>
      <c r="AM96" s="36"/>
      <c r="AN96" s="36"/>
      <c r="AO96" s="36"/>
      <c r="AP96" s="36"/>
      <c r="AQ96" s="23">
        <f>$AI$51*$AE96+$AJ$51</f>
        <v>0.10710105025094166</v>
      </c>
      <c r="AR96" s="23">
        <f>$AI$52*$AE96+$AJ$52</f>
        <v>0.10710105025094166</v>
      </c>
      <c r="AS96" s="3"/>
      <c r="AT96" s="3"/>
      <c r="AU96" s="3"/>
      <c r="AV96" s="3"/>
    </row>
    <row r="97" spans="1:48">
      <c r="A97" s="28"/>
      <c r="B97" s="23">
        <f t="shared" si="27"/>
        <v>-0.39999999999999963</v>
      </c>
      <c r="C97" s="23">
        <f t="shared" si="26"/>
        <v>-0.11154317535052173</v>
      </c>
      <c r="D97" s="28"/>
      <c r="E97" s="28"/>
      <c r="F97" s="28"/>
      <c r="G97" s="28"/>
      <c r="H97" s="28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20">
        <f t="shared" si="29"/>
        <v>0.49075210650337253</v>
      </c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36"/>
      <c r="AQ97" s="36"/>
      <c r="AR97" s="23">
        <f>$AI$52*$AE97+$AJ$52</f>
        <v>0.12485415650743587</v>
      </c>
      <c r="AS97" s="23">
        <f>$AI$53*$AE97+$AJ$53</f>
        <v>0.12485415650743587</v>
      </c>
      <c r="AT97" s="36"/>
      <c r="AU97" s="36"/>
      <c r="AV97" s="3"/>
    </row>
    <row r="98" spans="1:48">
      <c r="A98" s="28"/>
      <c r="B98" s="23">
        <f t="shared" si="27"/>
        <v>-0.19999999999999962</v>
      </c>
      <c r="C98" s="23">
        <f t="shared" si="26"/>
        <v>-6.8808347849052154E-2</v>
      </c>
      <c r="D98" s="28"/>
      <c r="E98" s="28"/>
      <c r="F98" s="28"/>
      <c r="G98" s="28"/>
      <c r="H98" s="28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20">
        <f t="shared" si="29"/>
        <v>0.66000334397619953</v>
      </c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36"/>
      <c r="AQ98" s="36"/>
      <c r="AR98" s="36"/>
      <c r="AS98" s="23">
        <f>$AI$53*$AE98+$AJ$53</f>
        <v>0.14145200768569341</v>
      </c>
      <c r="AT98" s="23">
        <f>$AI$54*$AE98+$AJ$54</f>
        <v>0.14145200768569341</v>
      </c>
      <c r="AU98" s="36"/>
      <c r="AV98" s="3"/>
    </row>
    <row r="99" spans="1:48">
      <c r="A99" s="37"/>
      <c r="B99" s="23">
        <f t="shared" si="27"/>
        <v>3.8857805861880479E-16</v>
      </c>
      <c r="C99" s="23">
        <f t="shared" si="26"/>
        <v>1.4842588513496412E-16</v>
      </c>
      <c r="D99" s="28"/>
      <c r="E99" s="28"/>
      <c r="F99" s="28"/>
      <c r="G99" s="28"/>
      <c r="H99" s="28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28"/>
      <c r="AE99" s="20">
        <f t="shared" si="29"/>
        <v>0.93001918678854067</v>
      </c>
      <c r="AF99" s="36"/>
      <c r="AG99" s="23"/>
      <c r="AH99" s="23"/>
      <c r="AI99" s="23"/>
      <c r="AJ99" s="23"/>
      <c r="AK99" s="23"/>
      <c r="AL99" s="23"/>
      <c r="AM99" s="23"/>
      <c r="AN99" s="23"/>
      <c r="AO99" s="23"/>
      <c r="AP99" s="36"/>
      <c r="AQ99" s="36"/>
      <c r="AR99" s="36"/>
      <c r="AS99" s="36"/>
      <c r="AT99" s="23">
        <f>$AI$54*$AE99+$AJ$54</f>
        <v>0.15749055948447155</v>
      </c>
      <c r="AU99" s="23">
        <f>$AI$55*$AE99+$AJ$55</f>
        <v>0.15749055948447155</v>
      </c>
      <c r="AV99" s="3"/>
    </row>
    <row r="100" spans="1:48">
      <c r="A100" s="28"/>
      <c r="B100" s="23">
        <f t="shared" ref="B100:B113" si="30">B101-delYL</f>
        <v>0.19999999999999962</v>
      </c>
      <c r="C100" s="23">
        <f t="shared" si="26"/>
        <v>6.8808347849052154E-2</v>
      </c>
      <c r="D100" s="28"/>
      <c r="E100" s="28"/>
      <c r="F100" s="28"/>
      <c r="G100" s="28"/>
      <c r="H100" s="28"/>
      <c r="I100" s="28"/>
      <c r="J100" s="37"/>
      <c r="K100" s="37"/>
      <c r="L100" s="37"/>
      <c r="M100" s="37"/>
      <c r="N100" s="37"/>
      <c r="O100" s="37"/>
      <c r="P100" s="37"/>
      <c r="Q100" s="28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28"/>
      <c r="AE100" s="20">
        <f t="shared" si="29"/>
        <v>1.4616059968409472</v>
      </c>
      <c r="AF100" s="36"/>
      <c r="AG100" s="23"/>
      <c r="AH100" s="23"/>
      <c r="AI100" s="23"/>
      <c r="AJ100" s="23"/>
      <c r="AK100" s="23"/>
      <c r="AL100" s="23"/>
      <c r="AM100" s="23"/>
      <c r="AN100" s="23"/>
      <c r="AO100" s="23"/>
      <c r="AP100" s="36"/>
      <c r="AQ100" s="36"/>
      <c r="AR100" s="36"/>
      <c r="AS100" s="36"/>
      <c r="AT100" s="36"/>
      <c r="AU100" s="23">
        <f>$AI$55*$AE100+$AJ$55</f>
        <v>0.17341447243330643</v>
      </c>
      <c r="AV100" s="23">
        <f>$AI$56*$AE100+$AJ$56</f>
        <v>0.17341447243330643</v>
      </c>
    </row>
    <row r="101" spans="1:48">
      <c r="A101" s="28"/>
      <c r="B101" s="23">
        <f t="shared" si="30"/>
        <v>0.39999999999999963</v>
      </c>
      <c r="C101" s="23">
        <f t="shared" si="26"/>
        <v>0.11154317535052173</v>
      </c>
      <c r="D101" s="28"/>
      <c r="E101" s="28"/>
      <c r="F101" s="28"/>
      <c r="G101" s="28"/>
      <c r="H101" s="28"/>
      <c r="I101" s="28"/>
      <c r="J101" s="37"/>
      <c r="K101" s="37"/>
      <c r="L101" s="37"/>
      <c r="M101" s="37"/>
      <c r="N101" s="28"/>
      <c r="O101" s="28"/>
      <c r="P101" s="28"/>
      <c r="Q101" s="28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28"/>
      <c r="AE101" s="23">
        <f>Yloch</f>
        <v>2</v>
      </c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23">
        <f>$AI$56*$AE101+$AJ$56</f>
        <v>0.17897261731549866</v>
      </c>
    </row>
    <row r="102" spans="1:48">
      <c r="A102" s="28"/>
      <c r="B102" s="23">
        <f t="shared" si="30"/>
        <v>0.59999999999999964</v>
      </c>
      <c r="C102" s="23">
        <f t="shared" si="26"/>
        <v>0.13543421311316189</v>
      </c>
      <c r="D102" s="28"/>
      <c r="E102" s="28"/>
      <c r="F102" s="28"/>
      <c r="G102" s="28"/>
      <c r="H102" s="28"/>
      <c r="I102" s="28"/>
      <c r="J102" s="37"/>
      <c r="K102" s="37"/>
      <c r="L102" s="37"/>
      <c r="M102" s="37"/>
      <c r="N102" s="28"/>
      <c r="O102" s="28"/>
      <c r="P102" s="28"/>
      <c r="Q102" s="28"/>
      <c r="R102" s="37"/>
      <c r="S102" s="37"/>
      <c r="T102" s="37"/>
      <c r="U102" s="37"/>
      <c r="V102" s="37"/>
      <c r="W102" s="37"/>
      <c r="X102" s="37"/>
      <c r="Y102" s="37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</row>
    <row r="103" spans="1:48">
      <c r="A103" s="28"/>
      <c r="B103" s="23">
        <f t="shared" si="30"/>
        <v>0.7999999999999996</v>
      </c>
      <c r="C103" s="23">
        <f t="shared" si="26"/>
        <v>0.149733633448799</v>
      </c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37"/>
      <c r="U103" s="37"/>
      <c r="V103" s="37"/>
      <c r="W103" s="37"/>
      <c r="X103" s="37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</row>
    <row r="104" spans="1:48">
      <c r="A104" s="28"/>
      <c r="B104" s="23">
        <f t="shared" si="30"/>
        <v>0.99999999999999956</v>
      </c>
      <c r="C104" s="23">
        <f t="shared" si="26"/>
        <v>0.15903344706017328</v>
      </c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37"/>
      <c r="U104" s="37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</row>
    <row r="105" spans="1:48">
      <c r="A105" s="28"/>
      <c r="B105" s="23">
        <f t="shared" si="30"/>
        <v>1.1999999999999995</v>
      </c>
      <c r="C105" s="23">
        <f t="shared" si="26"/>
        <v>0.16550197556276833</v>
      </c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37"/>
      <c r="U105" s="37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</row>
    <row r="106" spans="1:48">
      <c r="A106" s="28"/>
      <c r="B106" s="23">
        <f t="shared" si="30"/>
        <v>1.3999999999999995</v>
      </c>
      <c r="C106" s="23">
        <f t="shared" si="26"/>
        <v>0.1702388938805531</v>
      </c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</row>
    <row r="107" spans="1:48">
      <c r="A107" s="28"/>
      <c r="B107" s="23">
        <f t="shared" si="30"/>
        <v>1.5999999999999994</v>
      </c>
      <c r="C107" s="23">
        <f t="shared" si="26"/>
        <v>0.17384824681773189</v>
      </c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</row>
    <row r="108" spans="1:48">
      <c r="A108" s="28"/>
      <c r="B108" s="23">
        <f t="shared" si="30"/>
        <v>1.7999999999999994</v>
      </c>
      <c r="C108" s="23">
        <f t="shared" si="26"/>
        <v>0.17668560663926314</v>
      </c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</row>
    <row r="109" spans="1:48">
      <c r="A109" s="28"/>
      <c r="B109" s="24">
        <f t="shared" si="30"/>
        <v>1.9999999999999993</v>
      </c>
      <c r="C109" s="24">
        <f t="shared" si="26"/>
        <v>0.17897261731549863</v>
      </c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</row>
    <row r="110" spans="1:48">
      <c r="A110" s="28"/>
      <c r="B110" s="23">
        <f t="shared" si="30"/>
        <v>2.1999999999999993</v>
      </c>
      <c r="C110" s="23">
        <f t="shared" si="26"/>
        <v>0.18085411514630198</v>
      </c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</row>
    <row r="111" spans="1:48">
      <c r="A111" s="28"/>
      <c r="B111" s="23">
        <f t="shared" si="30"/>
        <v>2.3999999999999995</v>
      </c>
      <c r="C111" s="23">
        <f t="shared" si="26"/>
        <v>0.18242852732675899</v>
      </c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</row>
    <row r="112" spans="1:48">
      <c r="A112" s="28"/>
      <c r="B112" s="23">
        <f t="shared" si="30"/>
        <v>2.5999999999999996</v>
      </c>
      <c r="C112" s="23">
        <f t="shared" si="26"/>
        <v>0.18376497881486484</v>
      </c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</row>
    <row r="113" spans="1:47">
      <c r="A113" s="28"/>
      <c r="B113" s="23">
        <f t="shared" si="30"/>
        <v>2.8</v>
      </c>
      <c r="C113" s="23">
        <f t="shared" si="26"/>
        <v>0.18491338983458047</v>
      </c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</row>
    <row r="114" spans="1:47">
      <c r="A114" s="28"/>
      <c r="B114" s="23">
        <f>1.5*Yloch</f>
        <v>3</v>
      </c>
      <c r="C114" s="23">
        <f t="shared" si="26"/>
        <v>0.18591068500908908</v>
      </c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</row>
    <row r="115" spans="1:47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</row>
    <row r="116" spans="1:47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</row>
    <row r="117" spans="1:47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</row>
    <row r="118" spans="1:47"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</row>
    <row r="119" spans="1:47"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</row>
    <row r="120" spans="1:47">
      <c r="T120" s="28"/>
      <c r="U120" s="28"/>
      <c r="V120" s="28"/>
      <c r="W120" s="28"/>
      <c r="X120" s="28"/>
      <c r="Y120" s="28"/>
      <c r="Z120" s="28"/>
      <c r="AA120" s="28"/>
      <c r="AB120" s="28"/>
      <c r="AC120" s="28"/>
    </row>
    <row r="121" spans="1:47">
      <c r="T121" s="28"/>
      <c r="U121" s="28"/>
    </row>
    <row r="122" spans="1:47">
      <c r="T122" s="28"/>
      <c r="U122" s="28"/>
    </row>
    <row r="135" spans="46:46">
      <c r="AT135" t="s">
        <v>48</v>
      </c>
    </row>
    <row r="147" spans="1:42">
      <c r="A147" s="37" t="s">
        <v>77</v>
      </c>
      <c r="B147" s="54" t="s">
        <v>78</v>
      </c>
    </row>
    <row r="149" spans="1:42">
      <c r="B149" s="23" t="s">
        <v>79</v>
      </c>
      <c r="C149" s="23">
        <v>3</v>
      </c>
      <c r="D149" s="26">
        <f t="shared" ref="D149:J149" si="31">C149+(C149-1)</f>
        <v>5</v>
      </c>
      <c r="E149" s="26">
        <f t="shared" si="31"/>
        <v>9</v>
      </c>
      <c r="F149" s="26">
        <f t="shared" si="31"/>
        <v>17</v>
      </c>
      <c r="G149" s="26">
        <f t="shared" si="31"/>
        <v>33</v>
      </c>
      <c r="H149" s="26">
        <f t="shared" si="31"/>
        <v>65</v>
      </c>
      <c r="I149" s="26">
        <f t="shared" si="31"/>
        <v>129</v>
      </c>
      <c r="J149" s="26">
        <f t="shared" si="31"/>
        <v>257</v>
      </c>
      <c r="L149" s="94" t="s">
        <v>80</v>
      </c>
      <c r="M149" s="94"/>
      <c r="N149" s="4" t="s">
        <v>56</v>
      </c>
      <c r="O149" s="4">
        <v>7.0000000000000007E-2</v>
      </c>
      <c r="AI149" s="2" t="s">
        <v>64</v>
      </c>
      <c r="AJ149" s="2" t="s">
        <v>65</v>
      </c>
      <c r="AK149" s="2" t="s">
        <v>66</v>
      </c>
      <c r="AM149" s="94" t="s">
        <v>85</v>
      </c>
      <c r="AN149" s="94"/>
      <c r="AO149" s="4" t="s">
        <v>56</v>
      </c>
      <c r="AP149" s="4">
        <v>7.0000000000000007E-2</v>
      </c>
    </row>
    <row r="150" spans="1:42">
      <c r="B150" s="20" t="s">
        <v>65</v>
      </c>
      <c r="C150" s="39">
        <v>-2.7051705684640215E-2</v>
      </c>
      <c r="D150" s="39">
        <v>-7.5260509114938312E-3</v>
      </c>
      <c r="E150" s="39">
        <v>-1.6115065745950785E-3</v>
      </c>
      <c r="F150" s="39">
        <v>1.8042371656679101E-4</v>
      </c>
      <c r="G150" s="141"/>
      <c r="H150" s="140"/>
      <c r="I150" s="140"/>
      <c r="J150" s="140"/>
      <c r="L150" s="2" t="s">
        <v>57</v>
      </c>
      <c r="M150" s="2" t="s">
        <v>51</v>
      </c>
      <c r="N150" s="2" t="s">
        <v>58</v>
      </c>
      <c r="O150" s="2" t="s">
        <v>59</v>
      </c>
      <c r="AI150" s="23">
        <v>0.03</v>
      </c>
      <c r="AJ150" s="153">
        <v>-8.125752984625445E-2</v>
      </c>
      <c r="AK150" s="153">
        <v>2.2377810841891637</v>
      </c>
      <c r="AM150" s="2" t="s">
        <v>57</v>
      </c>
      <c r="AN150" s="2" t="s">
        <v>51</v>
      </c>
      <c r="AO150" s="2" t="s">
        <v>58</v>
      </c>
      <c r="AP150" s="2" t="s">
        <v>59</v>
      </c>
    </row>
    <row r="151" spans="1:42">
      <c r="B151" s="20" t="s">
        <v>66</v>
      </c>
      <c r="C151" s="39">
        <v>2.0629683873326417</v>
      </c>
      <c r="D151" s="39">
        <v>2.0163702580902272</v>
      </c>
      <c r="E151" s="39">
        <v>2.0034098313472732</v>
      </c>
      <c r="F151" s="39">
        <v>1.9998046110788721</v>
      </c>
      <c r="G151" s="141"/>
      <c r="H151" s="140"/>
      <c r="I151" s="140"/>
      <c r="J151" s="140"/>
      <c r="L151" s="2">
        <v>2</v>
      </c>
      <c r="M151" s="2">
        <v>-1</v>
      </c>
      <c r="N151" s="2">
        <v>-1.2536</v>
      </c>
      <c r="O151" s="2">
        <v>3.1522999999999999</v>
      </c>
      <c r="AI151" s="23">
        <v>0.01</v>
      </c>
      <c r="AJ151" s="153">
        <v>-4.6667245348506192E-2</v>
      </c>
      <c r="AK151" s="153">
        <v>2.0875834016811932</v>
      </c>
      <c r="AM151" s="2">
        <v>2</v>
      </c>
      <c r="AN151" s="2">
        <v>-3</v>
      </c>
      <c r="AO151" s="2">
        <v>-1.0596000000000001</v>
      </c>
      <c r="AP151" s="2">
        <v>3.6739999999999999</v>
      </c>
    </row>
    <row r="152" spans="1:42">
      <c r="B152" s="2" t="s">
        <v>82</v>
      </c>
      <c r="C152" s="148">
        <f>SQRT(POWER(C150,2)+POWER((C151-2),2))</f>
        <v>6.8533295438946915E-2</v>
      </c>
      <c r="D152" s="148">
        <f>SQRT(POWER(D150,2)+POWER((D151-2),2))</f>
        <v>1.8017402483794541E-2</v>
      </c>
      <c r="E152" s="148">
        <f>SQRT(POWER(E150,2)+POWER((E151-2),2))</f>
        <v>3.7714590355471716E-3</v>
      </c>
      <c r="F152" s="148">
        <f>SQRT(POWER(F150,2)+POWER((F151-2),2))</f>
        <v>2.6595027354621052E-4</v>
      </c>
      <c r="G152" s="148"/>
      <c r="H152" s="148"/>
      <c r="I152" s="148"/>
      <c r="J152" s="148"/>
      <c r="AI152" s="46">
        <v>3.0000000000000001E-3</v>
      </c>
      <c r="AJ152" s="155">
        <v>-4.4957653565930011E-2</v>
      </c>
      <c r="AK152" s="155">
        <v>2.0801980023194044</v>
      </c>
    </row>
    <row r="153" spans="1:42">
      <c r="AI153" s="23">
        <v>1E-3</v>
      </c>
      <c r="AJ153" s="153">
        <v>-4.6450930745918273E-2</v>
      </c>
      <c r="AK153" s="153">
        <v>2.0859877887426279</v>
      </c>
    </row>
    <row r="154" spans="1:42">
      <c r="AI154" s="23">
        <v>2.9999999999999997E-4</v>
      </c>
      <c r="AJ154" s="153">
        <v>-6.6774155999577312E-2</v>
      </c>
      <c r="AK154" s="153">
        <v>2.1661162682179658</v>
      </c>
    </row>
    <row r="155" spans="1:42">
      <c r="AI155" s="23">
        <v>1E-4</v>
      </c>
      <c r="AJ155" s="153">
        <v>1.3926652481463631E-2</v>
      </c>
      <c r="AK155" s="153">
        <v>1.9114639208021167</v>
      </c>
    </row>
    <row r="156" spans="1:42">
      <c r="AI156" s="117" t="s">
        <v>83</v>
      </c>
      <c r="AJ156" s="154">
        <v>-4.5025105165221568E-2</v>
      </c>
      <c r="AK156" s="154">
        <v>2.0804635485808891</v>
      </c>
      <c r="AM156" t="s">
        <v>84</v>
      </c>
    </row>
    <row r="166" spans="2:42">
      <c r="B166" s="23" t="s">
        <v>79</v>
      </c>
      <c r="C166" s="23">
        <v>3</v>
      </c>
      <c r="D166" s="26">
        <v>5</v>
      </c>
      <c r="E166" s="26">
        <f t="shared" ref="E166:J166" si="32">D166+(D166-1)</f>
        <v>9</v>
      </c>
      <c r="F166" s="26">
        <f t="shared" si="32"/>
        <v>17</v>
      </c>
      <c r="G166" s="26">
        <f t="shared" si="32"/>
        <v>33</v>
      </c>
      <c r="H166" s="26">
        <f t="shared" si="32"/>
        <v>65</v>
      </c>
      <c r="I166" s="26">
        <f t="shared" si="32"/>
        <v>129</v>
      </c>
      <c r="J166" s="26">
        <f t="shared" si="32"/>
        <v>257</v>
      </c>
      <c r="L166" s="94" t="s">
        <v>80</v>
      </c>
      <c r="M166" s="94"/>
      <c r="N166" s="4" t="s">
        <v>56</v>
      </c>
      <c r="O166" s="4">
        <v>7.0000000000000007E-2</v>
      </c>
      <c r="Q166" t="s">
        <v>81</v>
      </c>
    </row>
    <row r="167" spans="2:42">
      <c r="B167" s="20" t="s">
        <v>65</v>
      </c>
      <c r="C167" s="39">
        <v>-2.6604672048746725E-2</v>
      </c>
      <c r="D167" s="39">
        <v>-7.3764438719903236E-3</v>
      </c>
      <c r="E167" s="39">
        <v>-1.7447286662285455E-3</v>
      </c>
      <c r="F167" s="39">
        <v>0</v>
      </c>
      <c r="G167" s="140"/>
      <c r="H167" s="140"/>
      <c r="I167" s="140"/>
      <c r="J167" s="140"/>
      <c r="L167" s="2" t="s">
        <v>57</v>
      </c>
      <c r="M167" s="2" t="s">
        <v>51</v>
      </c>
      <c r="N167" s="2" t="s">
        <v>58</v>
      </c>
      <c r="O167" s="2" t="s">
        <v>59</v>
      </c>
      <c r="AD167">
        <v>8.8352601498503658E-2</v>
      </c>
    </row>
    <row r="168" spans="2:42">
      <c r="B168" s="20" t="s">
        <v>66</v>
      </c>
      <c r="C168" s="39">
        <v>2.0743923930736448</v>
      </c>
      <c r="D168" s="39">
        <v>2.0193997296727311</v>
      </c>
      <c r="E168" s="39">
        <v>2.004457684626693</v>
      </c>
      <c r="F168" s="39">
        <v>2</v>
      </c>
      <c r="G168" s="140"/>
      <c r="H168" s="140"/>
      <c r="I168" s="140"/>
      <c r="J168" s="140"/>
      <c r="L168" s="2">
        <v>2</v>
      </c>
      <c r="M168" s="2">
        <v>-2</v>
      </c>
      <c r="N168" s="2">
        <v>-1.1403000000000001</v>
      </c>
      <c r="O168" s="2">
        <v>3.4344999999999999</v>
      </c>
      <c r="AD168">
        <v>1.9515811386374424</v>
      </c>
    </row>
    <row r="169" spans="2:42">
      <c r="B169" s="2" t="s">
        <v>82</v>
      </c>
      <c r="C169" s="148">
        <f>SQRT(POWER(C167,2)+POWER((C168-2),2))</f>
        <v>7.9006561259461441E-2</v>
      </c>
      <c r="D169" s="148">
        <f>SQRT(POWER(D167,2)+POWER((D168-2),2))</f>
        <v>2.0754793074653045E-2</v>
      </c>
      <c r="E169" s="148">
        <f>SQRT(POWER(E167,2)+POWER((E168-2),2))</f>
        <v>4.7869646280096099E-3</v>
      </c>
      <c r="F169" s="148">
        <f>SQRT(POWER(F167,2)+POWER((F168-2),2))</f>
        <v>0</v>
      </c>
      <c r="G169" s="148">
        <f>SQRT(POWER(H167,2)+POWER((H168-2),2))</f>
        <v>2</v>
      </c>
      <c r="H169" s="148"/>
      <c r="I169" s="148"/>
      <c r="J169" s="148"/>
    </row>
    <row r="170" spans="2:42">
      <c r="C170" s="147"/>
    </row>
    <row r="176" spans="2:42">
      <c r="AI176" s="2" t="s">
        <v>64</v>
      </c>
      <c r="AJ176" s="2" t="s">
        <v>65</v>
      </c>
      <c r="AK176" s="2" t="s">
        <v>66</v>
      </c>
      <c r="AM176" s="94" t="s">
        <v>86</v>
      </c>
      <c r="AN176" s="94"/>
      <c r="AO176" s="4" t="s">
        <v>56</v>
      </c>
      <c r="AP176" s="4">
        <v>7.0000000000000007E-2</v>
      </c>
    </row>
    <row r="177" spans="2:42">
      <c r="AI177" s="23">
        <v>0.03</v>
      </c>
      <c r="AJ177" s="153"/>
      <c r="AK177" s="153"/>
      <c r="AM177" s="2" t="s">
        <v>57</v>
      </c>
      <c r="AN177" s="2" t="s">
        <v>51</v>
      </c>
      <c r="AO177" s="2" t="s">
        <v>58</v>
      </c>
      <c r="AP177" s="2" t="s">
        <v>59</v>
      </c>
    </row>
    <row r="178" spans="2:42">
      <c r="AI178" s="23">
        <v>0.01</v>
      </c>
      <c r="AJ178" s="153">
        <v>-5.2378873839534323E-2</v>
      </c>
      <c r="AK178" s="153">
        <v>2.1102380652490305</v>
      </c>
      <c r="AM178" s="2">
        <v>2</v>
      </c>
      <c r="AN178" s="2">
        <v>-3</v>
      </c>
      <c r="AO178" s="2">
        <v>-1.0596000000000001</v>
      </c>
      <c r="AP178" s="2">
        <v>3.6739999999999999</v>
      </c>
    </row>
    <row r="179" spans="2:42">
      <c r="AI179" s="46">
        <v>3.0000000000000001E-3</v>
      </c>
      <c r="AJ179" s="155">
        <v>-4.6389948569973583E-2</v>
      </c>
      <c r="AK179" s="155">
        <v>2.0845568341468628</v>
      </c>
    </row>
    <row r="180" spans="2:42">
      <c r="AI180" s="23">
        <v>1E-3</v>
      </c>
      <c r="AJ180" s="153">
        <v>-5.0146005531049864E-2</v>
      </c>
      <c r="AK180" s="153">
        <v>2.0990084536028082</v>
      </c>
    </row>
    <row r="181" spans="2:42">
      <c r="AI181" s="23">
        <v>2.9999999999999997E-4</v>
      </c>
      <c r="AJ181" s="153">
        <v>-8.1606728577331644E-2</v>
      </c>
      <c r="AK181" s="153">
        <v>2.2241367375503525</v>
      </c>
    </row>
    <row r="182" spans="2:42">
      <c r="AI182" s="23">
        <v>1E-4</v>
      </c>
      <c r="AJ182" s="153">
        <v>-0.14412765460563315</v>
      </c>
      <c r="AK182" s="153">
        <v>2.4882480577191499</v>
      </c>
    </row>
    <row r="183" spans="2:42">
      <c r="B183" s="23" t="s">
        <v>79</v>
      </c>
      <c r="C183" s="23">
        <v>3</v>
      </c>
      <c r="D183" s="26">
        <f t="shared" ref="D183:J183" si="33">C183+(C183-1)</f>
        <v>5</v>
      </c>
      <c r="E183" s="26">
        <f t="shared" si="33"/>
        <v>9</v>
      </c>
      <c r="F183" s="26">
        <f t="shared" si="33"/>
        <v>17</v>
      </c>
      <c r="G183" s="26">
        <f t="shared" si="33"/>
        <v>33</v>
      </c>
      <c r="H183" s="26">
        <f t="shared" si="33"/>
        <v>65</v>
      </c>
      <c r="I183" s="26">
        <f t="shared" si="33"/>
        <v>129</v>
      </c>
      <c r="J183" s="26">
        <f t="shared" si="33"/>
        <v>257</v>
      </c>
      <c r="L183" s="94" t="s">
        <v>80</v>
      </c>
      <c r="M183" s="94"/>
      <c r="N183" s="4" t="s">
        <v>56</v>
      </c>
      <c r="O183" s="4">
        <v>7.0000000000000007E-2</v>
      </c>
      <c r="AI183" s="117" t="s">
        <v>83</v>
      </c>
      <c r="AJ183" s="156">
        <v>-4.6425414136686993E-2</v>
      </c>
      <c r="AK183" s="156">
        <v>2.0847077656499584</v>
      </c>
      <c r="AM183" t="s">
        <v>84</v>
      </c>
    </row>
    <row r="184" spans="2:42">
      <c r="B184" s="20" t="s">
        <v>65</v>
      </c>
      <c r="C184" s="39">
        <v>-2.4561544376170197E-2</v>
      </c>
      <c r="D184" s="39">
        <v>-6.9113222141484743E-3</v>
      </c>
      <c r="E184" s="39">
        <v>-1.9110334030263409E-3</v>
      </c>
      <c r="F184" s="39">
        <v>-4.7633497050847406E-4</v>
      </c>
      <c r="G184" s="141"/>
      <c r="H184" s="140"/>
      <c r="I184" s="140"/>
      <c r="J184" s="140"/>
      <c r="L184" s="2" t="s">
        <v>57</v>
      </c>
      <c r="M184" s="2" t="s">
        <v>51</v>
      </c>
      <c r="N184" s="2" t="s">
        <v>58</v>
      </c>
      <c r="O184" s="2" t="s">
        <v>59</v>
      </c>
    </row>
    <row r="185" spans="2:42">
      <c r="B185" s="20" t="s">
        <v>66</v>
      </c>
      <c r="C185" s="39">
        <v>2.0781790189894584</v>
      </c>
      <c r="D185" s="39">
        <v>2.0198107117598321</v>
      </c>
      <c r="E185" s="39">
        <v>2.0041103576917432</v>
      </c>
      <c r="F185" s="39">
        <v>1.9999402050209687</v>
      </c>
      <c r="G185" s="141"/>
      <c r="H185" s="140"/>
      <c r="I185" s="140"/>
      <c r="J185" s="140"/>
      <c r="L185" s="2">
        <v>2</v>
      </c>
      <c r="M185" s="2">
        <v>-3</v>
      </c>
      <c r="N185" s="2">
        <v>-1.04715</v>
      </c>
      <c r="O185" s="2">
        <v>3.6585000000000001</v>
      </c>
    </row>
    <row r="186" spans="2:42">
      <c r="B186" s="2" t="s">
        <v>82</v>
      </c>
      <c r="C186" s="148">
        <f>SQRT(POWER(C184,2)+POWER((C185-2),2))</f>
        <v>8.1946497620683484E-2</v>
      </c>
      <c r="D186" s="148">
        <f>SQRT(POWER(D184,2)+POWER((D185-2),2))</f>
        <v>2.0981674746762487E-2</v>
      </c>
      <c r="E186" s="148">
        <f>SQRT(POWER(E184,2)+POWER((E185-2),2))</f>
        <v>4.5328896988074494E-3</v>
      </c>
      <c r="F186" s="148">
        <f>SQRT(POWER(F184,2)+POWER((F185-2),2))</f>
        <v>4.8007337319066421E-4</v>
      </c>
      <c r="G186" s="148"/>
      <c r="H186" s="148"/>
      <c r="I186" s="148"/>
      <c r="J186" s="148"/>
    </row>
  </sheetData>
  <mergeCells count="6">
    <mergeCell ref="H13:Q13"/>
    <mergeCell ref="S13:AB13"/>
    <mergeCell ref="K8:O8"/>
    <mergeCell ref="U8:AG8"/>
    <mergeCell ref="I7:Q7"/>
    <mergeCell ref="B7:H7"/>
  </mergeCells>
  <conditionalFormatting sqref="C12:AG12">
    <cfRule type="cellIs" dxfId="10" priority="3" operator="greaterThan">
      <formula>$Q$8</formula>
    </cfRule>
  </conditionalFormatting>
  <pageMargins left="0.59055118110236227" right="0.59055118110236227" top="0.39370078740157483" bottom="0.39370078740157483" header="0.31496062992125984" footer="0.31496062992125984"/>
  <pageSetup paperSize="9" scale="2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H259"/>
  <sheetViews>
    <sheetView workbookViewId="0">
      <selection sqref="A1:C1"/>
    </sheetView>
  </sheetViews>
  <sheetFormatPr baseColWidth="10" defaultRowHeight="15"/>
  <cols>
    <col min="1" max="56" width="5.7109375" customWidth="1"/>
    <col min="57" max="59" width="11.42578125" customWidth="1"/>
  </cols>
  <sheetData>
    <row r="1" spans="1:56">
      <c r="A1" s="367" t="s">
        <v>5</v>
      </c>
      <c r="B1" s="367"/>
      <c r="C1" s="367"/>
      <c r="D1" s="29" t="s">
        <v>72</v>
      </c>
      <c r="E1" s="29"/>
      <c r="F1" s="87">
        <f>Stufengrün!Z43</f>
        <v>9</v>
      </c>
      <c r="G1" s="29" t="s">
        <v>71</v>
      </c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94"/>
      <c r="AV1" s="94"/>
      <c r="AW1" s="94"/>
      <c r="AX1" s="94"/>
      <c r="AY1" s="94"/>
      <c r="AZ1" s="94"/>
      <c r="BA1" s="94"/>
      <c r="BB1" s="94"/>
      <c r="BC1" s="94"/>
      <c r="BD1" s="94"/>
    </row>
    <row r="2" spans="1:56">
      <c r="A2" s="88" t="s">
        <v>73</v>
      </c>
      <c r="B2" s="88"/>
      <c r="C2" s="23" t="str">
        <f>CONCATENATE("m",Stufengrün!Z44)</f>
        <v>m-4</v>
      </c>
      <c r="D2" s="23" t="s">
        <v>30</v>
      </c>
      <c r="E2" s="28"/>
      <c r="F2" s="28"/>
      <c r="G2" s="28"/>
      <c r="H2" s="36" t="s">
        <v>57</v>
      </c>
      <c r="I2" s="36" t="s">
        <v>51</v>
      </c>
      <c r="J2" s="36" t="s">
        <v>58</v>
      </c>
      <c r="K2" s="36" t="s">
        <v>59</v>
      </c>
      <c r="L2" s="28"/>
      <c r="M2" s="189" t="s">
        <v>96</v>
      </c>
      <c r="N2" s="28"/>
      <c r="O2" s="28"/>
      <c r="P2" s="28"/>
      <c r="R2" s="88" t="s">
        <v>74</v>
      </c>
      <c r="S2" s="88"/>
      <c r="T2" s="26" t="s">
        <v>65</v>
      </c>
      <c r="U2" s="26" t="s">
        <v>66</v>
      </c>
    </row>
    <row r="3" spans="1:56">
      <c r="A3" s="88" t="s">
        <v>69</v>
      </c>
      <c r="B3" s="88"/>
      <c r="C3" s="90">
        <f>Stufengrün!AA44</f>
        <v>1.0323563876231049E-2</v>
      </c>
      <c r="D3" s="26">
        <f>Stufengrün!AC44</f>
        <v>-1.142674178769717</v>
      </c>
      <c r="E3" s="28"/>
      <c r="F3" s="28"/>
      <c r="G3" s="28"/>
      <c r="H3" s="146">
        <v>2</v>
      </c>
      <c r="I3" s="2">
        <f>Ystart</f>
        <v>-2</v>
      </c>
      <c r="J3" s="146">
        <f>'Up-17'!J3</f>
        <v>-1.115</v>
      </c>
      <c r="K3" s="146">
        <f>'Up-17'!K3</f>
        <v>3.4449999999999998</v>
      </c>
      <c r="L3" s="28"/>
      <c r="M3" s="189">
        <f>Yloch</f>
        <v>2</v>
      </c>
      <c r="N3" s="28"/>
      <c r="O3" s="28"/>
      <c r="P3" s="28"/>
      <c r="T3" s="110">
        <f>H22</f>
        <v>2</v>
      </c>
      <c r="U3" s="110">
        <f>I22</f>
        <v>-2</v>
      </c>
    </row>
    <row r="4" spans="1:56">
      <c r="A4" s="28"/>
      <c r="B4" s="28"/>
      <c r="C4" s="28"/>
      <c r="D4" s="28"/>
      <c r="E4" s="28"/>
      <c r="F4" s="28"/>
      <c r="G4" s="28"/>
      <c r="H4" s="37" t="s">
        <v>8</v>
      </c>
      <c r="I4" s="37" t="s">
        <v>8</v>
      </c>
      <c r="J4" s="37" t="s">
        <v>9</v>
      </c>
      <c r="K4" s="37" t="s">
        <v>9</v>
      </c>
      <c r="L4" s="28"/>
      <c r="M4" s="28"/>
      <c r="N4" s="28"/>
      <c r="O4" s="28"/>
      <c r="P4" s="28"/>
      <c r="T4" s="110">
        <f t="shared" ref="T4:U8" si="0">H23</f>
        <v>1.9442560901573596</v>
      </c>
      <c r="U4" s="110">
        <f t="shared" si="0"/>
        <v>-1.8278961873600783</v>
      </c>
    </row>
    <row r="5" spans="1:56">
      <c r="A5" s="88" t="s">
        <v>68</v>
      </c>
      <c r="B5" s="88"/>
      <c r="C5" s="26" t="s">
        <v>15</v>
      </c>
      <c r="D5" s="26" t="s">
        <v>55</v>
      </c>
      <c r="E5" s="26" t="s">
        <v>12</v>
      </c>
      <c r="F5" s="26" t="s">
        <v>10</v>
      </c>
      <c r="G5" s="26" t="s">
        <v>14</v>
      </c>
      <c r="H5" s="26" t="s">
        <v>21</v>
      </c>
      <c r="I5" s="26" t="s">
        <v>16</v>
      </c>
      <c r="J5" s="26" t="s">
        <v>17</v>
      </c>
      <c r="K5" s="26" t="s">
        <v>23</v>
      </c>
      <c r="L5" s="28"/>
      <c r="M5" s="28"/>
      <c r="N5" s="28"/>
      <c r="O5" s="28"/>
      <c r="P5" s="28"/>
      <c r="T5" s="110">
        <f t="shared" si="0"/>
        <v>1.8897158635732021</v>
      </c>
      <c r="U5" s="110">
        <f t="shared" si="0"/>
        <v>-1.6597583331259242</v>
      </c>
    </row>
    <row r="6" spans="1:56">
      <c r="A6" s="28"/>
      <c r="B6" s="28"/>
      <c r="C6" s="23">
        <f>Mü/TAN($C3)</f>
        <v>6.7803632591293521</v>
      </c>
      <c r="D6" s="42">
        <f>SQRT($J3*$J3+$K3*$K3)</f>
        <v>3.6209460089871541</v>
      </c>
      <c r="E6" s="20">
        <f>ATAN($J3/$K3)+PI()</f>
        <v>2.8285755016015774</v>
      </c>
      <c r="F6" s="23">
        <f>($E6-A19-0.0001)/5</f>
        <v>4.3529148335834437E-4</v>
      </c>
      <c r="G6" s="23">
        <f>COS($E6)</f>
        <v>-0.95140882836958685</v>
      </c>
      <c r="H6" s="23">
        <f>SIN($E6)</f>
        <v>0.30793057870307405</v>
      </c>
      <c r="I6" s="23">
        <f>$C6+$G6</f>
        <v>5.8289544307597652</v>
      </c>
      <c r="J6" s="23">
        <f>POWER(TAN($E6/2),$C6)</f>
        <v>273616.59142233862</v>
      </c>
      <c r="K6" s="23">
        <f>-$D6*$D6*SIN($E6)*SIN($E6)/(2*9.81*SIN($C3)*POWER(TAN($E6/2),2*$C6))</f>
        <v>-8.1986800756958569E-11</v>
      </c>
      <c r="L6" s="28"/>
      <c r="M6" s="28"/>
      <c r="N6" s="28"/>
      <c r="O6" s="28"/>
      <c r="P6" s="28"/>
      <c r="T6" s="110">
        <f t="shared" si="0"/>
        <v>1.8363517466286656</v>
      </c>
      <c r="U6" s="110">
        <f t="shared" si="0"/>
        <v>-1.4954898823002305</v>
      </c>
    </row>
    <row r="7" spans="1:56">
      <c r="A7" s="88" t="s">
        <v>70</v>
      </c>
      <c r="B7" s="88"/>
      <c r="C7" s="28"/>
      <c r="D7" s="28"/>
      <c r="E7" s="28"/>
      <c r="F7" s="28"/>
      <c r="G7" s="28"/>
      <c r="H7" s="28"/>
      <c r="I7" s="28"/>
      <c r="J7" s="28"/>
      <c r="K7" s="28"/>
      <c r="L7" s="28"/>
      <c r="M7" s="45"/>
      <c r="N7" s="28"/>
      <c r="O7" s="28"/>
      <c r="P7" s="28"/>
      <c r="T7" s="110">
        <f t="shared" si="0"/>
        <v>1.7841368336394536</v>
      </c>
      <c r="U7" s="110">
        <f t="shared" si="0"/>
        <v>-1.3349967565892444</v>
      </c>
    </row>
    <row r="8" spans="1:56">
      <c r="A8" s="26" t="s">
        <v>11</v>
      </c>
      <c r="B8" s="26" t="s">
        <v>13</v>
      </c>
      <c r="C8" s="26" t="s">
        <v>22</v>
      </c>
      <c r="D8" s="26" t="s">
        <v>18</v>
      </c>
      <c r="E8" s="26" t="s">
        <v>19</v>
      </c>
      <c r="F8" s="26" t="s">
        <v>20</v>
      </c>
      <c r="G8" s="26" t="s">
        <v>2</v>
      </c>
      <c r="H8" s="26" t="s">
        <v>65</v>
      </c>
      <c r="I8" s="26" t="s">
        <v>66</v>
      </c>
      <c r="J8" s="76" t="s">
        <v>3</v>
      </c>
      <c r="K8" s="76" t="s">
        <v>4</v>
      </c>
      <c r="L8" s="44" t="s">
        <v>7</v>
      </c>
      <c r="M8" s="26" t="s">
        <v>64</v>
      </c>
      <c r="N8" s="26" t="s">
        <v>61</v>
      </c>
      <c r="O8" s="26" t="s">
        <v>62</v>
      </c>
      <c r="P8" s="26" t="s">
        <v>63</v>
      </c>
      <c r="T8" s="110">
        <f t="shared" si="0"/>
        <v>1.7330448697967633</v>
      </c>
      <c r="U8" s="110">
        <f t="shared" si="0"/>
        <v>-1.1781872876382986</v>
      </c>
    </row>
    <row r="9" spans="1:56">
      <c r="A9" s="20">
        <f>$E6</f>
        <v>2.8285755016015774</v>
      </c>
      <c r="B9" s="23">
        <f>COS(A9)</f>
        <v>-0.95140882836958685</v>
      </c>
      <c r="C9" s="23">
        <f>($C$6+B9)</f>
        <v>5.8289544307597652</v>
      </c>
      <c r="D9" s="23">
        <f>POWER(TAN(A9/2),$C$6)</f>
        <v>273616.59142233862</v>
      </c>
      <c r="E9" s="23">
        <f>SIN(A9)</f>
        <v>0.30793057870307405</v>
      </c>
      <c r="F9" s="71">
        <f>(C9*$H$6*D9/E9/$I$6/$J$6)</f>
        <v>1</v>
      </c>
      <c r="G9" s="71">
        <f t="shared" ref="G9:G19" si="1">$D$6*($C$6+$G$6)/9.81/SIN($C$3)/(1-$C$6*$C$6)*(F9-1)</f>
        <v>0</v>
      </c>
      <c r="H9" s="75">
        <f t="shared" ref="H9:H19" si="2">-(-$H$3+$K$6*((POWER(TAN(A9/2),2*$C$6-1)/(2*$C$6-1))+(POWER(TAN(A9/2),2*$C$6+1)/(2*$C$6+1))-(POWER(TAN($E$6/2),2*$C$6-1)/(2*$C$6-1))-(POWER(TAN($E$6/2),2*$C$6+1)/(2*$C$6+1))))</f>
        <v>2</v>
      </c>
      <c r="I9" s="75">
        <f t="shared" ref="I9:I19" si="3">-(-$I$3+0.5*$K$6*((POWER(TAN(A9/2),2*$C$6-2)/(2*$C$6-2))-(POWER(TAN(A9/2),2*$C$6+2)/(2*$C$6+2))-(POWER(TAN($E$6/2),2*$C$6-2)/(2*$C$6-2))+(POWER(TAN($E$6/2),2*$C$6+2)/(2*$C$6+2))))</f>
        <v>-2</v>
      </c>
      <c r="J9" s="71">
        <f t="shared" ref="J9:J19" si="4">-$D$6*SIN(A9)*($C$6+$G$6)/($C$6+B9)*F9</f>
        <v>-1.1150000000000007</v>
      </c>
      <c r="K9" s="71">
        <f t="shared" ref="K9:K19" si="5">-$D$6*COS(A9)*($C$6+$G$6)/($C$6+B9)*F9</f>
        <v>3.4449999999999998</v>
      </c>
      <c r="L9" s="42">
        <f>SQRT(J9*J9+K9*K9)</f>
        <v>3.6209460089871541</v>
      </c>
      <c r="M9" s="23">
        <v>3.0000000000000001E-3</v>
      </c>
      <c r="N9" s="75">
        <f t="shared" ref="N9:N19" si="6">-(-$I$3+0.5*$K$6*((POWER(TAN(A9/2),2*$C$6-2)/(2*$C$6-2))-(POWER(TAN(A9/2),2*$C$6+2)/(2*$C$6+2))-(POWER(TAN($E$6/2),2*$C$6-2)/(2*$C$6-2))+(POWER(TAN($E$6/2),2*$C$6+2)/(2*$C$6+2))))-$D$3</f>
        <v>-0.857325821230283</v>
      </c>
      <c r="O9" s="75">
        <f>-(-$I$3+0.5*$K$6*((POWER(TAN((A9+$M$9)/2),2*$C$6-2)/(2*$C$6-2))-(POWER(TAN((A9+$M$9)/2),2*$C$6+2)/(2*$C$6+2))-(POWER(TAN($E$6/2),2*$C$6-2)/(2*$C$6-2))+(POWER(TAN($E$6/2),2*$C$6+2)/(2*$C$6+2))))-$D$3</f>
        <v>-2.159616822583283</v>
      </c>
      <c r="P9" s="75">
        <f>A9-N9/(O9-N9)*$M$9</f>
        <v>2.8266005378945267</v>
      </c>
      <c r="T9" s="119">
        <f>H49</f>
        <v>1.7214633740953527</v>
      </c>
      <c r="U9" s="119">
        <f>I49</f>
        <v>-1.1426741787823438</v>
      </c>
    </row>
    <row r="10" spans="1:56">
      <c r="A10" s="20">
        <f t="shared" ref="A10:A15" si="7">P9</f>
        <v>2.8266005378945267</v>
      </c>
      <c r="B10" s="23">
        <f t="shared" ref="B10:B19" si="8">COS(A10)</f>
        <v>-0.95079882157197204</v>
      </c>
      <c r="C10" s="23">
        <f t="shared" ref="C10:C19" si="9">($C$6+B10)</f>
        <v>5.8295644375573801</v>
      </c>
      <c r="D10" s="23">
        <f t="shared" ref="D10:D19" si="10">POWER(TAN(A10/2),$C$6)</f>
        <v>262007.45497940661</v>
      </c>
      <c r="E10" s="23">
        <f t="shared" ref="E10:E19" si="11">SIN(A10)</f>
        <v>0.30980897484958264</v>
      </c>
      <c r="F10" s="71">
        <f t="shared" ref="F10:F19" si="12">(C10*$H$6*D10/E10/$I$6/$J$6)</f>
        <v>0.95186529071377368</v>
      </c>
      <c r="G10" s="71">
        <f t="shared" si="1"/>
        <v>0.22306175451425539</v>
      </c>
      <c r="H10" s="75">
        <f t="shared" si="2"/>
        <v>1.7565570717234531</v>
      </c>
      <c r="I10" s="75">
        <f t="shared" si="3"/>
        <v>-1.2503212337592196</v>
      </c>
      <c r="J10" s="71">
        <f t="shared" si="4"/>
        <v>-1.067692243308122</v>
      </c>
      <c r="K10" s="71">
        <f t="shared" si="5"/>
        <v>3.2767305312306556</v>
      </c>
      <c r="L10" s="42">
        <f t="shared" ref="L10:L19" si="13">SQRT(J10*J10+K10*K10)</f>
        <v>3.4462921670571496</v>
      </c>
      <c r="M10" s="28"/>
      <c r="N10" s="75">
        <f t="shared" si="6"/>
        <v>-0.10764705498950256</v>
      </c>
      <c r="O10" s="75">
        <f t="shared" ref="O10:O19" si="14">-(-$I$3+0.5*$K$6*((POWER(TAN((A10+$M$9)/2),2*$C$6-2)/(2*$C$6-2))-(POWER(TAN((A10+$M$9)/2),2*$C$6+2)/(2*$C$6+2))-(POWER(TAN($E$6/2),2*$C$6-2)/(2*$C$6-2))+(POWER(TAN($E$6/2),2*$C$6+2)/(2*$C$6+2))))-$D$3</f>
        <v>-1.2788395219433621</v>
      </c>
      <c r="P10" s="75">
        <f t="shared" ref="P10:P19" si="15">A10-N10/(O10-N10)*$M$9</f>
        <v>2.8263248008367157</v>
      </c>
      <c r="T10" s="119">
        <f t="shared" ref="T10:U14" si="16">H50</f>
        <v>1.6815472143125405</v>
      </c>
      <c r="U10" s="119">
        <f t="shared" si="16"/>
        <v>-1.020711854292637</v>
      </c>
    </row>
    <row r="11" spans="1:56">
      <c r="A11" s="20">
        <f t="shared" si="7"/>
        <v>2.8263248008367157</v>
      </c>
      <c r="B11" s="23">
        <f t="shared" si="8"/>
        <v>-0.95071335961278924</v>
      </c>
      <c r="C11" s="23">
        <f t="shared" si="9"/>
        <v>5.8296498995165624</v>
      </c>
      <c r="D11" s="23">
        <f t="shared" si="10"/>
        <v>260431.75015352678</v>
      </c>
      <c r="E11" s="23">
        <f t="shared" si="11"/>
        <v>0.31007113353835952</v>
      </c>
      <c r="F11" s="71">
        <f t="shared" si="12"/>
        <v>0.94535471838227714</v>
      </c>
      <c r="G11" s="71">
        <f t="shared" si="1"/>
        <v>0.25323249219379401</v>
      </c>
      <c r="H11" s="75">
        <f t="shared" si="2"/>
        <v>1.7244408596598495</v>
      </c>
      <c r="I11" s="75">
        <f t="shared" si="3"/>
        <v>-1.1518030894282192</v>
      </c>
      <c r="J11" s="71">
        <f t="shared" si="4"/>
        <v>-1.0612711747913222</v>
      </c>
      <c r="K11" s="71">
        <f t="shared" si="5"/>
        <v>3.2539781195763862</v>
      </c>
      <c r="L11" s="42">
        <f t="shared" si="13"/>
        <v>3.4226700263281047</v>
      </c>
      <c r="M11" s="28"/>
      <c r="N11" s="75">
        <f t="shared" si="6"/>
        <v>-9.1289106585021873E-3</v>
      </c>
      <c r="O11" s="75">
        <f t="shared" si="14"/>
        <v>-1.1631593358372643</v>
      </c>
      <c r="P11" s="75">
        <f t="shared" si="15"/>
        <v>2.8263010694589479</v>
      </c>
      <c r="T11" s="119">
        <f t="shared" si="16"/>
        <v>1.6427125222624841</v>
      </c>
      <c r="U11" s="119">
        <f t="shared" si="16"/>
        <v>-0.90285753595146134</v>
      </c>
    </row>
    <row r="12" spans="1:56">
      <c r="A12" s="20">
        <f t="shared" si="7"/>
        <v>2.8263010694589479</v>
      </c>
      <c r="B12" s="23">
        <f t="shared" si="8"/>
        <v>-0.95070600092987456</v>
      </c>
      <c r="C12" s="26">
        <f t="shared" si="9"/>
        <v>5.8296572581994779</v>
      </c>
      <c r="D12" s="26">
        <f t="shared" si="10"/>
        <v>260296.6424753766</v>
      </c>
      <c r="E12" s="26">
        <f t="shared" si="11"/>
        <v>0.3100936951889306</v>
      </c>
      <c r="F12" s="77">
        <f t="shared" si="12"/>
        <v>0.94479673062596703</v>
      </c>
      <c r="G12" s="77">
        <f t="shared" si="1"/>
        <v>0.25581827134912011</v>
      </c>
      <c r="H12" s="75">
        <f t="shared" si="2"/>
        <v>1.7216973585953821</v>
      </c>
      <c r="I12" s="75">
        <f t="shared" si="3"/>
        <v>-1.1433915416558236</v>
      </c>
      <c r="J12" s="77">
        <f t="shared" si="4"/>
        <v>-1.0607206048848912</v>
      </c>
      <c r="K12" s="77">
        <f t="shared" si="5"/>
        <v>3.252028209601697</v>
      </c>
      <c r="L12" s="91">
        <f t="shared" si="13"/>
        <v>3.4206455059933627</v>
      </c>
      <c r="M12" s="92"/>
      <c r="N12" s="75">
        <f t="shared" si="6"/>
        <v>-7.1736288610657617E-4</v>
      </c>
      <c r="O12" s="75">
        <f t="shared" si="14"/>
        <v>-1.1532832185910709</v>
      </c>
      <c r="P12" s="75">
        <f t="shared" si="15"/>
        <v>2.8262992022435971</v>
      </c>
      <c r="T12" s="119">
        <f t="shared" si="16"/>
        <v>1.6049233659496303</v>
      </c>
      <c r="U12" s="119">
        <f t="shared" si="16"/>
        <v>-0.7889486603710274</v>
      </c>
    </row>
    <row r="13" spans="1:56">
      <c r="A13" s="20">
        <f t="shared" si="7"/>
        <v>2.8262992022435971</v>
      </c>
      <c r="B13" s="23">
        <f t="shared" si="8"/>
        <v>-0.95070542191650942</v>
      </c>
      <c r="C13" s="23">
        <f t="shared" si="9"/>
        <v>5.8296578372128423</v>
      </c>
      <c r="D13" s="23">
        <f t="shared" si="10"/>
        <v>260286.01542125456</v>
      </c>
      <c r="E13" s="23">
        <f t="shared" si="11"/>
        <v>0.31009547036122903</v>
      </c>
      <c r="F13" s="71">
        <f t="shared" si="12"/>
        <v>0.94475284316188135</v>
      </c>
      <c r="G13" s="71">
        <f t="shared" si="1"/>
        <v>0.25602165088304268</v>
      </c>
      <c r="H13" s="75">
        <f t="shared" si="2"/>
        <v>1.7214816341368926</v>
      </c>
      <c r="I13" s="75">
        <f t="shared" si="3"/>
        <v>-1.1427301612699976</v>
      </c>
      <c r="J13" s="71">
        <f t="shared" si="4"/>
        <v>-1.0606772991581277</v>
      </c>
      <c r="K13" s="71">
        <f t="shared" si="5"/>
        <v>3.251874843701263</v>
      </c>
      <c r="L13" s="42">
        <f t="shared" si="13"/>
        <v>3.4204862712846098</v>
      </c>
      <c r="M13" s="28"/>
      <c r="N13" s="75">
        <f t="shared" si="6"/>
        <v>-5.5982500280604697E-5</v>
      </c>
      <c r="O13" s="75">
        <f t="shared" si="14"/>
        <v>-1.1525066874668448</v>
      </c>
      <c r="P13" s="75">
        <f t="shared" si="15"/>
        <v>2.8262990565128514</v>
      </c>
      <c r="T13" s="119">
        <f t="shared" si="16"/>
        <v>1.568145223248534</v>
      </c>
      <c r="U13" s="119">
        <f t="shared" si="16"/>
        <v>-0.67883005142475406</v>
      </c>
    </row>
    <row r="14" spans="1:56">
      <c r="A14" s="20">
        <f>P13</f>
        <v>2.8262990565128514</v>
      </c>
      <c r="B14" s="23">
        <f t="shared" si="8"/>
        <v>-0.95070537672605515</v>
      </c>
      <c r="C14" s="23">
        <f t="shared" si="9"/>
        <v>5.8296578824032972</v>
      </c>
      <c r="D14" s="23">
        <f t="shared" si="10"/>
        <v>260285.1860312967</v>
      </c>
      <c r="E14" s="23">
        <f t="shared" si="11"/>
        <v>0.31009560890823584</v>
      </c>
      <c r="F14" s="71">
        <f t="shared" si="12"/>
        <v>0.9447494179690431</v>
      </c>
      <c r="G14" s="71">
        <f t="shared" si="1"/>
        <v>0.25603752361885806</v>
      </c>
      <c r="H14" s="75">
        <f t="shared" si="2"/>
        <v>1.7214647983131597</v>
      </c>
      <c r="I14" s="75">
        <f t="shared" si="3"/>
        <v>-1.142678545214709</v>
      </c>
      <c r="J14" s="71">
        <f t="shared" si="4"/>
        <v>-1.0606739193564927</v>
      </c>
      <c r="K14" s="71">
        <f t="shared" si="5"/>
        <v>3.2518628742779789</v>
      </c>
      <c r="L14" s="42">
        <f t="shared" si="13"/>
        <v>3.420473843827855</v>
      </c>
      <c r="M14" s="28"/>
      <c r="N14" s="75">
        <f t="shared" si="6"/>
        <v>-4.3664449920211013E-6</v>
      </c>
      <c r="O14" s="75">
        <f t="shared" si="14"/>
        <v>-1.1524460847421858</v>
      </c>
      <c r="P14" s="75">
        <f t="shared" si="15"/>
        <v>2.8262990451462593</v>
      </c>
      <c r="T14" s="119">
        <f t="shared" si="16"/>
        <v>1.53234491823495</v>
      </c>
      <c r="U14" s="119">
        <f t="shared" si="16"/>
        <v>-0.57235354156544471</v>
      </c>
    </row>
    <row r="15" spans="1:56">
      <c r="A15" s="20">
        <f t="shared" si="7"/>
        <v>2.8262990451462593</v>
      </c>
      <c r="B15" s="23">
        <f t="shared" si="8"/>
        <v>-0.95070537320132475</v>
      </c>
      <c r="C15" s="23">
        <f t="shared" si="9"/>
        <v>5.829657885928027</v>
      </c>
      <c r="D15" s="23">
        <f t="shared" si="10"/>
        <v>260285.12134131757</v>
      </c>
      <c r="E15" s="23">
        <f t="shared" si="11"/>
        <v>0.31009561971451605</v>
      </c>
      <c r="F15" s="71">
        <f t="shared" si="12"/>
        <v>0.94474915081413269</v>
      </c>
      <c r="G15" s="71">
        <f t="shared" si="1"/>
        <v>0.25603876164530359</v>
      </c>
      <c r="H15" s="75">
        <f t="shared" si="2"/>
        <v>1.7214634851709625</v>
      </c>
      <c r="I15" s="75">
        <f t="shared" si="3"/>
        <v>-1.1426745193230365</v>
      </c>
      <c r="J15" s="71">
        <f t="shared" si="4"/>
        <v>-1.0606736557418983</v>
      </c>
      <c r="K15" s="71">
        <f t="shared" si="5"/>
        <v>3.2518619406983866</v>
      </c>
      <c r="L15" s="42">
        <f t="shared" si="13"/>
        <v>3.4204728745229893</v>
      </c>
      <c r="M15" s="28"/>
      <c r="N15" s="75">
        <f t="shared" si="6"/>
        <v>-3.4055331954441215E-7</v>
      </c>
      <c r="O15" s="75">
        <f t="shared" si="14"/>
        <v>-1.1524413579184742</v>
      </c>
      <c r="P15" s="75">
        <f t="shared" si="15"/>
        <v>2.8262990442597409</v>
      </c>
      <c r="T15" s="101">
        <f>H76</f>
        <v>1.5305925880836462</v>
      </c>
      <c r="U15" s="101">
        <f>I76</f>
        <v>-0.56716007517015665</v>
      </c>
    </row>
    <row r="16" spans="1:56">
      <c r="A16" s="20">
        <f>P15</f>
        <v>2.8262990442597409</v>
      </c>
      <c r="B16" s="23">
        <f>COS(A16)</f>
        <v>-0.95070537292641932</v>
      </c>
      <c r="C16" s="23">
        <f>($C$6+B16)</f>
        <v>5.8296578862029325</v>
      </c>
      <c r="D16" s="23">
        <f>POWER(TAN(A16/2),$C$6)</f>
        <v>260285.1162959309</v>
      </c>
      <c r="E16" s="23">
        <f>SIN(A16)</f>
        <v>0.31009562055733386</v>
      </c>
      <c r="F16" s="71">
        <f>(C16*$H$6*D16/E16/$I$6/$J$6)</f>
        <v>0.94474912997783322</v>
      </c>
      <c r="G16" s="71">
        <f>$D$6*($C$6+$G$6)/9.81/SIN($C$3)/(1-$C$6*$C$6)*(F16-1)</f>
        <v>0.25603885820310118</v>
      </c>
      <c r="H16" s="75">
        <f>-(-$H$3+$K$6*((POWER(TAN(A16/2),2*$C$6-1)/(2*$C$6-1))+(POWER(TAN(A16/2),2*$C$6+1)/(2*$C$6+1))-(POWER(TAN($E$6/2),2*$C$6-1)/(2*$C$6-1))-(POWER(TAN($E$6/2),2*$C$6+1)/(2*$C$6+1))))</f>
        <v>1.7214633827546511</v>
      </c>
      <c r="I16" s="75">
        <f>-(-$I$3+0.5*$K$6*((POWER(TAN(A16/2),2*$C$6-2)/(2*$C$6-2))-(POWER(TAN(A16/2),2*$C$6+2)/(2*$C$6+2))-(POWER(TAN($E$6/2),2*$C$6-2)/(2*$C$6-2))+(POWER(TAN($E$6/2),2*$C$6+2)/(2*$C$6+2))))</f>
        <v>-1.1426742053304182</v>
      </c>
      <c r="J16" s="71">
        <f>-$D$6*SIN(A16)*($C$6+$G$6)/($C$6+B16)*F16</f>
        <v>-1.0606736351817194</v>
      </c>
      <c r="K16" s="71">
        <f>-$D$6*COS(A16)*($C$6+$G$6)/($C$6+B16)*F16</f>
        <v>3.251861867885411</v>
      </c>
      <c r="L16" s="42">
        <f>SQRT(J16*J16+K16*K16)</f>
        <v>3.4204727989236807</v>
      </c>
      <c r="M16" s="28"/>
      <c r="N16" s="75">
        <f>-(-$I$3+0.5*$K$6*((POWER(TAN(A16/2),2*$C$6-2)/(2*$C$6-2))-(POWER(TAN(A16/2),2*$C$6+2)/(2*$C$6+2))-(POWER(TAN($E$6/2),2*$C$6-2)/(2*$C$6-2))+(POWER(TAN($E$6/2),2*$C$6+2)/(2*$C$6+2))))-$D$3</f>
        <v>-2.6560701194000558E-8</v>
      </c>
      <c r="O16" s="75">
        <f t="shared" si="14"/>
        <v>-1.1524409892578664</v>
      </c>
      <c r="P16" s="75">
        <f t="shared" si="15"/>
        <v>2.8262990441905989</v>
      </c>
      <c r="T16" s="101">
        <f t="shared" ref="T16:U20" si="17">H77</f>
        <v>1.5127381437006631</v>
      </c>
      <c r="U16" s="101">
        <f t="shared" si="17"/>
        <v>-0.51447002952090171</v>
      </c>
    </row>
    <row r="17" spans="1:21">
      <c r="A17" s="20">
        <f>P16</f>
        <v>2.8262990441905989</v>
      </c>
      <c r="B17" s="23">
        <f t="shared" si="8"/>
        <v>-0.9507053729049787</v>
      </c>
      <c r="C17" s="23">
        <f t="shared" si="9"/>
        <v>5.8296578862243731</v>
      </c>
      <c r="D17" s="23">
        <f t="shared" si="10"/>
        <v>260285.11590242758</v>
      </c>
      <c r="E17" s="23">
        <f t="shared" si="11"/>
        <v>0.31009562062306756</v>
      </c>
      <c r="F17" s="71">
        <f t="shared" si="12"/>
        <v>0.9447491283527536</v>
      </c>
      <c r="G17" s="71">
        <f t="shared" si="1"/>
        <v>0.25603886573390627</v>
      </c>
      <c r="H17" s="75">
        <f t="shared" si="2"/>
        <v>1.7214633747669217</v>
      </c>
      <c r="I17" s="75">
        <f t="shared" si="3"/>
        <v>-1.1426741808412826</v>
      </c>
      <c r="J17" s="71">
        <f t="shared" si="4"/>
        <v>-1.0606736335781752</v>
      </c>
      <c r="K17" s="71">
        <f t="shared" si="5"/>
        <v>3.2518618622065296</v>
      </c>
      <c r="L17" s="42">
        <f t="shared" si="13"/>
        <v>3.4204727930274856</v>
      </c>
      <c r="M17" s="28"/>
      <c r="N17" s="75">
        <f t="shared" si="6"/>
        <v>-2.0715655857372894E-9</v>
      </c>
      <c r="O17" s="75">
        <f t="shared" si="14"/>
        <v>-1.1524409605050006</v>
      </c>
      <c r="P17" s="75">
        <f t="shared" si="15"/>
        <v>2.8262990441852063</v>
      </c>
      <c r="T17" s="101">
        <f t="shared" si="17"/>
        <v>1.495276135433707</v>
      </c>
      <c r="U17" s="101">
        <f t="shared" si="17"/>
        <v>-0.46336058010317893</v>
      </c>
    </row>
    <row r="18" spans="1:21">
      <c r="A18" s="20">
        <f>P17</f>
        <v>2.8262990441852063</v>
      </c>
      <c r="B18" s="23">
        <f t="shared" si="8"/>
        <v>-0.95070537290330648</v>
      </c>
      <c r="C18" s="23">
        <f t="shared" si="9"/>
        <v>5.8296578862260455</v>
      </c>
      <c r="D18" s="23">
        <f t="shared" si="10"/>
        <v>260285.1158717371</v>
      </c>
      <c r="E18" s="23">
        <f t="shared" si="11"/>
        <v>0.31009562062819429</v>
      </c>
      <c r="F18" s="71">
        <f t="shared" si="12"/>
        <v>0.9447491282260092</v>
      </c>
      <c r="G18" s="71">
        <f t="shared" si="1"/>
        <v>0.25603886632125428</v>
      </c>
      <c r="H18" s="75">
        <f t="shared" si="2"/>
        <v>1.7214633741439347</v>
      </c>
      <c r="I18" s="75">
        <f t="shared" si="3"/>
        <v>-1.1426741789312951</v>
      </c>
      <c r="J18" s="71">
        <f t="shared" si="4"/>
        <v>-1.0606736334531104</v>
      </c>
      <c r="K18" s="71">
        <f t="shared" si="5"/>
        <v>3.2518618617636172</v>
      </c>
      <c r="L18" s="42">
        <f t="shared" si="13"/>
        <v>3.4204727925676246</v>
      </c>
      <c r="M18" s="28"/>
      <c r="N18" s="75">
        <f t="shared" si="6"/>
        <v>-1.6157808424566156E-10</v>
      </c>
      <c r="O18" s="75">
        <f t="shared" si="14"/>
        <v>-1.1524409582624873</v>
      </c>
      <c r="P18" s="75">
        <f t="shared" si="15"/>
        <v>2.8262990441847857</v>
      </c>
      <c r="R18" s="84"/>
      <c r="S18" s="84"/>
      <c r="T18" s="101">
        <f t="shared" si="17"/>
        <v>1.4781949441573621</v>
      </c>
      <c r="U18" s="101">
        <f t="shared" si="17"/>
        <v>-0.41377298154880893</v>
      </c>
    </row>
    <row r="19" spans="1:21">
      <c r="A19" s="20">
        <f>P18</f>
        <v>2.8262990441847857</v>
      </c>
      <c r="B19" s="23">
        <f t="shared" si="8"/>
        <v>-0.95070537290317603</v>
      </c>
      <c r="C19" s="23">
        <f t="shared" si="9"/>
        <v>5.8296578862261761</v>
      </c>
      <c r="D19" s="23">
        <f t="shared" si="10"/>
        <v>260285.11586934346</v>
      </c>
      <c r="E19" s="23">
        <f t="shared" si="11"/>
        <v>0.31009562062859414</v>
      </c>
      <c r="F19" s="71">
        <f t="shared" si="12"/>
        <v>0.944749128216124</v>
      </c>
      <c r="G19" s="71">
        <f t="shared" si="1"/>
        <v>0.25603886636706347</v>
      </c>
      <c r="H19" s="81">
        <f t="shared" si="2"/>
        <v>1.7214633740953527</v>
      </c>
      <c r="I19" s="81">
        <f t="shared" si="3"/>
        <v>-1.1426741787823438</v>
      </c>
      <c r="J19" s="80">
        <f t="shared" si="4"/>
        <v>-1.0606736334433562</v>
      </c>
      <c r="K19" s="80">
        <f t="shared" si="5"/>
        <v>3.2518618617290733</v>
      </c>
      <c r="L19" s="42">
        <f t="shared" si="13"/>
        <v>3.4204727925317582</v>
      </c>
      <c r="M19" s="28"/>
      <c r="N19" s="75">
        <f t="shared" si="6"/>
        <v>-1.262678850366683E-11</v>
      </c>
      <c r="O19" s="75">
        <f t="shared" si="14"/>
        <v>-1.1524409580876072</v>
      </c>
      <c r="P19" s="75">
        <f t="shared" si="15"/>
        <v>2.8262990441847529</v>
      </c>
      <c r="R19" s="84"/>
      <c r="S19" s="84"/>
      <c r="T19" s="101">
        <f t="shared" si="17"/>
        <v>1.4614833795159501</v>
      </c>
      <c r="U19" s="101">
        <f t="shared" si="17"/>
        <v>-0.36565109051203448</v>
      </c>
    </row>
    <row r="20" spans="1:21">
      <c r="A20" s="88" t="s">
        <v>60</v>
      </c>
      <c r="B20" s="8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R20" s="84"/>
      <c r="S20" s="84"/>
      <c r="T20" s="101">
        <f t="shared" si="17"/>
        <v>1.4451306610341177</v>
      </c>
      <c r="U20" s="101">
        <f t="shared" si="17"/>
        <v>-0.31894123211706138</v>
      </c>
    </row>
    <row r="21" spans="1:21">
      <c r="A21" s="26" t="s">
        <v>11</v>
      </c>
      <c r="B21" s="26" t="s">
        <v>13</v>
      </c>
      <c r="C21" s="26" t="s">
        <v>22</v>
      </c>
      <c r="D21" s="26" t="s">
        <v>18</v>
      </c>
      <c r="E21" s="26" t="s">
        <v>19</v>
      </c>
      <c r="F21" s="26" t="s">
        <v>20</v>
      </c>
      <c r="G21" s="26" t="s">
        <v>2</v>
      </c>
      <c r="H21" s="26" t="s">
        <v>1</v>
      </c>
      <c r="I21" s="26" t="s">
        <v>0</v>
      </c>
      <c r="J21" s="76" t="s">
        <v>3</v>
      </c>
      <c r="K21" s="76" t="s">
        <v>4</v>
      </c>
      <c r="L21" s="44" t="s">
        <v>7</v>
      </c>
      <c r="M21" s="44" t="s">
        <v>24</v>
      </c>
      <c r="N21" s="28"/>
      <c r="O21" s="28"/>
      <c r="P21" s="31"/>
      <c r="Q21" s="84"/>
      <c r="R21" s="84"/>
      <c r="S21" s="84"/>
      <c r="T21" s="120">
        <f>H103</f>
        <v>1.4444865414945027</v>
      </c>
      <c r="U21" s="120">
        <f>I103</f>
        <v>-0.31710907748473754</v>
      </c>
    </row>
    <row r="22" spans="1:21">
      <c r="A22" s="20">
        <f>$E$6</f>
        <v>2.8285755016015774</v>
      </c>
      <c r="B22" s="23">
        <f t="shared" ref="B22:B27" si="18">COS(A22)</f>
        <v>-0.95140882836958685</v>
      </c>
      <c r="C22" s="23">
        <f t="shared" ref="C22:C27" si="19">($C$6+B22)</f>
        <v>5.8289544307597652</v>
      </c>
      <c r="D22" s="23">
        <f t="shared" ref="D22:D27" si="20">POWER(TAN(A22/2),$C$6)</f>
        <v>273616.59142233862</v>
      </c>
      <c r="E22" s="23">
        <f t="shared" ref="E22:E27" si="21">SIN(A22)</f>
        <v>0.30793057870307405</v>
      </c>
      <c r="F22" s="71">
        <f t="shared" ref="F22:F27" si="22">(C22*$H$6*D22/E22/$I$6/$J$6)</f>
        <v>1</v>
      </c>
      <c r="G22" s="71">
        <f t="shared" ref="G22:G27" si="23">$D$6*($C$6+$G$6)/9.81/SIN($C$3)/(1-$C$6*$C$6)*(F22-1)</f>
        <v>0</v>
      </c>
      <c r="H22" s="80">
        <f t="shared" ref="H22:H27" si="24">-(-$H$3+$K$6*((POWER(TAN(A22/2),2*$C$6-1)/(2*$C$6-1))+(POWER(TAN(A22/2),2*$C$6+1)/(2*$C$6+1))-(POWER(TAN($E$6/2),2*$C$6-1)/(2*$C$6-1))-(POWER(TAN($E$6/2),2*$C$6+1)/(2*$C$6+1))))</f>
        <v>2</v>
      </c>
      <c r="I22" s="80">
        <f t="shared" ref="I22:I27" si="25">-(-$I$3+0.5*$K$6*((POWER(TAN(A22/2),2*$C$6-2)/(2*$C$6-2))-(POWER(TAN(A22/2),2*$C$6+2)/(2*$C$6+2))-(POWER(TAN($E$6/2),2*$C$6-2)/(2*$C$6-2))+(POWER(TAN($E$6/2),2*$C$6+2)/(2*$C$6+2))))</f>
        <v>-2</v>
      </c>
      <c r="J22" s="71">
        <f t="shared" ref="J22:J27" si="26">-$D$6*SIN(A22)*($C$6+$G$6)/($C$6+B22)*F22</f>
        <v>-1.1150000000000007</v>
      </c>
      <c r="K22" s="71">
        <f t="shared" ref="K22:K27" si="27">-$D$6*COS(A22)*($C$6+$G$6)/($C$6+B22)*F22</f>
        <v>3.4449999999999998</v>
      </c>
      <c r="L22" s="72">
        <f t="shared" ref="L22:L27" si="28">SQRT(J22*J22+K22*K22)</f>
        <v>3.6209460089871541</v>
      </c>
      <c r="M22" s="73">
        <f>-K22/J22*H22+I22</f>
        <v>4.1793721973094131</v>
      </c>
      <c r="N22" s="28"/>
      <c r="O22" s="28"/>
      <c r="P22" s="31"/>
      <c r="Q22" s="84"/>
      <c r="R22" s="84"/>
      <c r="S22" s="84"/>
      <c r="T22" s="120">
        <f t="shared" ref="T22:U26" si="29">H104</f>
        <v>1.4309715196288273</v>
      </c>
      <c r="U22" s="120">
        <f t="shared" si="29"/>
        <v>-0.2789035076273399</v>
      </c>
    </row>
    <row r="23" spans="1:21">
      <c r="A23" s="20">
        <f>A22-$F$6</f>
        <v>2.8281402101182191</v>
      </c>
      <c r="B23" s="23">
        <f t="shared" si="18"/>
        <v>-0.95127469867960379</v>
      </c>
      <c r="C23" s="23">
        <f t="shared" si="19"/>
        <v>5.8290885604497484</v>
      </c>
      <c r="D23" s="23">
        <f t="shared" si="20"/>
        <v>271008.32089664269</v>
      </c>
      <c r="E23" s="23">
        <f t="shared" si="21"/>
        <v>0.30834468967703815</v>
      </c>
      <c r="F23" s="71">
        <f t="shared" si="22"/>
        <v>0.98915997575172998</v>
      </c>
      <c r="G23" s="71">
        <f t="shared" si="23"/>
        <v>5.0233913607287309E-2</v>
      </c>
      <c r="H23" s="81">
        <f t="shared" si="24"/>
        <v>1.9442560901573596</v>
      </c>
      <c r="I23" s="81">
        <f t="shared" si="25"/>
        <v>-1.8278961873600783</v>
      </c>
      <c r="J23" s="71">
        <f t="shared" si="26"/>
        <v>-1.1043711794996314</v>
      </c>
      <c r="K23" s="71">
        <f t="shared" si="27"/>
        <v>3.4070973043489508</v>
      </c>
      <c r="L23" s="42">
        <f t="shared" si="28"/>
        <v>3.5816124501977171</v>
      </c>
      <c r="M23" s="45"/>
      <c r="N23" s="28"/>
      <c r="O23" s="28"/>
      <c r="P23" s="31"/>
      <c r="Q23" s="84"/>
      <c r="R23" s="84"/>
      <c r="S23" s="84"/>
      <c r="T23" s="120">
        <f t="shared" si="29"/>
        <v>1.4178206502238615</v>
      </c>
      <c r="U23" s="120">
        <f t="shared" si="29"/>
        <v>-0.24217232962818167</v>
      </c>
    </row>
    <row r="24" spans="1:21">
      <c r="A24" s="20">
        <f>A23-$F$6</f>
        <v>2.8277049186348608</v>
      </c>
      <c r="B24" s="23">
        <f t="shared" si="18"/>
        <v>-0.95114038874335372</v>
      </c>
      <c r="C24" s="23">
        <f t="shared" si="19"/>
        <v>5.8292228703859985</v>
      </c>
      <c r="D24" s="23">
        <f t="shared" si="20"/>
        <v>268428.36432689783</v>
      </c>
      <c r="E24" s="23">
        <f t="shared" si="21"/>
        <v>0.30875874222625976</v>
      </c>
      <c r="F24" s="71">
        <f t="shared" si="22"/>
        <v>0.97845201449134711</v>
      </c>
      <c r="G24" s="71">
        <f t="shared" si="23"/>
        <v>9.985583220678651E-2</v>
      </c>
      <c r="H24" s="81">
        <f t="shared" si="24"/>
        <v>1.8897158635732021</v>
      </c>
      <c r="I24" s="81">
        <f t="shared" si="25"/>
        <v>-1.6597583331259242</v>
      </c>
      <c r="J24" s="71">
        <f t="shared" si="26"/>
        <v>-1.0938577396518798</v>
      </c>
      <c r="K24" s="71">
        <f t="shared" si="27"/>
        <v>3.3696609469927057</v>
      </c>
      <c r="L24" s="42">
        <f t="shared" si="28"/>
        <v>3.5427587629253137</v>
      </c>
      <c r="M24" s="45"/>
      <c r="N24" s="28"/>
      <c r="O24" s="28"/>
      <c r="P24" s="28"/>
      <c r="Q24" s="84"/>
      <c r="R24" s="85"/>
      <c r="S24" s="85"/>
      <c r="T24" s="120">
        <f t="shared" si="29"/>
        <v>1.4050200588244874</v>
      </c>
      <c r="U24" s="120">
        <f t="shared" si="29"/>
        <v>-0.20684351167848455</v>
      </c>
    </row>
    <row r="25" spans="1:21">
      <c r="A25" s="20">
        <f>A24-$F$6</f>
        <v>2.8272696271515025</v>
      </c>
      <c r="B25" s="23">
        <f t="shared" si="18"/>
        <v>-0.95100589858628548</v>
      </c>
      <c r="C25" s="23">
        <f t="shared" si="19"/>
        <v>5.8293573605430664</v>
      </c>
      <c r="D25" s="23">
        <f t="shared" si="20"/>
        <v>265876.37651579874</v>
      </c>
      <c r="E25" s="23">
        <f t="shared" si="21"/>
        <v>0.30917273627228475</v>
      </c>
      <c r="F25" s="71">
        <f t="shared" si="22"/>
        <v>0.96787432942822604</v>
      </c>
      <c r="G25" s="71">
        <f t="shared" si="23"/>
        <v>0.14887403599085255</v>
      </c>
      <c r="H25" s="81">
        <f t="shared" si="24"/>
        <v>1.8363517466286656</v>
      </c>
      <c r="I25" s="81">
        <f t="shared" si="25"/>
        <v>-1.4954898823002305</v>
      </c>
      <c r="J25" s="71">
        <f t="shared" si="26"/>
        <v>-1.0834582737620961</v>
      </c>
      <c r="K25" s="71">
        <f t="shared" si="27"/>
        <v>3.3326845751121748</v>
      </c>
      <c r="L25" s="42">
        <f t="shared" si="28"/>
        <v>3.5043784481950802</v>
      </c>
      <c r="M25" s="45"/>
      <c r="N25" s="28"/>
      <c r="O25" s="28"/>
      <c r="P25" s="28"/>
      <c r="Q25" s="84"/>
      <c r="T25" s="120">
        <f t="shared" si="29"/>
        <v>1.3925565437174607</v>
      </c>
      <c r="U25" s="120">
        <f t="shared" si="29"/>
        <v>-0.17284927149823892</v>
      </c>
    </row>
    <row r="26" spans="1:21">
      <c r="A26" s="20">
        <f>A25-$F$6</f>
        <v>2.8268343356681442</v>
      </c>
      <c r="B26" s="23">
        <f t="shared" si="18"/>
        <v>-0.95087122823388193</v>
      </c>
      <c r="C26" s="23">
        <f t="shared" si="19"/>
        <v>5.8294920308954703</v>
      </c>
      <c r="D26" s="23">
        <f t="shared" si="20"/>
        <v>263352.01693791896</v>
      </c>
      <c r="E26" s="23">
        <f t="shared" si="21"/>
        <v>0.30958667173667015</v>
      </c>
      <c r="F26" s="71">
        <f t="shared" si="22"/>
        <v>0.95742516035488767</v>
      </c>
      <c r="G26" s="71">
        <f t="shared" si="23"/>
        <v>0.19729668196249678</v>
      </c>
      <c r="H26" s="81">
        <f t="shared" si="24"/>
        <v>1.7841368336394536</v>
      </c>
      <c r="I26" s="81">
        <f t="shared" si="25"/>
        <v>-1.3349967565892444</v>
      </c>
      <c r="J26" s="71">
        <f t="shared" si="26"/>
        <v>-1.0731713941737477</v>
      </c>
      <c r="K26" s="71">
        <f t="shared" si="27"/>
        <v>3.2961619308709671</v>
      </c>
      <c r="L26" s="42">
        <f t="shared" si="28"/>
        <v>3.4664651037902927</v>
      </c>
      <c r="M26" s="45"/>
      <c r="N26" s="28"/>
      <c r="O26" s="28"/>
      <c r="P26" s="28"/>
      <c r="Q26" s="84"/>
      <c r="T26" s="120">
        <f t="shared" si="29"/>
        <v>1.3804175364927087</v>
      </c>
      <c r="U26" s="120">
        <f t="shared" si="29"/>
        <v>-0.1401257834381168</v>
      </c>
    </row>
    <row r="27" spans="1:21">
      <c r="A27" s="20">
        <f>A26-$F$6</f>
        <v>2.8263990441847859</v>
      </c>
      <c r="B27" s="23">
        <f t="shared" si="18"/>
        <v>-0.95073637771166042</v>
      </c>
      <c r="C27" s="23">
        <f t="shared" si="19"/>
        <v>5.8296268814176919</v>
      </c>
      <c r="D27" s="23">
        <f t="shared" si="20"/>
        <v>260854.94967020355</v>
      </c>
      <c r="E27" s="23">
        <f t="shared" si="21"/>
        <v>0.31000054854098397</v>
      </c>
      <c r="F27" s="71">
        <f t="shared" si="22"/>
        <v>0.94710277321570568</v>
      </c>
      <c r="G27" s="71">
        <f t="shared" si="23"/>
        <v>0.24513180593405021</v>
      </c>
      <c r="H27" s="81">
        <f t="shared" si="24"/>
        <v>1.7330448697967633</v>
      </c>
      <c r="I27" s="81">
        <f t="shared" si="25"/>
        <v>-1.1781872876382986</v>
      </c>
      <c r="J27" s="71">
        <f t="shared" si="26"/>
        <v>-1.0629957319851742</v>
      </c>
      <c r="K27" s="71">
        <f t="shared" si="27"/>
        <v>3.2600868498686806</v>
      </c>
      <c r="L27" s="42">
        <f t="shared" si="28"/>
        <v>3.4290124226816956</v>
      </c>
      <c r="M27" s="45"/>
      <c r="N27" s="28"/>
      <c r="O27" s="28"/>
      <c r="P27" s="28"/>
      <c r="Q27" s="85"/>
      <c r="T27" s="111">
        <f t="shared" ref="T27:U32" si="30">H130</f>
        <v>1.3801026470519462</v>
      </c>
      <c r="U27" s="111">
        <f t="shared" si="30"/>
        <v>-0.13928201035118173</v>
      </c>
    </row>
    <row r="28" spans="1:21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T28" s="111">
        <f t="shared" si="30"/>
        <v>1.3540796063478884</v>
      </c>
      <c r="U28" s="111">
        <f t="shared" si="30"/>
        <v>-7.0836104884683074E-2</v>
      </c>
    </row>
    <row r="29" spans="1:21">
      <c r="A29" s="88" t="s">
        <v>73</v>
      </c>
      <c r="B29" s="88"/>
      <c r="C29" s="23" t="str">
        <f>CONCATENATE("m",Stufengrün!Z45)</f>
        <v>m-3</v>
      </c>
      <c r="D29" s="23" t="s">
        <v>30</v>
      </c>
      <c r="E29" s="28"/>
      <c r="F29" s="28"/>
      <c r="G29" s="28"/>
      <c r="H29" s="36" t="s">
        <v>57</v>
      </c>
      <c r="I29" s="36" t="s">
        <v>51</v>
      </c>
      <c r="J29" s="36" t="s">
        <v>58</v>
      </c>
      <c r="K29" s="36" t="s">
        <v>59</v>
      </c>
      <c r="L29" s="28"/>
      <c r="M29" s="28"/>
      <c r="N29" s="28"/>
      <c r="O29" s="28"/>
      <c r="P29" s="28"/>
      <c r="T29" s="111">
        <f t="shared" si="30"/>
        <v>1.3299609697612109</v>
      </c>
      <c r="U29" s="111">
        <f t="shared" si="30"/>
        <v>-9.6930653004457246E-3</v>
      </c>
    </row>
    <row r="30" spans="1:21">
      <c r="A30" s="88" t="s">
        <v>69</v>
      </c>
      <c r="B30" s="88"/>
      <c r="C30" s="36">
        <f>Stufengrün!AA45</f>
        <v>5.9398558365054185E-2</v>
      </c>
      <c r="D30" s="26">
        <f>Stufengrün!AC45</f>
        <v>-0.56716007517016898</v>
      </c>
      <c r="E30" s="28"/>
      <c r="F30" s="28"/>
      <c r="G30" s="28"/>
      <c r="H30" s="78">
        <f>H19</f>
        <v>1.7214633740953527</v>
      </c>
      <c r="I30" s="78">
        <f>I19</f>
        <v>-1.1426741787823438</v>
      </c>
      <c r="J30" s="78">
        <f>J19</f>
        <v>-1.0606736334433562</v>
      </c>
      <c r="K30" s="78">
        <f>K19</f>
        <v>3.2518618617290733</v>
      </c>
      <c r="L30" s="28"/>
      <c r="M30" s="28"/>
      <c r="N30" s="28"/>
      <c r="O30" s="28"/>
      <c r="P30" s="28"/>
      <c r="T30" s="111">
        <f t="shared" si="30"/>
        <v>1.3075479230431737</v>
      </c>
      <c r="U30" s="111">
        <f t="shared" si="30"/>
        <v>4.5124474269387455E-2</v>
      </c>
    </row>
    <row r="31" spans="1:21">
      <c r="A31" s="95"/>
      <c r="B31" s="95"/>
      <c r="C31" s="28"/>
      <c r="D31" s="28"/>
      <c r="E31" s="28"/>
      <c r="F31" s="28"/>
      <c r="G31" s="28"/>
      <c r="H31" s="37" t="s">
        <v>8</v>
      </c>
      <c r="I31" s="37" t="s">
        <v>8</v>
      </c>
      <c r="J31" s="37" t="s">
        <v>9</v>
      </c>
      <c r="K31" s="37" t="s">
        <v>9</v>
      </c>
      <c r="L31" s="28"/>
      <c r="M31" s="28"/>
      <c r="N31" s="28"/>
      <c r="O31" s="28"/>
      <c r="P31" s="28"/>
      <c r="T31" s="111">
        <f t="shared" si="30"/>
        <v>1.2866678230983111</v>
      </c>
      <c r="U31" s="111">
        <f t="shared" si="30"/>
        <v>9.4437828572975224E-2</v>
      </c>
    </row>
    <row r="32" spans="1:21">
      <c r="A32" s="88" t="s">
        <v>68</v>
      </c>
      <c r="B32" s="88"/>
      <c r="C32" s="26" t="s">
        <v>15</v>
      </c>
      <c r="D32" s="26" t="s">
        <v>55</v>
      </c>
      <c r="E32" s="26" t="s">
        <v>12</v>
      </c>
      <c r="F32" s="26" t="s">
        <v>10</v>
      </c>
      <c r="G32" s="26" t="s">
        <v>14</v>
      </c>
      <c r="H32" s="26" t="s">
        <v>21</v>
      </c>
      <c r="I32" s="26" t="s">
        <v>16</v>
      </c>
      <c r="J32" s="26" t="s">
        <v>17</v>
      </c>
      <c r="K32" s="26" t="s">
        <v>23</v>
      </c>
      <c r="L32" s="28"/>
      <c r="M32" s="28"/>
      <c r="N32" s="28"/>
      <c r="O32" s="28"/>
      <c r="P32" s="28"/>
      <c r="T32" s="111">
        <f t="shared" si="30"/>
        <v>1.267170082087322</v>
      </c>
      <c r="U32" s="111">
        <f t="shared" si="30"/>
        <v>0.13894097133837144</v>
      </c>
    </row>
    <row r="33" spans="1:49">
      <c r="A33" s="28"/>
      <c r="B33" s="28"/>
      <c r="C33" s="23">
        <f>Mü/TAN($C30)</f>
        <v>1.1770934876266894</v>
      </c>
      <c r="D33" s="42">
        <f>SQRT($J30*$J30+$K30*$K30)</f>
        <v>3.4204727925317582</v>
      </c>
      <c r="E33" s="20">
        <f>ATAN($J30/$K30)+PI()</f>
        <v>2.8262990441847857</v>
      </c>
      <c r="F33" s="23">
        <f>($E33-A46-0.0001)/5</f>
        <v>2.014383874754209E-3</v>
      </c>
      <c r="G33" s="23">
        <f>COS($E33)</f>
        <v>-0.95070537290317603</v>
      </c>
      <c r="H33" s="23">
        <f>SIN($E33)</f>
        <v>0.31009562062859414</v>
      </c>
      <c r="I33" s="23">
        <f>$C33+$G33</f>
        <v>0.22638811472351339</v>
      </c>
      <c r="J33" s="23">
        <f>POWER(TAN($E33/2),$C33)</f>
        <v>8.712442318673979</v>
      </c>
      <c r="K33" s="23">
        <f>-$D33*$D33*SIN($E33)*SIN($E33)/(2*9.81*SIN($C30)*POWER(TAN($E33/2),2*$C33))</f>
        <v>-1.272518825332632E-2</v>
      </c>
      <c r="L33" s="28"/>
      <c r="M33" s="28"/>
      <c r="N33" s="28"/>
      <c r="O33" s="28"/>
      <c r="P33" s="28"/>
      <c r="T33" s="120">
        <f t="shared" ref="T33:U38" si="31">H157</f>
        <v>1.26701807806861</v>
      </c>
      <c r="U33" s="120">
        <f t="shared" si="31"/>
        <v>0.13928201035118357</v>
      </c>
    </row>
    <row r="34" spans="1:49">
      <c r="A34" s="88" t="s">
        <v>70</v>
      </c>
      <c r="B34" s="8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45"/>
      <c r="N34" s="28"/>
      <c r="O34" s="28"/>
      <c r="P34" s="28"/>
      <c r="T34" s="120">
        <f t="shared" si="31"/>
        <v>1.2487100813397756</v>
      </c>
      <c r="U34" s="120">
        <f t="shared" si="31"/>
        <v>0.17988990987428488</v>
      </c>
      <c r="AU34" s="79" t="s">
        <v>65</v>
      </c>
      <c r="AV34" s="79" t="s">
        <v>66</v>
      </c>
      <c r="AW34" s="79" t="s">
        <v>67</v>
      </c>
    </row>
    <row r="35" spans="1:49">
      <c r="A35" s="26" t="s">
        <v>11</v>
      </c>
      <c r="B35" s="26" t="s">
        <v>13</v>
      </c>
      <c r="C35" s="26" t="s">
        <v>22</v>
      </c>
      <c r="D35" s="26" t="s">
        <v>18</v>
      </c>
      <c r="E35" s="26" t="s">
        <v>19</v>
      </c>
      <c r="F35" s="26" t="s">
        <v>20</v>
      </c>
      <c r="G35" s="26" t="s">
        <v>2</v>
      </c>
      <c r="H35" s="26" t="s">
        <v>65</v>
      </c>
      <c r="I35" s="26" t="s">
        <v>66</v>
      </c>
      <c r="J35" s="76" t="s">
        <v>3</v>
      </c>
      <c r="K35" s="76" t="s">
        <v>4</v>
      </c>
      <c r="L35" s="44" t="s">
        <v>7</v>
      </c>
      <c r="M35" s="93"/>
      <c r="N35" s="26" t="s">
        <v>61</v>
      </c>
      <c r="O35" s="26" t="s">
        <v>62</v>
      </c>
      <c r="P35" s="23" t="s">
        <v>63</v>
      </c>
      <c r="T35" s="120">
        <f t="shared" si="31"/>
        <v>1.2312657454052545</v>
      </c>
      <c r="U35" s="120">
        <f t="shared" si="31"/>
        <v>0.21771498110389387</v>
      </c>
      <c r="W35" s="54" t="s">
        <v>87</v>
      </c>
      <c r="X35" s="28"/>
      <c r="Y35" s="28"/>
      <c r="Z35" s="28"/>
      <c r="AA35" s="183" t="s">
        <v>73</v>
      </c>
      <c r="AB35" s="23" t="str">
        <f>C2</f>
        <v>m-4</v>
      </c>
      <c r="AC35" s="23" t="str">
        <f>C29</f>
        <v>m-3</v>
      </c>
      <c r="AD35" s="23" t="str">
        <f>C56</f>
        <v>m-2</v>
      </c>
      <c r="AE35" s="23" t="str">
        <f>C83</f>
        <v>m-1</v>
      </c>
      <c r="AF35" s="23" t="str">
        <f>C110</f>
        <v>m0</v>
      </c>
      <c r="AG35" s="23" t="str">
        <f>C137</f>
        <v>m1</v>
      </c>
      <c r="AH35" s="23" t="str">
        <f>C164</f>
        <v>m2</v>
      </c>
      <c r="AI35" s="23" t="str">
        <f>C191</f>
        <v>m3</v>
      </c>
      <c r="AJ35" s="23" t="str">
        <f>C218</f>
        <v>m4</v>
      </c>
      <c r="AU35" s="78">
        <f>H257</f>
        <v>4.0875448344989906E-2</v>
      </c>
      <c r="AV35" s="78">
        <f>I257</f>
        <v>2.0355433305662425</v>
      </c>
      <c r="AW35" s="79">
        <f>SQRT(POWER(AU35,2)+(POWER(AV35-Yzielup,2)))</f>
        <v>5.4167616018661234E-2</v>
      </c>
    </row>
    <row r="36" spans="1:49">
      <c r="A36" s="19">
        <f>$E33</f>
        <v>2.8262990441847857</v>
      </c>
      <c r="B36" s="26">
        <f>COS(A36)</f>
        <v>-0.95070537290317603</v>
      </c>
      <c r="C36" s="26">
        <f t="shared" ref="C36:C46" si="32">($C$33+B36)</f>
        <v>0.22638811472351339</v>
      </c>
      <c r="D36" s="26">
        <f t="shared" ref="D36:D46" si="33">POWER(TAN(A36/2),$C$33)</f>
        <v>8.712442318673979</v>
      </c>
      <c r="E36" s="26">
        <f>SIN(A36)</f>
        <v>0.31009562062859414</v>
      </c>
      <c r="F36" s="77">
        <f t="shared" ref="F36:F46" si="34">(C36*$H$33*D36/E36/$I$33/$J$33)</f>
        <v>0.99999999999999978</v>
      </c>
      <c r="G36" s="77">
        <f t="shared" ref="G36:G46" si="35">$D$33*($C$33+$G$33)/9.81/SIN($C$30)/(1-$C$33*$C$33)*(F36-1)</f>
        <v>7.6579198384576289E-16</v>
      </c>
      <c r="H36" s="75">
        <f t="shared" ref="H36:H46" si="36">-(-$H$30+$K$33*((POWER(TAN(A36/2),2*$C$33-1)/(2*$C$33-1))+(POWER(TAN(A36/2),2*$C$33+1)/(2*$C$33+1))-(POWER(TAN($E$33/2),2*$C$33-1)/(2*$C$33-1))-(POWER(TAN($E$33/2),2*$C$33+1)/(2*$C$33+1))))</f>
        <v>1.7214633740953527</v>
      </c>
      <c r="I36" s="75">
        <f t="shared" ref="I36:I46" si="37">-(-$I$30+0.5*$K$33*((POWER(TAN(A36/2),2*$C$33-2)/(2*$C$33-2))-(POWER(TAN(A36/2),2*$C$33+2)/(2*$C$33+2))-(POWER(TAN($E$33/2),2*$C$33-2)/(2*$C$33-2))+(POWER(TAN($E$33/2),2*$C$33+2)/(2*$C$33+2))))</f>
        <v>-1.1426741787823438</v>
      </c>
      <c r="J36" s="77">
        <f t="shared" ref="J36:J46" si="38">-$D$33*SIN(A36)*($C$33+$G$33)/($C$33+B36)*F36</f>
        <v>-1.0606736334433557</v>
      </c>
      <c r="K36" s="77">
        <f t="shared" ref="K36:K46" si="39">-$D$33*COS(A36)*($C$33+$G$33)/($C$33+B36)*F36</f>
        <v>3.251861861729072</v>
      </c>
      <c r="L36" s="91">
        <f>SQRT(J36*J36+K36*K36)</f>
        <v>3.4204727925317573</v>
      </c>
      <c r="M36" s="93"/>
      <c r="N36" s="75">
        <f t="shared" ref="N36:N46" si="40">-(-$I$30+0.5*$K$33*((POWER(TAN(A36/2),2*$C$33-2)/(2*$C$33-2))-(POWER(TAN(A36/2),2*$C$33+2)/(2*$C$33+2))-(POWER(TAN($E$33/2),2*$C$33-2)/(2*$C$33-2))+(POWER(TAN($E$33/2),2*$C$33+2)/(2*$C$33+2))))-$D$30</f>
        <v>-0.57551410361217481</v>
      </c>
      <c r="O36" s="75">
        <f>-(-$I$30+0.5*$K$33*((POWER(TAN((A36+$M$9)/2),2*$C$33-2)/(2*$C$33-2))-(POWER(TAN((A36+$M$9)/2),2*$C$33+2)/(2*$C$33+2))-(POWER(TAN($E$33/2),2*$C$33-2)/(2*$C$33-2))+(POWER(TAN($E$33/2),2*$C$33+2)/(2*$C$33+2))))-$D$30</f>
        <v>-0.76513544066620331</v>
      </c>
      <c r="P36" s="75">
        <f>A36-N36/(O36-N36)*$M$9</f>
        <v>2.8171938330431483</v>
      </c>
      <c r="T36" s="120">
        <f t="shared" si="31"/>
        <v>1.214627140898529</v>
      </c>
      <c r="U36" s="120">
        <f t="shared" si="31"/>
        <v>0.25299596167522076</v>
      </c>
      <c r="W36" s="28"/>
      <c r="X36" s="28"/>
      <c r="Y36" s="28"/>
      <c r="Z36" s="28"/>
      <c r="AA36" s="28"/>
      <c r="AB36" s="20">
        <f>N19</f>
        <v>-1.262678850366683E-11</v>
      </c>
      <c r="AC36" s="20">
        <f>N46</f>
        <v>1.2323475573339238E-14</v>
      </c>
      <c r="AD36" s="20">
        <f>N73</f>
        <v>4.6074255521943996E-15</v>
      </c>
      <c r="AE36" s="20">
        <f>N100</f>
        <v>1.9706458687096529E-15</v>
      </c>
      <c r="AF36" s="20">
        <f>N127</f>
        <v>0</v>
      </c>
      <c r="AG36" s="20">
        <f>N154</f>
        <v>0</v>
      </c>
      <c r="AH36" s="20">
        <f>N181</f>
        <v>0</v>
      </c>
      <c r="AI36" s="20">
        <f>N208</f>
        <v>0</v>
      </c>
      <c r="AJ36" s="20"/>
    </row>
    <row r="37" spans="1:49">
      <c r="A37" s="19">
        <f>P36</f>
        <v>2.8171938330431483</v>
      </c>
      <c r="B37" s="26">
        <f>COS(A37)</f>
        <v>-0.94784251703617506</v>
      </c>
      <c r="C37" s="26">
        <f t="shared" si="32"/>
        <v>0.22925097059051436</v>
      </c>
      <c r="D37" s="26">
        <f t="shared" si="33"/>
        <v>8.4204459830644627</v>
      </c>
      <c r="E37" s="26">
        <f>SIN(A37)</f>
        <v>0.31873902004387267</v>
      </c>
      <c r="F37" s="77">
        <f t="shared" si="34"/>
        <v>0.95216702777837214</v>
      </c>
      <c r="G37" s="77">
        <f t="shared" si="35"/>
        <v>0.16496733484340703</v>
      </c>
      <c r="H37" s="75">
        <f t="shared" si="36"/>
        <v>1.5494055945007521</v>
      </c>
      <c r="I37" s="75">
        <f t="shared" si="37"/>
        <v>-0.62300647810607168</v>
      </c>
      <c r="J37" s="77">
        <f t="shared" si="38"/>
        <v>-1.0251252988989468</v>
      </c>
      <c r="K37" s="77">
        <f t="shared" si="39"/>
        <v>3.0484417736243765</v>
      </c>
      <c r="L37" s="91">
        <f>SQRT(J37*J37+K37*K37)</f>
        <v>3.2161901569435827</v>
      </c>
      <c r="M37" s="93"/>
      <c r="N37" s="75">
        <f t="shared" si="40"/>
        <v>-5.5846402935902706E-2</v>
      </c>
      <c r="O37" s="75">
        <f t="shared" ref="O37:O46" si="41">-(-$I$30+0.5*$K$33*((POWER(TAN((A37+$M$9)/2),2*$C$33-2)/(2*$C$33-2))-(POWER(TAN((A37+$M$9)/2),2*$C$33+2)/(2*$C$33+2))-(POWER(TAN($E$33/2),2*$C$33-2)/(2*$C$33-2))+(POWER(TAN($E$33/2),2*$C$33+2)/(2*$C$33+2))))-$D$30</f>
        <v>-0.21834022090766558</v>
      </c>
      <c r="P37" s="75">
        <f t="shared" ref="P37:P46" si="42">A37-N37/(O37-N37)*$M$9</f>
        <v>2.816162783302925</v>
      </c>
      <c r="T37" s="120">
        <f t="shared" si="31"/>
        <v>1.1987412458149489</v>
      </c>
      <c r="U37" s="120">
        <f t="shared" si="31"/>
        <v>0.28594705633199824</v>
      </c>
    </row>
    <row r="38" spans="1:49">
      <c r="A38" s="19">
        <f t="shared" ref="A38:A46" si="43">P37</f>
        <v>2.816162783302925</v>
      </c>
      <c r="B38" s="26">
        <f t="shared" ref="B38:B46" si="44">COS(A38)</f>
        <v>-0.94751337750220777</v>
      </c>
      <c r="C38" s="26">
        <f t="shared" si="32"/>
        <v>0.22958011012448165</v>
      </c>
      <c r="D38" s="26">
        <f t="shared" si="33"/>
        <v>8.388493818557512</v>
      </c>
      <c r="E38" s="26">
        <f t="shared" ref="E38:E46" si="45">SIN(A38)</f>
        <v>0.31971612323178011</v>
      </c>
      <c r="F38" s="77">
        <f t="shared" si="34"/>
        <v>0.94701270327790199</v>
      </c>
      <c r="G38" s="77">
        <f t="shared" si="35"/>
        <v>0.18274367480866999</v>
      </c>
      <c r="H38" s="75">
        <f t="shared" si="36"/>
        <v>1.5312171754300743</v>
      </c>
      <c r="I38" s="75">
        <f t="shared" si="37"/>
        <v>-0.56901099852906989</v>
      </c>
      <c r="J38" s="77">
        <f t="shared" si="38"/>
        <v>-1.0212353657224222</v>
      </c>
      <c r="K38" s="77">
        <f t="shared" si="39"/>
        <v>3.0265416733420802</v>
      </c>
      <c r="L38" s="91">
        <f t="shared" ref="L38:L46" si="46">SQRT(J38*J38+K38*K38)</f>
        <v>3.1941941350955001</v>
      </c>
      <c r="M38" s="93"/>
      <c r="N38" s="75">
        <f t="shared" si="40"/>
        <v>-1.8509233589009133E-3</v>
      </c>
      <c r="O38" s="75">
        <f t="shared" si="41"/>
        <v>-0.16157178907360792</v>
      </c>
      <c r="P38" s="75">
        <f t="shared" si="42"/>
        <v>2.8161280178384889</v>
      </c>
      <c r="T38" s="120">
        <f t="shared" si="31"/>
        <v>1.1835594465974948</v>
      </c>
      <c r="U38" s="120">
        <f t="shared" si="31"/>
        <v>0.31676085891772437</v>
      </c>
    </row>
    <row r="39" spans="1:49">
      <c r="A39" s="19">
        <f t="shared" si="43"/>
        <v>2.8161280178384889</v>
      </c>
      <c r="B39" s="26">
        <f t="shared" si="44"/>
        <v>-0.947502261850098</v>
      </c>
      <c r="C39" s="26">
        <f t="shared" si="32"/>
        <v>0.22959122577659141</v>
      </c>
      <c r="D39" s="26">
        <f t="shared" si="33"/>
        <v>8.3874202537188207</v>
      </c>
      <c r="E39" s="26">
        <f t="shared" si="45"/>
        <v>0.31974906378119139</v>
      </c>
      <c r="F39" s="77">
        <f t="shared" si="34"/>
        <v>0.94683979643676286</v>
      </c>
      <c r="G39" s="77">
        <f t="shared" si="35"/>
        <v>0.18333999946578627</v>
      </c>
      <c r="H39" s="75">
        <f t="shared" si="36"/>
        <v>1.5306082265694338</v>
      </c>
      <c r="I39" s="75">
        <f t="shared" si="37"/>
        <v>-0.56720641613091916</v>
      </c>
      <c r="J39" s="77">
        <f t="shared" si="38"/>
        <v>-1.0211046673629329</v>
      </c>
      <c r="K39" s="77">
        <f t="shared" si="39"/>
        <v>3.0258070828133645</v>
      </c>
      <c r="L39" s="91">
        <f t="shared" si="46"/>
        <v>3.1934563162996121</v>
      </c>
      <c r="M39" s="93"/>
      <c r="N39" s="75">
        <f t="shared" si="40"/>
        <v>-4.6340960750179683E-5</v>
      </c>
      <c r="O39" s="75">
        <f t="shared" si="41"/>
        <v>-0.15967468586674249</v>
      </c>
      <c r="P39" s="75">
        <f t="shared" si="42"/>
        <v>2.8161271469224727</v>
      </c>
      <c r="T39" s="101">
        <f t="shared" ref="T39:U44" si="47">H184</f>
        <v>1.1833859849418729</v>
      </c>
      <c r="U39" s="101">
        <f t="shared" si="47"/>
        <v>0.31710907748474176</v>
      </c>
    </row>
    <row r="40" spans="1:49">
      <c r="A40" s="19">
        <f t="shared" si="43"/>
        <v>2.8161271469224727</v>
      </c>
      <c r="B40" s="26">
        <f t="shared" si="44"/>
        <v>-0.94750198337515779</v>
      </c>
      <c r="C40" s="26">
        <f t="shared" si="32"/>
        <v>0.22959150425153163</v>
      </c>
      <c r="D40" s="26">
        <f t="shared" si="33"/>
        <v>8.387393362833528</v>
      </c>
      <c r="E40" s="26">
        <f t="shared" si="45"/>
        <v>0.31974988897596535</v>
      </c>
      <c r="F40" s="77">
        <f t="shared" si="34"/>
        <v>0.94683546565733634</v>
      </c>
      <c r="G40" s="77">
        <f t="shared" si="35"/>
        <v>0.18335493554662352</v>
      </c>
      <c r="H40" s="75">
        <f t="shared" si="36"/>
        <v>1.5305929752920264</v>
      </c>
      <c r="I40" s="75">
        <f t="shared" si="37"/>
        <v>-0.56716122256913037</v>
      </c>
      <c r="J40" s="77">
        <f t="shared" si="38"/>
        <v>-1.0211013936020332</v>
      </c>
      <c r="K40" s="77">
        <f t="shared" si="39"/>
        <v>3.0257886836601453</v>
      </c>
      <c r="L40" s="91">
        <f t="shared" si="46"/>
        <v>3.193437836279549</v>
      </c>
      <c r="M40" s="93"/>
      <c r="N40" s="75">
        <f t="shared" si="40"/>
        <v>-1.1473989613985935E-6</v>
      </c>
      <c r="O40" s="75">
        <f t="shared" si="41"/>
        <v>-0.15962717536264615</v>
      </c>
      <c r="P40" s="75">
        <f t="shared" si="42"/>
        <v>2.81612712535834</v>
      </c>
      <c r="T40" s="101">
        <f t="shared" si="47"/>
        <v>1.1539423494616767</v>
      </c>
      <c r="U40" s="101">
        <f t="shared" si="47"/>
        <v>0.37550061333480028</v>
      </c>
    </row>
    <row r="41" spans="1:49">
      <c r="A41" s="19">
        <f t="shared" si="43"/>
        <v>2.81612712535834</v>
      </c>
      <c r="B41" s="26">
        <f t="shared" si="44"/>
        <v>-0.94750197648002854</v>
      </c>
      <c r="C41" s="26">
        <f t="shared" si="32"/>
        <v>0.22959151114666088</v>
      </c>
      <c r="D41" s="26">
        <f t="shared" si="33"/>
        <v>8.3873926970093997</v>
      </c>
      <c r="E41" s="26">
        <f t="shared" si="45"/>
        <v>0.31974990940802378</v>
      </c>
      <c r="F41" s="77">
        <f t="shared" si="34"/>
        <v>0.94683535842644384</v>
      </c>
      <c r="G41" s="77">
        <f t="shared" si="35"/>
        <v>0.18335530536672304</v>
      </c>
      <c r="H41" s="75">
        <f t="shared" si="36"/>
        <v>1.5305925976682215</v>
      </c>
      <c r="I41" s="75">
        <f t="shared" si="37"/>
        <v>-0.56716010357174007</v>
      </c>
      <c r="J41" s="77">
        <f t="shared" si="38"/>
        <v>-1.021101312543006</v>
      </c>
      <c r="K41" s="77">
        <f t="shared" si="39"/>
        <v>3.0257882280937758</v>
      </c>
      <c r="L41" s="91">
        <f t="shared" si="46"/>
        <v>3.1934373787108963</v>
      </c>
      <c r="M41" s="93"/>
      <c r="N41" s="75">
        <f t="shared" si="40"/>
        <v>-2.8401571094960332E-8</v>
      </c>
      <c r="O41" s="75">
        <f t="shared" si="41"/>
        <v>-0.159625998997594</v>
      </c>
      <c r="P41" s="75">
        <f t="shared" si="42"/>
        <v>2.8161271248245625</v>
      </c>
      <c r="T41" s="101">
        <f t="shared" si="47"/>
        <v>1.1261852661861482</v>
      </c>
      <c r="U41" s="101">
        <f t="shared" si="47"/>
        <v>0.42923261969236226</v>
      </c>
    </row>
    <row r="42" spans="1:49">
      <c r="A42" s="19">
        <f t="shared" si="43"/>
        <v>2.8161271248245625</v>
      </c>
      <c r="B42" s="26">
        <f t="shared" si="44"/>
        <v>-0.94750197630935329</v>
      </c>
      <c r="C42" s="26">
        <f t="shared" si="32"/>
        <v>0.22959151131733613</v>
      </c>
      <c r="D42" s="26">
        <f t="shared" si="33"/>
        <v>8.3873926805282384</v>
      </c>
      <c r="E42" s="26">
        <f t="shared" si="45"/>
        <v>0.31974990991377894</v>
      </c>
      <c r="F42" s="77">
        <f t="shared" si="34"/>
        <v>0.94683535577215505</v>
      </c>
      <c r="G42" s="77">
        <f t="shared" si="35"/>
        <v>0.18335531452088863</v>
      </c>
      <c r="H42" s="75">
        <f t="shared" si="36"/>
        <v>1.530592588320892</v>
      </c>
      <c r="I42" s="75">
        <f t="shared" si="37"/>
        <v>-0.56716007587317463</v>
      </c>
      <c r="J42" s="77">
        <f t="shared" si="38"/>
        <v>-1.0211013105365498</v>
      </c>
      <c r="K42" s="77">
        <f t="shared" si="39"/>
        <v>3.0257882168171313</v>
      </c>
      <c r="L42" s="91">
        <f t="shared" si="46"/>
        <v>3.1934373673846892</v>
      </c>
      <c r="M42" s="93"/>
      <c r="N42" s="75">
        <f t="shared" si="40"/>
        <v>-7.0300565369052492E-10</v>
      </c>
      <c r="O42" s="75">
        <f t="shared" si="41"/>
        <v>-0.15962596987901334</v>
      </c>
      <c r="P42" s="75">
        <f t="shared" si="42"/>
        <v>2.8161271248113504</v>
      </c>
      <c r="T42" s="101">
        <f t="shared" si="47"/>
        <v>1.0999841635886038</v>
      </c>
      <c r="U42" s="101">
        <f t="shared" si="47"/>
        <v>0.47875762012609335</v>
      </c>
    </row>
    <row r="43" spans="1:49">
      <c r="A43" s="19">
        <f t="shared" si="43"/>
        <v>2.8161271248113504</v>
      </c>
      <c r="B43" s="26">
        <f t="shared" si="44"/>
        <v>-0.94750197630512867</v>
      </c>
      <c r="C43" s="26">
        <f t="shared" si="32"/>
        <v>0.22959151132156075</v>
      </c>
      <c r="D43" s="26">
        <f t="shared" si="33"/>
        <v>8.3873926801202963</v>
      </c>
      <c r="E43" s="26">
        <f t="shared" si="45"/>
        <v>0.31974990992629743</v>
      </c>
      <c r="F43" s="77">
        <f t="shared" si="34"/>
        <v>0.94683535570645605</v>
      </c>
      <c r="G43" s="77">
        <f t="shared" si="35"/>
        <v>0.18335531474747269</v>
      </c>
      <c r="H43" s="75">
        <f t="shared" si="36"/>
        <v>1.5305925880895253</v>
      </c>
      <c r="I43" s="75">
        <f t="shared" si="37"/>
        <v>-0.56716007518758049</v>
      </c>
      <c r="J43" s="77">
        <f t="shared" si="38"/>
        <v>-1.0211013104868858</v>
      </c>
      <c r="K43" s="77">
        <f t="shared" si="39"/>
        <v>3.0257882165380106</v>
      </c>
      <c r="L43" s="91">
        <f t="shared" si="46"/>
        <v>3.1934373671043419</v>
      </c>
      <c r="M43" s="93"/>
      <c r="N43" s="75">
        <f t="shared" si="40"/>
        <v>-1.7411516672893868E-11</v>
      </c>
      <c r="O43" s="75">
        <f t="shared" si="41"/>
        <v>-0.15962596915826321</v>
      </c>
      <c r="P43" s="75">
        <f t="shared" si="42"/>
        <v>2.8161271248110231</v>
      </c>
      <c r="T43" s="101">
        <f t="shared" si="47"/>
        <v>1.0752209439450278</v>
      </c>
      <c r="U43" s="101">
        <f t="shared" si="47"/>
        <v>0.52447642163292174</v>
      </c>
    </row>
    <row r="44" spans="1:49">
      <c r="A44" s="19">
        <f>P43</f>
        <v>2.8161271248110231</v>
      </c>
      <c r="B44" s="26">
        <f t="shared" si="44"/>
        <v>-0.94750197630502409</v>
      </c>
      <c r="C44" s="26">
        <f t="shared" si="32"/>
        <v>0.22959151132166533</v>
      </c>
      <c r="D44" s="26">
        <f t="shared" si="33"/>
        <v>8.3873926801101906</v>
      </c>
      <c r="E44" s="26">
        <f t="shared" si="45"/>
        <v>0.31974990992660757</v>
      </c>
      <c r="F44" s="77">
        <f t="shared" si="34"/>
        <v>0.94683535570482824</v>
      </c>
      <c r="G44" s="77">
        <f t="shared" si="35"/>
        <v>0.1833553147530867</v>
      </c>
      <c r="H44" s="75">
        <f t="shared" si="36"/>
        <v>1.5305925880837949</v>
      </c>
      <c r="I44" s="75">
        <f t="shared" si="37"/>
        <v>-0.56716007517059641</v>
      </c>
      <c r="J44" s="77">
        <f t="shared" si="38"/>
        <v>-1.0211013104856554</v>
      </c>
      <c r="K44" s="77">
        <f t="shared" si="39"/>
        <v>3.0257882165310965</v>
      </c>
      <c r="L44" s="91">
        <f t="shared" si="46"/>
        <v>3.1934373670973972</v>
      </c>
      <c r="M44" s="93"/>
      <c r="N44" s="75">
        <f t="shared" si="40"/>
        <v>-4.2743586448068527E-13</v>
      </c>
      <c r="O44" s="75">
        <f t="shared" si="41"/>
        <v>-0.15962596914040905</v>
      </c>
      <c r="P44" s="75">
        <f t="shared" si="42"/>
        <v>2.8161271248110151</v>
      </c>
      <c r="T44" s="101">
        <f t="shared" si="47"/>
        <v>1.0517885759754571</v>
      </c>
      <c r="U44" s="101">
        <f t="shared" si="47"/>
        <v>0.56674488175881954</v>
      </c>
    </row>
    <row r="45" spans="1:49">
      <c r="A45" s="19">
        <f t="shared" si="43"/>
        <v>2.8161271248110151</v>
      </c>
      <c r="B45" s="26">
        <f t="shared" si="44"/>
        <v>-0.94750197630502153</v>
      </c>
      <c r="C45" s="26">
        <f t="shared" si="32"/>
        <v>0.22959151132166788</v>
      </c>
      <c r="D45" s="26">
        <f t="shared" si="33"/>
        <v>8.3873926801099454</v>
      </c>
      <c r="E45" s="26">
        <f t="shared" si="45"/>
        <v>0.31974990992661512</v>
      </c>
      <c r="F45" s="77">
        <f t="shared" si="34"/>
        <v>0.94683535570478883</v>
      </c>
      <c r="G45" s="77">
        <f t="shared" si="35"/>
        <v>0.18335531475322264</v>
      </c>
      <c r="H45" s="75">
        <f t="shared" si="36"/>
        <v>1.5305925880836553</v>
      </c>
      <c r="I45" s="75">
        <f t="shared" si="37"/>
        <v>-0.56716007517018419</v>
      </c>
      <c r="J45" s="77">
        <f t="shared" si="38"/>
        <v>-1.0211013104856259</v>
      </c>
      <c r="K45" s="77">
        <f t="shared" si="39"/>
        <v>3.0257882165309291</v>
      </c>
      <c r="L45" s="91">
        <f t="shared" si="46"/>
        <v>3.1934373670972294</v>
      </c>
      <c r="M45" s="93"/>
      <c r="N45" s="75">
        <f t="shared" si="40"/>
        <v>-1.5210055437364645E-14</v>
      </c>
      <c r="O45" s="75">
        <f t="shared" si="41"/>
        <v>-0.15962596913997207</v>
      </c>
      <c r="P45" s="75">
        <f t="shared" si="42"/>
        <v>2.8161271248110147</v>
      </c>
      <c r="T45" s="119">
        <f t="shared" ref="T45:U50" si="48">H211</f>
        <v>1.0515556822527083</v>
      </c>
      <c r="U45" s="119">
        <f t="shared" si="48"/>
        <v>0.56716007517016964</v>
      </c>
    </row>
    <row r="46" spans="1:49">
      <c r="A46" s="19">
        <f t="shared" si="43"/>
        <v>2.8161271248110147</v>
      </c>
      <c r="B46" s="26">
        <f t="shared" si="44"/>
        <v>-0.94750197630502131</v>
      </c>
      <c r="C46" s="26">
        <f t="shared" si="32"/>
        <v>0.22959151132166811</v>
      </c>
      <c r="D46" s="26">
        <f t="shared" si="33"/>
        <v>8.3873926801099312</v>
      </c>
      <c r="E46" s="26">
        <f t="shared" si="45"/>
        <v>0.31974990992661556</v>
      </c>
      <c r="F46" s="77">
        <f t="shared" si="34"/>
        <v>0.94683535570478683</v>
      </c>
      <c r="G46" s="77">
        <f t="shared" si="35"/>
        <v>0.18335531475322953</v>
      </c>
      <c r="H46" s="81">
        <f t="shared" si="36"/>
        <v>1.5305925880836462</v>
      </c>
      <c r="I46" s="81">
        <f t="shared" si="37"/>
        <v>-0.56716007517015665</v>
      </c>
      <c r="J46" s="80">
        <f t="shared" si="38"/>
        <v>-1.0211013104856241</v>
      </c>
      <c r="K46" s="80">
        <f t="shared" si="39"/>
        <v>3.0257882165309189</v>
      </c>
      <c r="L46" s="91">
        <f t="shared" si="46"/>
        <v>3.1934373670972187</v>
      </c>
      <c r="M46" s="93"/>
      <c r="N46" s="75">
        <f t="shared" si="40"/>
        <v>1.2323475573339238E-14</v>
      </c>
      <c r="O46" s="75">
        <f t="shared" si="41"/>
        <v>-0.1596259691399512</v>
      </c>
      <c r="P46" s="75">
        <f t="shared" si="42"/>
        <v>2.8161271248110151</v>
      </c>
      <c r="T46" s="119">
        <f t="shared" si="48"/>
        <v>0.96131116468951872</v>
      </c>
      <c r="U46" s="119">
        <f t="shared" si="48"/>
        <v>0.72494453934039249</v>
      </c>
    </row>
    <row r="47" spans="1:49">
      <c r="A47" s="88" t="s">
        <v>60</v>
      </c>
      <c r="B47" s="8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T47" s="119">
        <f t="shared" si="48"/>
        <v>0.88272263934546225</v>
      </c>
      <c r="U47" s="119">
        <f t="shared" si="48"/>
        <v>0.85706172784072288</v>
      </c>
    </row>
    <row r="48" spans="1:49">
      <c r="A48" s="26" t="s">
        <v>11</v>
      </c>
      <c r="B48" s="26" t="s">
        <v>13</v>
      </c>
      <c r="C48" s="26" t="s">
        <v>22</v>
      </c>
      <c r="D48" s="26" t="s">
        <v>18</v>
      </c>
      <c r="E48" s="26" t="s">
        <v>19</v>
      </c>
      <c r="F48" s="26" t="s">
        <v>20</v>
      </c>
      <c r="G48" s="26" t="s">
        <v>2</v>
      </c>
      <c r="H48" s="26" t="s">
        <v>1</v>
      </c>
      <c r="I48" s="26" t="s">
        <v>0</v>
      </c>
      <c r="J48" s="76" t="s">
        <v>3</v>
      </c>
      <c r="K48" s="76" t="s">
        <v>4</v>
      </c>
      <c r="L48" s="44" t="s">
        <v>7</v>
      </c>
      <c r="M48" s="28"/>
      <c r="N48" s="28"/>
      <c r="O48" s="28"/>
      <c r="P48" s="31"/>
      <c r="T48" s="119">
        <f t="shared" si="48"/>
        <v>0.81397662718324471</v>
      </c>
      <c r="U48" s="119">
        <f t="shared" si="48"/>
        <v>0.96826519703478686</v>
      </c>
    </row>
    <row r="49" spans="1:52">
      <c r="A49" s="19">
        <f>$E33</f>
        <v>2.8262990441847857</v>
      </c>
      <c r="B49" s="26">
        <f t="shared" ref="B49:B54" si="49">COS(A49)</f>
        <v>-0.95070537290317603</v>
      </c>
      <c r="C49" s="26">
        <f t="shared" ref="C49:C54" si="50">($C$33+B49)</f>
        <v>0.22638811472351339</v>
      </c>
      <c r="D49" s="26">
        <f t="shared" ref="D49:D54" si="51">POWER(TAN(A49/2),$C$33)</f>
        <v>8.712442318673979</v>
      </c>
      <c r="E49" s="26">
        <f t="shared" ref="E49:E54" si="52">SIN(A49)</f>
        <v>0.31009562062859414</v>
      </c>
      <c r="F49" s="77">
        <f t="shared" ref="F49:F54" si="53">(C49*$H$33*D49/E49/$I$33/$J$33)</f>
        <v>0.99999999999999978</v>
      </c>
      <c r="G49" s="77">
        <f t="shared" ref="G49:G54" si="54">$D$33*($C$33+$G$33)/9.81/SIN($C$30)/(1-$C$33*$C$33)*(F49-1)</f>
        <v>7.6579198384576289E-16</v>
      </c>
      <c r="H49" s="108">
        <f t="shared" ref="H49:H54" si="55">-(-$H$30+$K$33*((POWER(TAN(A49/2),2*$C$33-1)/(2*$C$33-1))+(POWER(TAN(A49/2),2*$C$33+1)/(2*$C$33+1))-(POWER(TAN($E$33/2),2*$C$33-1)/(2*$C$33-1))-(POWER(TAN($E$33/2),2*$C$33+1)/(2*$C$33+1))))</f>
        <v>1.7214633740953527</v>
      </c>
      <c r="I49" s="108">
        <f t="shared" ref="I49:I54" si="56">-(-$I$30+0.5*$K$33*((POWER(TAN(A49/2),2*$C$33-2)/(2*$C$33-2))-(POWER(TAN(A49/2),2*$C$33+2)/(2*$C$33+2))-(POWER(TAN($E$33/2),2*$C$33-2)/(2*$C$33-2))+(POWER(TAN($E$33/2),2*$C$33+2)/(2*$C$33+2))))</f>
        <v>-1.1426741787823438</v>
      </c>
      <c r="J49" s="77">
        <f t="shared" ref="J49:J54" si="57">-$D$33*SIN(A49)*($C$33+$G$33)/($C$33+B49)*F49</f>
        <v>-1.0606736334433557</v>
      </c>
      <c r="K49" s="77">
        <f t="shared" ref="K49:K54" si="58">-$D$33*COS(A49)*($C$33+$G$33)/($C$33+B49)*F49</f>
        <v>3.251861861729072</v>
      </c>
      <c r="L49" s="91">
        <f t="shared" ref="L49:L54" si="59">SQRT(J49*J49+K49*K49)</f>
        <v>3.4204727925317573</v>
      </c>
      <c r="M49" s="28"/>
      <c r="N49" s="28"/>
      <c r="O49" s="28"/>
      <c r="P49" s="31"/>
      <c r="Q49" s="28"/>
      <c r="T49" s="119">
        <f t="shared" si="48"/>
        <v>0.75358600853273394</v>
      </c>
      <c r="U49" s="119">
        <f t="shared" si="48"/>
        <v>1.0623229474010185</v>
      </c>
    </row>
    <row r="50" spans="1:52">
      <c r="A50" s="20">
        <f>A49-$F$33</f>
        <v>2.8242846603100316</v>
      </c>
      <c r="B50" s="26">
        <f t="shared" si="49"/>
        <v>-0.95007879284969965</v>
      </c>
      <c r="C50" s="26">
        <f t="shared" si="50"/>
        <v>0.22701469477698977</v>
      </c>
      <c r="D50" s="26">
        <f t="shared" si="51"/>
        <v>8.6462807322022694</v>
      </c>
      <c r="E50" s="26">
        <f t="shared" si="52"/>
        <v>0.31201007576239831</v>
      </c>
      <c r="F50" s="77">
        <f t="shared" si="53"/>
        <v>0.98904665345894749</v>
      </c>
      <c r="G50" s="77">
        <f t="shared" si="54"/>
        <v>3.7776126018710311E-2</v>
      </c>
      <c r="H50" s="108">
        <f t="shared" si="55"/>
        <v>1.6815472143125405</v>
      </c>
      <c r="I50" s="108">
        <f t="shared" si="56"/>
        <v>-1.020711854292637</v>
      </c>
      <c r="J50" s="77">
        <f t="shared" si="57"/>
        <v>-1.0526189631510878</v>
      </c>
      <c r="K50" s="77">
        <f t="shared" si="58"/>
        <v>3.2052521105211405</v>
      </c>
      <c r="L50" s="91">
        <f t="shared" si="59"/>
        <v>3.3736697783845853</v>
      </c>
      <c r="M50" s="28"/>
      <c r="N50" s="28"/>
      <c r="O50" s="28"/>
      <c r="P50" s="31"/>
      <c r="R50" s="28"/>
      <c r="T50" s="119">
        <f t="shared" si="48"/>
        <v>0.70032383425117595</v>
      </c>
      <c r="U50" s="119">
        <f t="shared" si="48"/>
        <v>1.1422426502792233</v>
      </c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</row>
    <row r="51" spans="1:52">
      <c r="A51" s="20">
        <f>A50-$F$33</f>
        <v>2.8222702764352774</v>
      </c>
      <c r="B51" s="26">
        <f t="shared" si="49"/>
        <v>-0.94944835762253066</v>
      </c>
      <c r="C51" s="26">
        <f t="shared" si="50"/>
        <v>0.22764513000415876</v>
      </c>
      <c r="D51" s="26">
        <f t="shared" si="51"/>
        <v>8.5810215674460935</v>
      </c>
      <c r="E51" s="26">
        <f t="shared" si="52"/>
        <v>0.31392326484011857</v>
      </c>
      <c r="F51" s="77">
        <f t="shared" si="53"/>
        <v>0.97830877552402817</v>
      </c>
      <c r="G51" s="77">
        <f t="shared" si="54"/>
        <v>7.4809139492970689E-2</v>
      </c>
      <c r="H51" s="108">
        <f t="shared" si="55"/>
        <v>1.6427125222624841</v>
      </c>
      <c r="I51" s="108">
        <f t="shared" si="56"/>
        <v>-0.90285753595146134</v>
      </c>
      <c r="J51" s="77">
        <f t="shared" si="57"/>
        <v>-1.0446741558438357</v>
      </c>
      <c r="K51" s="77">
        <f t="shared" si="58"/>
        <v>3.1595751975304887</v>
      </c>
      <c r="L51" s="91">
        <f t="shared" si="59"/>
        <v>3.3278010037767971</v>
      </c>
      <c r="M51" s="45"/>
      <c r="N51" s="28"/>
      <c r="O51" s="28"/>
      <c r="P51" s="31"/>
      <c r="S51" s="28"/>
      <c r="T51" s="110">
        <f>H227</f>
        <v>0.7000307287342773</v>
      </c>
      <c r="U51" s="110">
        <f>I227</f>
        <v>1.1426741787697163</v>
      </c>
      <c r="V51" s="28"/>
      <c r="AM51" s="28"/>
      <c r="AN51" s="28"/>
      <c r="AO51" s="28"/>
      <c r="AP51" s="28"/>
      <c r="AQ51" s="28"/>
      <c r="AR51" s="28"/>
    </row>
    <row r="52" spans="1:52">
      <c r="A52" s="20">
        <f>A51-$F$33</f>
        <v>2.8202558925605232</v>
      </c>
      <c r="B52" s="26">
        <f t="shared" si="49"/>
        <v>-0.94881406977981186</v>
      </c>
      <c r="C52" s="26">
        <f t="shared" si="50"/>
        <v>0.22827941784687755</v>
      </c>
      <c r="D52" s="26">
        <f t="shared" si="51"/>
        <v>8.5166468672918025</v>
      </c>
      <c r="E52" s="26">
        <f t="shared" si="52"/>
        <v>0.31583518009852907</v>
      </c>
      <c r="F52" s="77">
        <f t="shared" si="53"/>
        <v>0.96778076771948884</v>
      </c>
      <c r="G52" s="77">
        <f t="shared" si="54"/>
        <v>0.11111834856068888</v>
      </c>
      <c r="H52" s="108">
        <f t="shared" si="55"/>
        <v>1.6049233659496303</v>
      </c>
      <c r="I52" s="108">
        <f t="shared" si="56"/>
        <v>-0.7889486603710274</v>
      </c>
      <c r="J52" s="77">
        <f t="shared" si="57"/>
        <v>-1.0368370253794963</v>
      </c>
      <c r="K52" s="77">
        <f t="shared" si="58"/>
        <v>3.114806771816284</v>
      </c>
      <c r="L52" s="91">
        <f t="shared" si="59"/>
        <v>3.2828420983882824</v>
      </c>
      <c r="M52" s="45"/>
      <c r="N52" s="28"/>
      <c r="O52" s="28"/>
      <c r="P52" s="31"/>
      <c r="T52" s="110">
        <f t="shared" ref="T52:U63" si="60">H228</f>
        <v>0.3890354970224848</v>
      </c>
      <c r="U52" s="110">
        <f t="shared" si="60"/>
        <v>1.5896153506995181</v>
      </c>
      <c r="AF52" s="7"/>
      <c r="AG52" s="7"/>
      <c r="AH52" s="7"/>
      <c r="AI52" s="7"/>
      <c r="AJ52" s="7"/>
      <c r="AK52" s="7"/>
      <c r="AL52" s="7"/>
      <c r="AR52" s="28"/>
      <c r="AS52" s="7"/>
      <c r="AT52" s="7"/>
      <c r="AU52" s="7"/>
      <c r="AV52" s="7"/>
      <c r="AW52" s="7"/>
      <c r="AX52" s="7"/>
      <c r="AY52" s="7"/>
      <c r="AZ52" s="7"/>
    </row>
    <row r="53" spans="1:52">
      <c r="A53" s="20">
        <f>A52-$F$33</f>
        <v>2.8182415086857691</v>
      </c>
      <c r="B53" s="26">
        <f t="shared" si="49"/>
        <v>-0.94817593189531924</v>
      </c>
      <c r="C53" s="26">
        <f t="shared" si="50"/>
        <v>0.22891755573137018</v>
      </c>
      <c r="D53" s="26">
        <f t="shared" si="51"/>
        <v>8.4531391415995305</v>
      </c>
      <c r="E53" s="26">
        <f t="shared" si="52"/>
        <v>0.31774581377957284</v>
      </c>
      <c r="F53" s="77">
        <f t="shared" si="53"/>
        <v>0.95745721115155236</v>
      </c>
      <c r="G53" s="77">
        <f t="shared" si="54"/>
        <v>0.14672244201377335</v>
      </c>
      <c r="H53" s="108">
        <f t="shared" si="55"/>
        <v>1.568145223248534</v>
      </c>
      <c r="I53" s="108">
        <f t="shared" si="56"/>
        <v>-0.67883005142475406</v>
      </c>
      <c r="J53" s="77">
        <f t="shared" si="57"/>
        <v>-1.029105442466475</v>
      </c>
      <c r="K53" s="77">
        <f t="shared" si="58"/>
        <v>3.0709232651169076</v>
      </c>
      <c r="L53" s="91">
        <f t="shared" si="59"/>
        <v>3.238769474962738</v>
      </c>
      <c r="M53" s="45"/>
      <c r="N53" s="28"/>
      <c r="O53" s="28"/>
      <c r="P53" s="89"/>
      <c r="T53" s="110">
        <f t="shared" si="60"/>
        <v>0.22904507305454291</v>
      </c>
      <c r="U53" s="110">
        <f t="shared" si="60"/>
        <v>1.807474809580647</v>
      </c>
      <c r="AF53" s="7"/>
      <c r="AG53" s="7"/>
      <c r="AH53" s="7"/>
      <c r="AI53" s="7"/>
      <c r="AJ53" s="7"/>
      <c r="AK53" s="7"/>
      <c r="AL53" s="7"/>
      <c r="AM53" s="7"/>
      <c r="AN53" s="7"/>
      <c r="AR53" s="28"/>
      <c r="AS53" s="14"/>
      <c r="AT53" s="83"/>
      <c r="AU53" s="83"/>
      <c r="AV53" s="83"/>
      <c r="AW53" s="83"/>
      <c r="AX53" s="83"/>
      <c r="AY53" s="83"/>
      <c r="AZ53" s="7"/>
    </row>
    <row r="54" spans="1:52">
      <c r="A54" s="20">
        <f>A53-$F$33</f>
        <v>2.8162271248110149</v>
      </c>
      <c r="B54" s="26">
        <f t="shared" si="49"/>
        <v>-0.94753394655845091</v>
      </c>
      <c r="C54" s="26">
        <f t="shared" si="50"/>
        <v>0.2295595410682385</v>
      </c>
      <c r="D54" s="26">
        <f t="shared" si="51"/>
        <v>8.3904813522446027</v>
      </c>
      <c r="E54" s="26">
        <f t="shared" si="52"/>
        <v>0.31965515813039325</v>
      </c>
      <c r="F54" s="77">
        <f t="shared" si="53"/>
        <v>0.94733285967193404</v>
      </c>
      <c r="G54" s="77">
        <f t="shared" si="54"/>
        <v>0.18163951287593813</v>
      </c>
      <c r="H54" s="108">
        <f t="shared" si="55"/>
        <v>1.53234491823495</v>
      </c>
      <c r="I54" s="108">
        <f t="shared" si="56"/>
        <v>-0.57235354156544471</v>
      </c>
      <c r="J54" s="77">
        <f t="shared" si="57"/>
        <v>-1.0214773328425899</v>
      </c>
      <c r="K54" s="77">
        <f t="shared" si="58"/>
        <v>3.0279018620232048</v>
      </c>
      <c r="L54" s="91">
        <f t="shared" si="59"/>
        <v>3.1955602994709396</v>
      </c>
      <c r="M54" s="45"/>
      <c r="N54" s="28"/>
      <c r="O54" s="28"/>
      <c r="P54" s="28"/>
      <c r="T54" s="110">
        <f t="shared" si="60"/>
        <v>0.14474176188125309</v>
      </c>
      <c r="U54" s="110">
        <f t="shared" si="60"/>
        <v>1.9163399125423721</v>
      </c>
      <c r="AF54" s="7"/>
      <c r="AG54" s="7"/>
      <c r="AH54" s="7"/>
      <c r="AI54" s="7"/>
      <c r="AJ54" s="7"/>
      <c r="AK54" s="7"/>
      <c r="AL54" s="7"/>
      <c r="AM54" s="7"/>
      <c r="AN54" s="7"/>
      <c r="AR54" s="28"/>
      <c r="AS54" s="7"/>
      <c r="AT54" s="83"/>
      <c r="AU54" s="83"/>
      <c r="AV54" s="83"/>
      <c r="AW54" s="83"/>
      <c r="AX54" s="83"/>
      <c r="AY54" s="83"/>
      <c r="AZ54" s="7"/>
    </row>
    <row r="55" spans="1:5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18"/>
      <c r="T55" s="110">
        <f t="shared" si="60"/>
        <v>9.9330239214305394E-2</v>
      </c>
      <c r="U55" s="110">
        <f t="shared" si="60"/>
        <v>1.9719914448072531</v>
      </c>
      <c r="AF55" s="7"/>
      <c r="AG55" s="7"/>
      <c r="AH55" s="7"/>
      <c r="AI55" s="7"/>
      <c r="AJ55" s="7"/>
      <c r="AK55" s="7"/>
      <c r="AL55" s="7"/>
      <c r="AM55" s="7"/>
      <c r="AN55" s="7"/>
      <c r="AR55" s="28"/>
      <c r="AS55" s="7"/>
      <c r="AT55" s="83"/>
      <c r="AU55" s="83"/>
      <c r="AV55" s="83"/>
      <c r="AW55" s="83"/>
      <c r="AX55" s="83"/>
      <c r="AY55" s="83"/>
      <c r="AZ55" s="7"/>
    </row>
    <row r="56" spans="1:52">
      <c r="A56" s="88" t="s">
        <v>73</v>
      </c>
      <c r="B56" s="88"/>
      <c r="C56" s="23" t="str">
        <f>CONCATENATE("m",Stufengrün!Z46)</f>
        <v>m-2</v>
      </c>
      <c r="D56" s="23" t="s">
        <v>30</v>
      </c>
      <c r="E56" s="28"/>
      <c r="F56" s="28"/>
      <c r="G56" s="28"/>
      <c r="H56" s="36" t="s">
        <v>57</v>
      </c>
      <c r="I56" s="36" t="s">
        <v>51</v>
      </c>
      <c r="J56" s="36" t="s">
        <v>58</v>
      </c>
      <c r="K56" s="36" t="s">
        <v>59</v>
      </c>
      <c r="L56" s="28"/>
      <c r="M56" s="28"/>
      <c r="N56" s="28"/>
      <c r="O56" s="28"/>
      <c r="P56" s="28"/>
      <c r="Q56" s="18"/>
      <c r="T56" s="110">
        <f t="shared" si="60"/>
        <v>7.4366477115366481E-2</v>
      </c>
      <c r="U56" s="110">
        <f t="shared" si="60"/>
        <v>2.0010401948171754</v>
      </c>
      <c r="AF56" s="7"/>
      <c r="AG56" s="7"/>
      <c r="AH56" s="7"/>
      <c r="AI56" s="7"/>
      <c r="AJ56" s="7"/>
      <c r="AK56" s="7"/>
      <c r="AL56" s="7"/>
      <c r="AM56" s="7"/>
      <c r="AN56" s="7"/>
      <c r="AR56" s="28"/>
      <c r="AS56" s="7"/>
      <c r="AT56" s="83"/>
      <c r="AU56" s="83"/>
      <c r="AV56" s="83"/>
      <c r="AW56" s="83"/>
      <c r="AX56" s="83"/>
      <c r="AY56" s="83"/>
      <c r="AZ56" s="7"/>
    </row>
    <row r="57" spans="1:52">
      <c r="A57" s="88" t="s">
        <v>69</v>
      </c>
      <c r="B57" s="88"/>
      <c r="C57" s="36">
        <f>Stufengrün!AA46</f>
        <v>0.14505155745746634</v>
      </c>
      <c r="D57" s="26">
        <f>Stufengrün!AC46</f>
        <v>-0.31710907748474215</v>
      </c>
      <c r="E57" s="28"/>
      <c r="F57" s="28"/>
      <c r="G57" s="28"/>
      <c r="H57" s="78">
        <f>H46</f>
        <v>1.5305925880836462</v>
      </c>
      <c r="I57" s="78">
        <f>I46</f>
        <v>-0.56716007517015665</v>
      </c>
      <c r="J57" s="78">
        <f>J46</f>
        <v>-1.0211013104856241</v>
      </c>
      <c r="K57" s="78">
        <f>K46</f>
        <v>3.0257882165309189</v>
      </c>
      <c r="L57" s="28"/>
      <c r="M57" s="28"/>
      <c r="N57" s="28"/>
      <c r="O57" s="28"/>
      <c r="P57" s="28"/>
      <c r="Q57" s="18"/>
      <c r="T57" s="110">
        <f t="shared" si="60"/>
        <v>6.0383275637802769E-2</v>
      </c>
      <c r="U57" s="110">
        <f t="shared" si="60"/>
        <v>2.0164965483402972</v>
      </c>
      <c r="AF57" s="7"/>
      <c r="AG57" s="7"/>
      <c r="AH57" s="7"/>
      <c r="AI57" s="7"/>
      <c r="AJ57" s="7"/>
      <c r="AK57" s="7"/>
      <c r="AL57" s="7"/>
      <c r="AM57" s="7"/>
      <c r="AN57" s="7"/>
      <c r="AR57" s="28"/>
      <c r="AS57" s="7"/>
      <c r="AT57" s="83"/>
      <c r="AU57" s="83"/>
      <c r="AV57" s="83"/>
      <c r="AW57" s="83"/>
      <c r="AX57" s="83"/>
      <c r="AY57" s="83"/>
      <c r="AZ57" s="7"/>
    </row>
    <row r="58" spans="1:52">
      <c r="A58" s="95"/>
      <c r="B58" s="95"/>
      <c r="C58" s="28"/>
      <c r="D58" s="28"/>
      <c r="E58" s="28"/>
      <c r="F58" s="28"/>
      <c r="G58" s="28"/>
      <c r="H58" s="37" t="s">
        <v>8</v>
      </c>
      <c r="I58" s="37" t="s">
        <v>8</v>
      </c>
      <c r="J58" s="37" t="s">
        <v>9</v>
      </c>
      <c r="K58" s="37" t="s">
        <v>9</v>
      </c>
      <c r="L58" s="28"/>
      <c r="M58" s="28"/>
      <c r="N58" s="28"/>
      <c r="O58" s="28"/>
      <c r="P58" s="28"/>
      <c r="Q58" s="18"/>
      <c r="T58" s="110">
        <f t="shared" si="60"/>
        <v>5.2413366031251019E-2</v>
      </c>
      <c r="U58" s="110">
        <f t="shared" si="60"/>
        <v>2.0248670838411491</v>
      </c>
      <c r="AF58" s="7"/>
      <c r="AG58" s="7"/>
      <c r="AH58" s="7"/>
      <c r="AI58" s="7"/>
      <c r="AJ58" s="7"/>
      <c r="AK58" s="7"/>
      <c r="AL58" s="7"/>
      <c r="AM58" s="7"/>
      <c r="AN58" s="7"/>
      <c r="AR58" s="28"/>
      <c r="AS58" s="7"/>
      <c r="AT58" s="83"/>
      <c r="AU58" s="83"/>
      <c r="AV58" s="83"/>
      <c r="AW58" s="83"/>
      <c r="AX58" s="83"/>
      <c r="AY58" s="83"/>
      <c r="AZ58" s="7"/>
    </row>
    <row r="59" spans="1:52">
      <c r="A59" s="88" t="s">
        <v>68</v>
      </c>
      <c r="B59" s="88"/>
      <c r="C59" s="26" t="s">
        <v>15</v>
      </c>
      <c r="D59" s="26" t="s">
        <v>55</v>
      </c>
      <c r="E59" s="26" t="s">
        <v>12</v>
      </c>
      <c r="F59" s="26" t="s">
        <v>10</v>
      </c>
      <c r="G59" s="26" t="s">
        <v>14</v>
      </c>
      <c r="H59" s="26" t="s">
        <v>21</v>
      </c>
      <c r="I59" s="26" t="s">
        <v>16</v>
      </c>
      <c r="J59" s="26" t="s">
        <v>17</v>
      </c>
      <c r="K59" s="26" t="s">
        <v>23</v>
      </c>
      <c r="L59" s="28"/>
      <c r="M59" s="28"/>
      <c r="N59" s="28"/>
      <c r="O59" s="28"/>
      <c r="P59" s="28"/>
      <c r="Q59" s="18"/>
      <c r="T59" s="110">
        <f t="shared" si="60"/>
        <v>4.7796933635082195E-2</v>
      </c>
      <c r="U59" s="110">
        <f t="shared" si="60"/>
        <v>2.0294745640786633</v>
      </c>
      <c r="AF59" s="7"/>
      <c r="AG59" s="7"/>
      <c r="AH59" s="7"/>
      <c r="AI59" s="7"/>
      <c r="AJ59" s="7"/>
      <c r="AK59" s="7"/>
      <c r="AL59" s="7"/>
      <c r="AM59" s="7"/>
      <c r="AN59" s="7"/>
      <c r="AR59" s="28"/>
      <c r="AS59" s="7"/>
      <c r="AT59" s="83"/>
      <c r="AU59" s="83"/>
      <c r="AV59" s="83"/>
      <c r="AW59" s="83"/>
      <c r="AX59" s="83"/>
      <c r="AY59" s="83"/>
      <c r="AZ59" s="7"/>
    </row>
    <row r="60" spans="1:52">
      <c r="A60" s="28"/>
      <c r="B60" s="28"/>
      <c r="C60" s="23">
        <f>Mü/TAN($C57)</f>
        <v>0.47919773462141801</v>
      </c>
      <c r="D60" s="42">
        <f>SQRT($J57*$J57+$K57*$K57)</f>
        <v>3.1934373670972187</v>
      </c>
      <c r="E60" s="20">
        <f>ATAN($J57/$K57)+PI()</f>
        <v>2.8161271248110147</v>
      </c>
      <c r="F60" s="23">
        <f>($E60-A73-0.0001)/5</f>
        <v>2.5103807645308041E-3</v>
      </c>
      <c r="G60" s="23">
        <f>COS($E60)</f>
        <v>-0.94750197630502131</v>
      </c>
      <c r="H60" s="23">
        <f>SIN($E60)</f>
        <v>0.31974990992661556</v>
      </c>
      <c r="I60" s="23">
        <f>$C60+$G60</f>
        <v>-0.4683042416836033</v>
      </c>
      <c r="J60" s="23">
        <f>POWER(TAN($E60/2),$C60)</f>
        <v>2.3768998161336792</v>
      </c>
      <c r="K60" s="23">
        <f>-$D60*$D60*SIN($E60)*SIN($E60)/(2*9.81*SIN($C57)*POWER(TAN($E60/2),2*$C60))</f>
        <v>-6.5075648676954798E-2</v>
      </c>
      <c r="L60" s="28"/>
      <c r="M60" s="28"/>
      <c r="N60" s="28"/>
      <c r="O60" s="28"/>
      <c r="P60" s="28"/>
      <c r="Q60" s="18"/>
      <c r="T60" s="110">
        <f t="shared" si="60"/>
        <v>4.508253944477747E-2</v>
      </c>
      <c r="U60" s="110">
        <f t="shared" si="60"/>
        <v>2.0320490286943196</v>
      </c>
      <c r="AF60" s="7"/>
      <c r="AG60" s="7"/>
      <c r="AH60" s="7"/>
      <c r="AI60" s="7"/>
      <c r="AJ60" s="7"/>
      <c r="AK60" s="7"/>
      <c r="AL60" s="7"/>
      <c r="AM60" s="7"/>
      <c r="AN60" s="7"/>
      <c r="AR60" s="28"/>
      <c r="AS60" s="7"/>
      <c r="AT60" s="83"/>
      <c r="AU60" s="83"/>
      <c r="AV60" s="83"/>
      <c r="AW60" s="83"/>
      <c r="AX60" s="83"/>
      <c r="AY60" s="83"/>
      <c r="AZ60" s="7"/>
    </row>
    <row r="61" spans="1:52">
      <c r="A61" s="88" t="s">
        <v>70</v>
      </c>
      <c r="B61" s="8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45"/>
      <c r="N61" s="28"/>
      <c r="O61" s="28"/>
      <c r="P61" s="28"/>
      <c r="Q61" s="18"/>
      <c r="T61" s="110">
        <f t="shared" si="60"/>
        <v>4.346407073631986E-2</v>
      </c>
      <c r="U61" s="110">
        <f t="shared" si="60"/>
        <v>2.0335075652861656</v>
      </c>
      <c r="AF61" s="7"/>
      <c r="AG61" s="7"/>
      <c r="AH61" s="7"/>
      <c r="AI61" s="7"/>
      <c r="AJ61" s="7"/>
      <c r="AK61" s="7"/>
      <c r="AL61" s="7"/>
      <c r="AM61" s="7"/>
      <c r="AN61" s="7"/>
      <c r="AR61" s="28"/>
      <c r="AS61" s="7"/>
      <c r="AT61" s="83"/>
      <c r="AU61" s="83"/>
      <c r="AV61" s="83"/>
      <c r="AW61" s="83"/>
      <c r="AX61" s="83"/>
      <c r="AY61" s="83"/>
      <c r="AZ61" s="7"/>
    </row>
    <row r="62" spans="1:52">
      <c r="A62" s="26" t="s">
        <v>11</v>
      </c>
      <c r="B62" s="26" t="s">
        <v>13</v>
      </c>
      <c r="C62" s="26" t="s">
        <v>22</v>
      </c>
      <c r="D62" s="26" t="s">
        <v>18</v>
      </c>
      <c r="E62" s="26" t="s">
        <v>19</v>
      </c>
      <c r="F62" s="26" t="s">
        <v>20</v>
      </c>
      <c r="G62" s="26" t="s">
        <v>2</v>
      </c>
      <c r="H62" s="26" t="s">
        <v>65</v>
      </c>
      <c r="I62" s="26" t="s">
        <v>66</v>
      </c>
      <c r="J62" s="76" t="s">
        <v>3</v>
      </c>
      <c r="K62" s="76" t="s">
        <v>4</v>
      </c>
      <c r="L62" s="44" t="s">
        <v>7</v>
      </c>
      <c r="M62" s="93"/>
      <c r="N62" s="26" t="s">
        <v>61</v>
      </c>
      <c r="O62" s="26" t="s">
        <v>62</v>
      </c>
      <c r="P62" s="26" t="s">
        <v>63</v>
      </c>
      <c r="Q62" s="18"/>
      <c r="T62" s="110">
        <f t="shared" si="60"/>
        <v>4.2486402809077894E-2</v>
      </c>
      <c r="U62" s="110">
        <f t="shared" si="60"/>
        <v>2.0343444908220416</v>
      </c>
      <c r="AF62" s="7"/>
      <c r="AG62" s="7"/>
      <c r="AH62" s="7"/>
      <c r="AI62" s="7"/>
      <c r="AJ62" s="7"/>
      <c r="AK62" s="7"/>
      <c r="AL62" s="7"/>
      <c r="AM62" s="7"/>
      <c r="AN62" s="7"/>
      <c r="AR62" s="28"/>
      <c r="AS62" s="7"/>
      <c r="AT62" s="83"/>
      <c r="AU62" s="83"/>
      <c r="AV62" s="83"/>
      <c r="AW62" s="83"/>
      <c r="AX62" s="83"/>
      <c r="AY62" s="83"/>
      <c r="AZ62" s="7"/>
    </row>
    <row r="63" spans="1:52">
      <c r="A63" s="19">
        <f>$E60</f>
        <v>2.8161271248110147</v>
      </c>
      <c r="B63" s="26">
        <f>COS(A63)</f>
        <v>-0.94750197630502131</v>
      </c>
      <c r="C63" s="26">
        <f>($C$60+B63)</f>
        <v>-0.4683042416836033</v>
      </c>
      <c r="D63" s="26">
        <f>POWER(TAN(A63/2),$C$60)</f>
        <v>2.3768998161336792</v>
      </c>
      <c r="E63" s="26">
        <f>SIN(A63)</f>
        <v>0.31974990992661556</v>
      </c>
      <c r="F63" s="77">
        <f>(C63*$H$60*D63/E63/$I$60/$J$60)</f>
        <v>1</v>
      </c>
      <c r="G63" s="77">
        <f>$D$60*($C$60+$G$60)/9.81/SIN($C$57)/(1-$C$60*$C$60)*(F63-1)</f>
        <v>0</v>
      </c>
      <c r="H63" s="75">
        <f>-(-$H$57+$K$60*((POWER(TAN(A63/2),2*$C$60-1)/(2*$C$60-1))+(POWER(TAN(A63/2),2*$C$60+1)/(2*$C$60+1))-(POWER(TAN($E$60/2),2*$C$60-1)/(2*$C$60-1))-(POWER(TAN($E$60/2),2*$C$60+1)/(2*$C$60+1))))</f>
        <v>1.5305925880836462</v>
      </c>
      <c r="I63" s="75">
        <f>-(-$I$57+0.5*$K$60*((POWER(TAN(A63/2),2*$C$60-2)/(2*$C$60-2))-(POWER(TAN(A63/2),2*$C$60+2)/(2*$C$60+2))-(POWER(TAN($E$60/2),2*$C$60-2)/(2*$C$60-2))+(POWER(TAN($E$60/2),2*$C$60+2)/(2*$C$60+2))))</f>
        <v>-0.56716007517015665</v>
      </c>
      <c r="J63" s="77">
        <f>-$D$60*SIN(A63)*($C$60+$G$60)/($C$60+B63)*F63</f>
        <v>-1.0211013104856241</v>
      </c>
      <c r="K63" s="77">
        <f>-$D$60*COS(A63)*($C$60+$G$60)/($C$60+B63)*F63</f>
        <v>3.0257882165309185</v>
      </c>
      <c r="L63" s="91">
        <f>SQRT(J63*J63+K63*K63)</f>
        <v>3.1934373670972187</v>
      </c>
      <c r="M63" s="93"/>
      <c r="N63" s="75">
        <f>-(-$I$57+0.5*$K$60*((POWER(TAN(A63/2),2*$C$60-2)/(2*$C$60-2))-(POWER(TAN(A63/2),2*$C$60+2)/(2*$C$60+2))-(POWER(TAN($E$60/2),2*$C$60-2)/(2*$C$60-2))+(POWER(TAN($E$60/2),2*$C$60+2)/(2*$C$60+2))))-$D$57</f>
        <v>-0.2500509976854145</v>
      </c>
      <c r="O63" s="75">
        <f>-(-$I$57+0.5*$K$60*((POWER(TAN((A63+$M$9)/2),2*$C$60-2)/(2*$C$60-2))-(POWER(TAN((A63+$M$9)/2),2*$C$60+2)/(2*$C$60+2))-(POWER(TAN($E$60/2),2*$C$60-2)/(2*$C$60-2))+(POWER(TAN($E$60/2),2*$C$60+2)/(2*$C$60+2))))-$D$57</f>
        <v>-0.31517675543063162</v>
      </c>
      <c r="P63" s="75">
        <f>A63-N63/(O63-N63)*$M$9</f>
        <v>2.8046085948310493</v>
      </c>
      <c r="Q63" s="18"/>
      <c r="T63" s="110">
        <f t="shared" si="60"/>
        <v>4.1888598152490686E-2</v>
      </c>
      <c r="U63" s="110">
        <f t="shared" si="60"/>
        <v>2.0348304060209439</v>
      </c>
      <c r="AF63" s="7"/>
      <c r="AG63" s="7"/>
      <c r="AH63" s="7"/>
      <c r="AI63" s="7"/>
      <c r="AJ63" s="7"/>
      <c r="AK63" s="7"/>
      <c r="AL63" s="7"/>
      <c r="AM63" s="7"/>
      <c r="AN63" s="7"/>
      <c r="AR63" s="28"/>
      <c r="AS63" s="7"/>
      <c r="AT63" s="83"/>
      <c r="AU63" s="83"/>
      <c r="AV63" s="83"/>
      <c r="AW63" s="83"/>
      <c r="AX63" s="83"/>
      <c r="AY63" s="83"/>
      <c r="AZ63" s="7"/>
    </row>
    <row r="64" spans="1:52">
      <c r="A64" s="19">
        <f>P63</f>
        <v>2.8046085948310493</v>
      </c>
      <c r="B64" s="26">
        <f>COS(A64)</f>
        <v>-0.94375615387964729</v>
      </c>
      <c r="C64" s="26">
        <f>($C$60+B64)</f>
        <v>-0.46455841925822927</v>
      </c>
      <c r="D64" s="26">
        <f>POWER(TAN(A64/2),$C$60)</f>
        <v>2.3368931489824725</v>
      </c>
      <c r="E64" s="26">
        <f>SIN(A64)</f>
        <v>0.330642287093311</v>
      </c>
      <c r="F64" s="77">
        <f>(C64*$H$60*D64/E64/$I$60/$J$60)</f>
        <v>0.94317494758027176</v>
      </c>
      <c r="G64" s="77">
        <f>$D$60*($C$60+$G$60)/9.81/SIN($C$57)/(1-$C$60*$C$60)*(F64-1)</f>
        <v>7.7796459006005861E-2</v>
      </c>
      <c r="H64" s="75">
        <f>-(-$H$57+$K$60*((POWER(TAN(A64/2),2*$C$60-1)/(2*$C$60-1))+(POWER(TAN(A64/2),2*$C$60+1)/(2*$C$60+1))-(POWER(TAN($E$60/2),2*$C$60-1)/(2*$C$60-1))-(POWER(TAN($E$60/2),2*$C$60+1)/(2*$C$60+1))))</f>
        <v>1.4518193184491679</v>
      </c>
      <c r="I64" s="75">
        <f>-(-$I$57+0.5*$K$60*((POWER(TAN(A64/2),2*$C$60-2)/(2*$C$60-2))-(POWER(TAN(A64/2),2*$C$60+2)/(2*$C$60+2))-(POWER(TAN($E$60/2),2*$C$60-2)/(2*$C$60-2))+(POWER(TAN($E$60/2),2*$C$60+2)/(2*$C$60+2))))</f>
        <v>-0.33800124217996319</v>
      </c>
      <c r="J64" s="77">
        <f>-$D$60*SIN(A64)*($C$60+$G$60)/($C$60+B64)*F64</f>
        <v>-1.0039146962333212</v>
      </c>
      <c r="K64" s="77">
        <f>-$D$60*COS(A64)*($C$60+$G$60)/($C$60+B64)*F64</f>
        <v>2.8654854793967486</v>
      </c>
      <c r="L64" s="91">
        <f>SQRT(J64*J64+K64*K64)</f>
        <v>3.0362562062426246</v>
      </c>
      <c r="M64" s="93"/>
      <c r="N64" s="75">
        <f>-(-$I$57+0.5*$K$60*((POWER(TAN(A64/2),2*$C$60-2)/(2*$C$60-2))-(POWER(TAN(A64/2),2*$C$60+2)/(2*$C$60+2))-(POWER(TAN($E$60/2),2*$C$60-2)/(2*$C$60-2))+(POWER(TAN($E$60/2),2*$C$60+2)/(2*$C$60+2))))-$D$57</f>
        <v>-2.0892164695221038E-2</v>
      </c>
      <c r="O64" s="75">
        <f t="shared" ref="O64:O73" si="61">-(-$I$57+0.5*$K$60*((POWER(TAN((A64+$M$9)/2),2*$C$60-2)/(2*$C$60-2))-(POWER(TAN((A64+$M$9)/2),2*$C$60+2)/(2*$C$60+2))-(POWER(TAN($E$60/2),2*$C$60-2)/(2*$C$60-2))+(POWER(TAN($E$60/2),2*$C$60+2)/(2*$C$60+2))))-$D$57</f>
        <v>-7.7564665741631456E-2</v>
      </c>
      <c r="P64" s="75">
        <f t="shared" ref="P64:P73" si="62">A64-N64/(O64-N64)*$M$9</f>
        <v>2.803502652920451</v>
      </c>
      <c r="Q64" s="18"/>
      <c r="T64" s="112">
        <f>H257</f>
        <v>4.0875448344989906E-2</v>
      </c>
      <c r="U64" s="112">
        <f>I257</f>
        <v>2.0355433305662425</v>
      </c>
      <c r="AF64" s="7"/>
      <c r="AG64" s="7"/>
      <c r="AH64" s="7"/>
      <c r="AI64" s="7"/>
      <c r="AJ64" s="7"/>
      <c r="AK64" s="7"/>
      <c r="AL64" s="7"/>
      <c r="AM64" s="7"/>
      <c r="AN64" s="7"/>
      <c r="AR64" s="28"/>
      <c r="AS64" s="7"/>
      <c r="AT64" s="83"/>
      <c r="AU64" s="83"/>
      <c r="AV64" s="83"/>
      <c r="AW64" s="83"/>
      <c r="AX64" s="83"/>
      <c r="AY64" s="83"/>
      <c r="AZ64" s="7"/>
    </row>
    <row r="65" spans="1:52">
      <c r="A65" s="19">
        <f t="shared" ref="A65:A73" si="63">P64</f>
        <v>2.803502652920451</v>
      </c>
      <c r="B65" s="26">
        <f t="shared" ref="B65:B73" si="64">COS(A65)</f>
        <v>-0.94338990563391656</v>
      </c>
      <c r="C65" s="26">
        <f t="shared" ref="C65:C73" si="65">($C$60+B65)</f>
        <v>-0.46419217101249854</v>
      </c>
      <c r="D65" s="26">
        <f t="shared" ref="D65:D73" si="66">POWER(TAN(A65/2),$C$60)</f>
        <v>2.3331563856400277</v>
      </c>
      <c r="E65" s="26">
        <f t="shared" ref="E65:E73" si="67">SIN(A65)</f>
        <v>0.33168582415899245</v>
      </c>
      <c r="F65" s="77">
        <f t="shared" ref="F65:F73" si="68">(C65*$H$60*D65/E65/$I$60/$J$60)</f>
        <v>0.93796409169760164</v>
      </c>
      <c r="G65" s="77">
        <f t="shared" ref="G65:G73" si="69">$D$60*($C$60+$G$60)/9.81/SIN($C$57)/(1-$C$60*$C$60)*(F65-1)</f>
        <v>8.4930392347026595E-2</v>
      </c>
      <c r="H65" s="75">
        <f t="shared" ref="H65:H73" si="70">-(-$H$57+$K$60*((POWER(TAN(A65/2),2*$C$60-1)/(2*$C$60-1))+(POWER(TAN(A65/2),2*$C$60+1)/(2*$C$60+1))-(POWER(TAN($E$60/2),2*$C$60-1)/(2*$C$60-1))-(POWER(TAN($E$60/2),2*$C$60+1)/(2*$C$60+1))))</f>
        <v>1.4446631809355277</v>
      </c>
      <c r="I65" s="75">
        <f t="shared" ref="I65:I73" si="71">-(-$I$57+0.5*$K$60*((POWER(TAN(A65/2),2*$C$60-2)/(2*$C$60-2))-(POWER(TAN(A65/2),2*$C$60+2)/(2*$C$60+2))-(POWER(TAN($E$60/2),2*$C$60-2)/(2*$C$60-2))+(POWER(TAN($E$60/2),2*$C$60+2)/(2*$C$60+2))))</f>
        <v>-0.31761145820072012</v>
      </c>
      <c r="J65" s="77">
        <f t="shared" ref="J65:J73" si="72">-$D$60*SIN(A65)*($C$60+$G$60)/($C$60+B65)*F65</f>
        <v>-1.0023094060481623</v>
      </c>
      <c r="K65" s="77">
        <f t="shared" ref="K65:K73" si="73">-$D$60*COS(A65)*($C$60+$G$60)/($C$60+B65)*F65</f>
        <v>2.8507958649885135</v>
      </c>
      <c r="L65" s="91">
        <f t="shared" ref="L65:L73" si="74">SQRT(J65*J65+K65*K65)</f>
        <v>3.0218638634604682</v>
      </c>
      <c r="M65" s="93"/>
      <c r="N65" s="75">
        <f t="shared" ref="N65:N73" si="75">-(-$I$57+0.5*$K$60*((POWER(TAN(A65/2),2*$C$60-2)/(2*$C$60-2))-(POWER(TAN(A65/2),2*$C$60+2)/(2*$C$60+2))-(POWER(TAN($E$60/2),2*$C$60-2)/(2*$C$60-2))+(POWER(TAN($E$60/2),2*$C$60+2)/(2*$C$60+2))))-$D$57</f>
        <v>-5.0238071597796807E-4</v>
      </c>
      <c r="O65" s="75">
        <f t="shared" si="61"/>
        <v>-5.6437312760516223E-2</v>
      </c>
      <c r="P65" s="75">
        <f t="shared" si="62"/>
        <v>2.8034757083601765</v>
      </c>
      <c r="Q65" s="18"/>
      <c r="AF65" s="7"/>
      <c r="AG65" s="7"/>
      <c r="AH65" s="7"/>
      <c r="AI65" s="7"/>
      <c r="AJ65" s="7"/>
      <c r="AK65" s="7"/>
      <c r="AL65" s="7"/>
      <c r="AM65" s="7"/>
      <c r="AN65" s="7"/>
      <c r="AR65" s="28"/>
      <c r="AS65" s="7"/>
      <c r="AT65" s="83"/>
      <c r="AU65" s="83"/>
      <c r="AV65" s="83"/>
      <c r="AW65" s="83"/>
      <c r="AX65" s="83"/>
      <c r="AY65" s="83"/>
      <c r="AZ65" s="7"/>
    </row>
    <row r="66" spans="1:52">
      <c r="A66" s="19">
        <f t="shared" si="63"/>
        <v>2.8034757083601765</v>
      </c>
      <c r="B66" s="26">
        <f t="shared" si="64"/>
        <v>-0.94338096816278139</v>
      </c>
      <c r="C66" s="26">
        <f t="shared" si="65"/>
        <v>-0.46418323354136337</v>
      </c>
      <c r="D66" s="26">
        <f t="shared" si="66"/>
        <v>2.3330655664337612</v>
      </c>
      <c r="E66" s="26">
        <f t="shared" si="67"/>
        <v>0.33171124326476059</v>
      </c>
      <c r="F66" s="77">
        <f t="shared" si="68"/>
        <v>0.93783765010583964</v>
      </c>
      <c r="G66" s="77">
        <f t="shared" si="69"/>
        <v>8.5103497477445306E-2</v>
      </c>
      <c r="H66" s="75">
        <f t="shared" si="70"/>
        <v>1.4444896794119106</v>
      </c>
      <c r="I66" s="75">
        <f t="shared" si="71"/>
        <v>-0.31711800165995752</v>
      </c>
      <c r="J66" s="77">
        <f t="shared" si="72"/>
        <v>-1.0022703906845756</v>
      </c>
      <c r="K66" s="77">
        <f t="shared" si="73"/>
        <v>2.8504394431099214</v>
      </c>
      <c r="L66" s="91">
        <f t="shared" si="74"/>
        <v>3.021514678911855</v>
      </c>
      <c r="M66" s="93"/>
      <c r="N66" s="75">
        <f t="shared" si="75"/>
        <v>-8.9241752153634835E-6</v>
      </c>
      <c r="O66" s="75">
        <f t="shared" si="61"/>
        <v>-5.5926036446921179E-2</v>
      </c>
      <c r="P66" s="75">
        <f t="shared" si="62"/>
        <v>2.8034752295706866</v>
      </c>
      <c r="Q66" s="18"/>
      <c r="AF66" s="7"/>
      <c r="AG66" s="7"/>
      <c r="AH66" s="7"/>
      <c r="AI66" s="7"/>
      <c r="AJ66" s="7"/>
      <c r="AK66" s="7"/>
      <c r="AL66" s="7"/>
      <c r="AM66" s="7"/>
      <c r="AN66" s="7"/>
      <c r="AR66" s="28"/>
      <c r="AS66" s="7"/>
      <c r="AT66" s="83"/>
      <c r="AU66" s="83"/>
      <c r="AV66" s="83"/>
      <c r="AW66" s="83"/>
      <c r="AX66" s="83"/>
      <c r="AY66" s="83"/>
      <c r="AZ66" s="7"/>
    </row>
    <row r="67" spans="1:52">
      <c r="A67" s="19">
        <f t="shared" si="63"/>
        <v>2.8034752295706866</v>
      </c>
      <c r="B67" s="26">
        <f t="shared" si="64"/>
        <v>-0.94338080934281632</v>
      </c>
      <c r="C67" s="26">
        <f t="shared" si="65"/>
        <v>-0.4641830747213983</v>
      </c>
      <c r="D67" s="26">
        <f t="shared" si="66"/>
        <v>2.3330639527230903</v>
      </c>
      <c r="E67" s="26">
        <f t="shared" si="67"/>
        <v>0.33171169494561503</v>
      </c>
      <c r="F67" s="77">
        <f t="shared" si="68"/>
        <v>0.93783540353050354</v>
      </c>
      <c r="G67" s="77">
        <f t="shared" si="69"/>
        <v>8.510657315619255E-2</v>
      </c>
      <c r="H67" s="75">
        <f t="shared" si="70"/>
        <v>1.4444865967512368</v>
      </c>
      <c r="I67" s="75">
        <f t="shared" si="71"/>
        <v>-0.31710923463367957</v>
      </c>
      <c r="J67" s="77">
        <f t="shared" si="72"/>
        <v>-1.0022696974445537</v>
      </c>
      <c r="K67" s="77">
        <f t="shared" si="73"/>
        <v>2.8504331103250475</v>
      </c>
      <c r="L67" s="91">
        <f t="shared" si="74"/>
        <v>3.0215084747279666</v>
      </c>
      <c r="M67" s="93"/>
      <c r="N67" s="75">
        <f t="shared" si="75"/>
        <v>-1.5714893741858305E-7</v>
      </c>
      <c r="O67" s="75">
        <f t="shared" si="61"/>
        <v>-5.5916952837499201E-2</v>
      </c>
      <c r="P67" s="75">
        <f t="shared" si="62"/>
        <v>2.8034752211394665</v>
      </c>
      <c r="Q67" s="18"/>
      <c r="AF67" s="7"/>
      <c r="AG67" s="7"/>
      <c r="AH67" s="7"/>
      <c r="AI67" s="7"/>
      <c r="AJ67" s="7"/>
      <c r="AK67" s="7"/>
      <c r="AL67" s="7"/>
      <c r="AM67" s="7"/>
      <c r="AN67" s="7"/>
      <c r="AR67" s="28"/>
      <c r="AS67" s="7"/>
      <c r="AT67" s="83"/>
      <c r="AU67" s="83"/>
      <c r="AV67" s="83"/>
      <c r="AW67" s="83"/>
      <c r="AX67" s="83"/>
      <c r="AY67" s="83"/>
      <c r="AZ67" s="7"/>
    </row>
    <row r="68" spans="1:52">
      <c r="A68" s="19">
        <f t="shared" si="63"/>
        <v>2.8034752211394665</v>
      </c>
      <c r="B68" s="26">
        <f t="shared" si="64"/>
        <v>-0.94338080654608203</v>
      </c>
      <c r="C68" s="26">
        <f t="shared" si="65"/>
        <v>-0.46418307192466401</v>
      </c>
      <c r="D68" s="26">
        <f t="shared" si="66"/>
        <v>2.3330639243065612</v>
      </c>
      <c r="E68" s="26">
        <f t="shared" si="67"/>
        <v>0.33171170289946633</v>
      </c>
      <c r="F68" s="77">
        <f t="shared" si="68"/>
        <v>0.93783536396961364</v>
      </c>
      <c r="G68" s="77">
        <f t="shared" si="69"/>
        <v>8.5106627317113104E-2</v>
      </c>
      <c r="H68" s="75">
        <f t="shared" si="70"/>
        <v>1.4444865424673876</v>
      </c>
      <c r="I68" s="75">
        <f t="shared" si="71"/>
        <v>-0.31710908025160178</v>
      </c>
      <c r="J68" s="77">
        <f t="shared" si="72"/>
        <v>-1.0022696852369901</v>
      </c>
      <c r="K68" s="77">
        <f t="shared" si="73"/>
        <v>2.8504329988083779</v>
      </c>
      <c r="L68" s="91">
        <f t="shared" si="74"/>
        <v>3.021508365475889</v>
      </c>
      <c r="M68" s="93"/>
      <c r="N68" s="75">
        <f t="shared" si="75"/>
        <v>-2.766859630298768E-9</v>
      </c>
      <c r="O68" s="75">
        <f t="shared" si="61"/>
        <v>-5.5916792880584321E-2</v>
      </c>
      <c r="P68" s="75">
        <f t="shared" si="62"/>
        <v>2.8034752209910212</v>
      </c>
      <c r="Q68" s="18"/>
      <c r="AF68" s="7"/>
      <c r="AG68" s="7"/>
      <c r="AH68" s="7"/>
      <c r="AI68" s="7"/>
      <c r="AJ68" s="7"/>
      <c r="AK68" s="7"/>
      <c r="AL68" s="7"/>
      <c r="AM68" s="7"/>
      <c r="AN68" s="7"/>
      <c r="AR68" s="28"/>
      <c r="AS68" s="7"/>
      <c r="AT68" s="83"/>
      <c r="AU68" s="83"/>
      <c r="AV68" s="83"/>
      <c r="AW68" s="83"/>
      <c r="AX68" s="83"/>
      <c r="AY68" s="83"/>
      <c r="AZ68" s="7"/>
    </row>
    <row r="69" spans="1:52">
      <c r="A69" s="19">
        <f t="shared" si="63"/>
        <v>2.8034752209910212</v>
      </c>
      <c r="B69" s="26">
        <f t="shared" si="64"/>
        <v>-0.94338080649684097</v>
      </c>
      <c r="C69" s="26">
        <f t="shared" si="65"/>
        <v>-0.46418307187542296</v>
      </c>
      <c r="D69" s="26">
        <f t="shared" si="66"/>
        <v>2.3330639238062418</v>
      </c>
      <c r="E69" s="26">
        <f t="shared" si="67"/>
        <v>0.33171170303950676</v>
      </c>
      <c r="F69" s="77">
        <f t="shared" si="68"/>
        <v>0.93783536327307981</v>
      </c>
      <c r="G69" s="77">
        <f t="shared" si="69"/>
        <v>8.5106628270704227E-2</v>
      </c>
      <c r="H69" s="75">
        <f t="shared" si="70"/>
        <v>1.4444865415116328</v>
      </c>
      <c r="I69" s="75">
        <f t="shared" si="71"/>
        <v>-0.3171090775334548</v>
      </c>
      <c r="J69" s="77">
        <f t="shared" si="72"/>
        <v>-1.0022696850220558</v>
      </c>
      <c r="K69" s="77">
        <f t="shared" si="73"/>
        <v>2.8504329968449458</v>
      </c>
      <c r="L69" s="91">
        <f t="shared" si="74"/>
        <v>3.0215083635523285</v>
      </c>
      <c r="M69" s="93"/>
      <c r="N69" s="75">
        <f t="shared" si="75"/>
        <v>-4.871264502881445E-11</v>
      </c>
      <c r="O69" s="75">
        <f t="shared" si="61"/>
        <v>-5.5916790064286626E-2</v>
      </c>
      <c r="P69" s="75">
        <f t="shared" si="62"/>
        <v>2.8034752209884077</v>
      </c>
      <c r="Q69" s="18"/>
      <c r="AF69" s="7"/>
      <c r="AG69" s="7"/>
      <c r="AH69" s="7"/>
      <c r="AI69" s="7"/>
      <c r="AJ69" s="7"/>
      <c r="AK69" s="7"/>
      <c r="AL69" s="7"/>
      <c r="AM69" s="7"/>
      <c r="AN69" s="7"/>
      <c r="AR69" s="28"/>
      <c r="AS69" s="7"/>
      <c r="AT69" s="83"/>
      <c r="AU69" s="83"/>
      <c r="AV69" s="83"/>
      <c r="AW69" s="83"/>
      <c r="AX69" s="83"/>
      <c r="AY69" s="83"/>
      <c r="AZ69" s="7"/>
    </row>
    <row r="70" spans="1:52">
      <c r="A70" s="19">
        <f>P69</f>
        <v>2.8034752209884077</v>
      </c>
      <c r="B70" s="26">
        <f t="shared" si="64"/>
        <v>-0.943380806495974</v>
      </c>
      <c r="C70" s="26">
        <f t="shared" si="65"/>
        <v>-0.46418307187455599</v>
      </c>
      <c r="D70" s="26">
        <f t="shared" si="66"/>
        <v>2.3330639237974333</v>
      </c>
      <c r="E70" s="26">
        <f t="shared" si="67"/>
        <v>0.33171170304197223</v>
      </c>
      <c r="F70" s="77">
        <f t="shared" si="68"/>
        <v>0.93783536326081707</v>
      </c>
      <c r="G70" s="77">
        <f t="shared" si="69"/>
        <v>8.5106628287492561E-2</v>
      </c>
      <c r="H70" s="75">
        <f t="shared" si="70"/>
        <v>1.4444865414948058</v>
      </c>
      <c r="I70" s="75">
        <f t="shared" si="71"/>
        <v>-0.31710907748560041</v>
      </c>
      <c r="J70" s="77">
        <f t="shared" si="72"/>
        <v>-1.0022696850182722</v>
      </c>
      <c r="K70" s="77">
        <f t="shared" si="73"/>
        <v>2.8504329968103788</v>
      </c>
      <c r="L70" s="91">
        <f t="shared" si="74"/>
        <v>3.0215083635184632</v>
      </c>
      <c r="M70" s="93"/>
      <c r="N70" s="75">
        <f t="shared" si="75"/>
        <v>-8.5825790918647726E-13</v>
      </c>
      <c r="O70" s="75">
        <f t="shared" si="61"/>
        <v>-5.5916790014702233E-2</v>
      </c>
      <c r="P70" s="75">
        <f t="shared" si="62"/>
        <v>2.8034752209883615</v>
      </c>
      <c r="Q70" s="18"/>
      <c r="AF70" s="7"/>
      <c r="AG70" s="7"/>
      <c r="AH70" s="7"/>
      <c r="AI70" s="7"/>
      <c r="AJ70" s="7"/>
      <c r="AK70" s="7"/>
      <c r="AL70" s="7"/>
      <c r="AM70" s="7"/>
      <c r="AN70" s="7"/>
      <c r="AR70" s="28"/>
      <c r="AS70" s="7"/>
      <c r="AT70" s="83"/>
      <c r="AU70" s="83"/>
      <c r="AV70" s="83"/>
      <c r="AW70" s="83"/>
      <c r="AX70" s="83"/>
      <c r="AY70" s="83"/>
      <c r="AZ70" s="7"/>
    </row>
    <row r="71" spans="1:52">
      <c r="A71" s="19">
        <f t="shared" si="63"/>
        <v>2.8034752209883615</v>
      </c>
      <c r="B71" s="26">
        <f t="shared" si="64"/>
        <v>-0.94338080649595868</v>
      </c>
      <c r="C71" s="26">
        <f t="shared" si="65"/>
        <v>-0.46418307187454066</v>
      </c>
      <c r="D71" s="26">
        <f t="shared" si="66"/>
        <v>2.3330639237972775</v>
      </c>
      <c r="E71" s="26">
        <f t="shared" si="67"/>
        <v>0.3317117030420158</v>
      </c>
      <c r="F71" s="77">
        <f t="shared" si="68"/>
        <v>0.93783536326060013</v>
      </c>
      <c r="G71" s="77">
        <f t="shared" si="69"/>
        <v>8.510662828778956E-2</v>
      </c>
      <c r="H71" s="75">
        <f t="shared" si="70"/>
        <v>1.4444865414945085</v>
      </c>
      <c r="I71" s="75">
        <f t="shared" si="71"/>
        <v>-0.3171090774847542</v>
      </c>
      <c r="J71" s="77">
        <f t="shared" si="72"/>
        <v>-1.0022696850182049</v>
      </c>
      <c r="K71" s="77">
        <f t="shared" si="73"/>
        <v>2.8504329968097672</v>
      </c>
      <c r="L71" s="91">
        <f t="shared" si="74"/>
        <v>3.0215083635178646</v>
      </c>
      <c r="M71" s="93"/>
      <c r="N71" s="75">
        <f t="shared" si="75"/>
        <v>-1.2045919817182948E-14</v>
      </c>
      <c r="O71" s="75">
        <f t="shared" si="61"/>
        <v>-5.5916790013827378E-2</v>
      </c>
      <c r="P71" s="75">
        <f t="shared" si="62"/>
        <v>2.8034752209883611</v>
      </c>
      <c r="Q71" s="18"/>
      <c r="AF71" s="7"/>
      <c r="AG71" s="7"/>
      <c r="AH71" s="7"/>
      <c r="AI71" s="7"/>
      <c r="AJ71" s="7"/>
      <c r="AK71" s="7"/>
      <c r="AL71" s="7"/>
      <c r="AM71" s="7"/>
      <c r="AN71" s="7"/>
      <c r="AR71" s="28"/>
      <c r="AS71" s="7"/>
      <c r="AT71" s="83"/>
      <c r="AU71" s="83"/>
      <c r="AV71" s="83"/>
      <c r="AW71" s="83"/>
      <c r="AX71" s="83"/>
      <c r="AY71" s="83"/>
      <c r="AZ71" s="7"/>
    </row>
    <row r="72" spans="1:52">
      <c r="A72" s="19">
        <f t="shared" si="63"/>
        <v>2.8034752209883611</v>
      </c>
      <c r="B72" s="26">
        <f t="shared" si="64"/>
        <v>-0.94338080649595857</v>
      </c>
      <c r="C72" s="26">
        <f t="shared" si="65"/>
        <v>-0.46418307187454055</v>
      </c>
      <c r="D72" s="26">
        <f t="shared" si="66"/>
        <v>2.3330639237972766</v>
      </c>
      <c r="E72" s="26">
        <f t="shared" si="67"/>
        <v>0.33171170304201625</v>
      </c>
      <c r="F72" s="77">
        <f t="shared" si="68"/>
        <v>0.93783536326059824</v>
      </c>
      <c r="G72" s="77">
        <f t="shared" si="69"/>
        <v>8.5106628287792141E-2</v>
      </c>
      <c r="H72" s="75">
        <f t="shared" si="70"/>
        <v>1.4444865414945061</v>
      </c>
      <c r="I72" s="75">
        <f t="shared" si="71"/>
        <v>-0.31710907748474865</v>
      </c>
      <c r="J72" s="77">
        <f t="shared" si="72"/>
        <v>-1.0022696850182045</v>
      </c>
      <c r="K72" s="77">
        <f t="shared" si="73"/>
        <v>2.8504329968097619</v>
      </c>
      <c r="L72" s="91">
        <f t="shared" si="74"/>
        <v>3.0215083635178588</v>
      </c>
      <c r="M72" s="93"/>
      <c r="N72" s="75">
        <f t="shared" si="75"/>
        <v>-6.4948046940571658E-15</v>
      </c>
      <c r="O72" s="75">
        <f t="shared" si="61"/>
        <v>-5.5916790013818107E-2</v>
      </c>
      <c r="P72" s="75">
        <f t="shared" si="62"/>
        <v>2.8034752209883607</v>
      </c>
      <c r="Q72" s="18"/>
      <c r="AF72" s="7"/>
      <c r="AG72" s="7"/>
      <c r="AH72" s="7"/>
      <c r="AI72" s="7"/>
      <c r="AJ72" s="7"/>
      <c r="AK72" s="7"/>
      <c r="AL72" s="7"/>
      <c r="AM72" s="7"/>
      <c r="AN72" s="7"/>
      <c r="AR72" s="28"/>
      <c r="AS72" s="7"/>
      <c r="AT72" s="83"/>
      <c r="AU72" s="83"/>
      <c r="AV72" s="83"/>
      <c r="AW72" s="83"/>
      <c r="AX72" s="83"/>
      <c r="AY72" s="83"/>
      <c r="AZ72" s="7"/>
    </row>
    <row r="73" spans="1:52">
      <c r="A73" s="19">
        <f t="shared" si="63"/>
        <v>2.8034752209883607</v>
      </c>
      <c r="B73" s="26">
        <f t="shared" si="64"/>
        <v>-0.94338080649595846</v>
      </c>
      <c r="C73" s="26">
        <f t="shared" si="65"/>
        <v>-0.46418307187454044</v>
      </c>
      <c r="D73" s="26">
        <f t="shared" si="66"/>
        <v>2.3330639237972748</v>
      </c>
      <c r="E73" s="26">
        <f t="shared" si="67"/>
        <v>0.33171170304201664</v>
      </c>
      <c r="F73" s="77">
        <f t="shared" si="68"/>
        <v>0.93783536326059624</v>
      </c>
      <c r="G73" s="77">
        <f t="shared" si="69"/>
        <v>8.5106628287794889E-2</v>
      </c>
      <c r="H73" s="81">
        <f t="shared" si="70"/>
        <v>1.4444865414945027</v>
      </c>
      <c r="I73" s="81">
        <f t="shared" si="71"/>
        <v>-0.31710907748473754</v>
      </c>
      <c r="J73" s="80">
        <f t="shared" si="72"/>
        <v>-1.002269685018204</v>
      </c>
      <c r="K73" s="80">
        <f t="shared" si="73"/>
        <v>2.8504329968097561</v>
      </c>
      <c r="L73" s="91">
        <f t="shared" si="74"/>
        <v>3.0215083635178535</v>
      </c>
      <c r="M73" s="93"/>
      <c r="N73" s="75">
        <f t="shared" si="75"/>
        <v>4.6074255521943996E-15</v>
      </c>
      <c r="O73" s="75">
        <f t="shared" si="61"/>
        <v>-5.5916790013808448E-2</v>
      </c>
      <c r="P73" s="75">
        <f t="shared" si="62"/>
        <v>2.8034752209883611</v>
      </c>
      <c r="Q73" s="18"/>
      <c r="AF73" s="7"/>
      <c r="AG73" s="7"/>
      <c r="AH73" s="7"/>
      <c r="AI73" s="7"/>
      <c r="AJ73" s="7"/>
      <c r="AK73" s="7"/>
      <c r="AL73" s="7"/>
      <c r="AM73" s="7"/>
      <c r="AN73" s="7"/>
      <c r="AR73" s="28"/>
      <c r="AS73" s="7"/>
      <c r="AT73" s="83"/>
      <c r="AU73" s="83"/>
      <c r="AV73" s="83"/>
      <c r="AW73" s="83"/>
      <c r="AX73" s="83"/>
      <c r="AY73" s="83"/>
      <c r="AZ73" s="7"/>
    </row>
    <row r="74" spans="1:52">
      <c r="A74" s="88" t="s">
        <v>60</v>
      </c>
      <c r="B74" s="8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18"/>
      <c r="AF74" s="7"/>
      <c r="AG74" s="7"/>
      <c r="AH74" s="7"/>
      <c r="AI74" s="7"/>
      <c r="AJ74" s="7"/>
      <c r="AK74" s="7"/>
      <c r="AL74" s="7"/>
      <c r="AM74" s="7"/>
      <c r="AN74" s="7"/>
      <c r="AR74" s="28"/>
      <c r="AS74" s="7"/>
      <c r="AT74" s="83"/>
      <c r="AU74" s="83"/>
      <c r="AV74" s="83"/>
      <c r="AW74" s="83"/>
      <c r="AX74" s="83"/>
      <c r="AY74" s="83"/>
      <c r="AZ74" s="7"/>
    </row>
    <row r="75" spans="1:52">
      <c r="A75" s="26" t="s">
        <v>11</v>
      </c>
      <c r="B75" s="26" t="s">
        <v>13</v>
      </c>
      <c r="C75" s="26" t="s">
        <v>22</v>
      </c>
      <c r="D75" s="26" t="s">
        <v>18</v>
      </c>
      <c r="E75" s="26" t="s">
        <v>19</v>
      </c>
      <c r="F75" s="26" t="s">
        <v>20</v>
      </c>
      <c r="G75" s="26" t="s">
        <v>2</v>
      </c>
      <c r="H75" s="26" t="s">
        <v>1</v>
      </c>
      <c r="I75" s="26" t="s">
        <v>0</v>
      </c>
      <c r="J75" s="76" t="s">
        <v>3</v>
      </c>
      <c r="K75" s="76" t="s">
        <v>4</v>
      </c>
      <c r="L75" s="44" t="s">
        <v>7</v>
      </c>
      <c r="M75" s="28"/>
      <c r="N75" s="28"/>
      <c r="O75" s="28"/>
      <c r="P75" s="31"/>
      <c r="Q75" s="18"/>
      <c r="T75" s="28"/>
      <c r="U75" s="28"/>
      <c r="AF75" s="7"/>
      <c r="AG75" s="7"/>
      <c r="AH75" s="7"/>
      <c r="AI75" s="7"/>
      <c r="AJ75" s="7"/>
      <c r="AK75" s="7"/>
      <c r="AL75" s="7"/>
      <c r="AM75" s="7"/>
      <c r="AN75" s="7"/>
      <c r="AR75" s="28"/>
      <c r="AS75" s="7"/>
      <c r="AT75" s="83"/>
      <c r="AU75" s="83"/>
      <c r="AV75" s="83"/>
      <c r="AW75" s="83"/>
      <c r="AX75" s="83"/>
      <c r="AY75" s="83"/>
      <c r="AZ75" s="7"/>
    </row>
    <row r="76" spans="1:52">
      <c r="A76" s="19">
        <f>$E60</f>
        <v>2.8161271248110147</v>
      </c>
      <c r="B76" s="26">
        <f t="shared" ref="B76:B81" si="76">COS(A76)</f>
        <v>-0.94750197630502131</v>
      </c>
      <c r="C76" s="26">
        <f t="shared" ref="C76:C81" si="77">($C$60+B76)</f>
        <v>-0.4683042416836033</v>
      </c>
      <c r="D76" s="26">
        <f t="shared" ref="D76:D81" si="78">POWER(TAN(A76/2),$C$60)</f>
        <v>2.3768998161336792</v>
      </c>
      <c r="E76" s="26">
        <f t="shared" ref="E76:E81" si="79">SIN(A76)</f>
        <v>0.31974990992661556</v>
      </c>
      <c r="F76" s="77">
        <f t="shared" ref="F76:F81" si="80">(C76*$H$60*D76/E76/$I$60/$J$60)</f>
        <v>1</v>
      </c>
      <c r="G76" s="77">
        <f t="shared" ref="G76:G81" si="81">$D$60*($C$60+$G$60)/9.81/SIN($C$57)/(1-$C$60*$C$60)*(F76-1)</f>
        <v>0</v>
      </c>
      <c r="H76" s="99">
        <f t="shared" ref="H76:H81" si="82">-(-$H$57+$K$60*((POWER(TAN(A76/2),2*$C$60-1)/(2*$C$60-1))+(POWER(TAN(A76/2),2*$C$60+1)/(2*$C$60+1))-(POWER(TAN($E$60/2),2*$C$60-1)/(2*$C$60-1))-(POWER(TAN($E$60/2),2*$C$60+1)/(2*$C$60+1))))</f>
        <v>1.5305925880836462</v>
      </c>
      <c r="I76" s="99">
        <f t="shared" ref="I76:I81" si="83">-(-$I$57+0.5*$K$60*((POWER(TAN(A76/2),2*$C$60-2)/(2*$C$60-2))-(POWER(TAN(A76/2),2*$C$60+2)/(2*$C$60+2))-(POWER(TAN($E$60/2),2*$C$60-2)/(2*$C$60-2))+(POWER(TAN($E$60/2),2*$C$60+2)/(2*$C$60+2))))</f>
        <v>-0.56716007517015665</v>
      </c>
      <c r="J76" s="77">
        <f t="shared" ref="J76:J81" si="84">-$D$60*SIN(A76)*($C$60+$G$60)/($C$60+B76)*F76</f>
        <v>-1.0211013104856241</v>
      </c>
      <c r="K76" s="77">
        <f t="shared" ref="K76:K81" si="85">-$D$60*COS(A76)*($C$60+$G$60)/($C$60+B76)*F76</f>
        <v>3.0257882165309185</v>
      </c>
      <c r="L76" s="91">
        <f t="shared" ref="L76:L81" si="86">SQRT(J76*J76+K76*K76)</f>
        <v>3.1934373670972187</v>
      </c>
      <c r="M76" s="28"/>
      <c r="N76" s="28"/>
      <c r="O76" s="28"/>
      <c r="P76" s="31"/>
      <c r="Q76" s="18"/>
      <c r="AF76" s="7"/>
      <c r="AG76" s="7"/>
      <c r="AH76" s="7"/>
      <c r="AI76" s="7"/>
      <c r="AJ76" s="7"/>
      <c r="AK76" s="7"/>
      <c r="AL76" s="7"/>
      <c r="AM76" s="7"/>
      <c r="AN76" s="7"/>
      <c r="AR76" s="28"/>
      <c r="AS76" s="7"/>
      <c r="AT76" s="83"/>
      <c r="AU76" s="83"/>
      <c r="AV76" s="83"/>
      <c r="AW76" s="83"/>
      <c r="AX76" s="83"/>
      <c r="AY76" s="83"/>
      <c r="AZ76" s="7"/>
    </row>
    <row r="77" spans="1:52">
      <c r="A77" s="20">
        <f>A76-$F$60</f>
        <v>2.8136167440464841</v>
      </c>
      <c r="B77" s="26">
        <f t="shared" si="76"/>
        <v>-0.94669629754213191</v>
      </c>
      <c r="C77" s="26">
        <f t="shared" si="77"/>
        <v>-0.4674985629207139</v>
      </c>
      <c r="D77" s="26">
        <f t="shared" si="78"/>
        <v>2.3680071656662989</v>
      </c>
      <c r="E77" s="26">
        <f t="shared" si="79"/>
        <v>0.32212749063068058</v>
      </c>
      <c r="F77" s="77">
        <f t="shared" si="80"/>
        <v>0.98720413392578965</v>
      </c>
      <c r="G77" s="77">
        <f t="shared" si="81"/>
        <v>1.7518207693602465E-2</v>
      </c>
      <c r="H77" s="99">
        <f t="shared" si="82"/>
        <v>1.5127381437006631</v>
      </c>
      <c r="I77" s="99">
        <f t="shared" si="83"/>
        <v>-0.51447002952090171</v>
      </c>
      <c r="J77" s="77">
        <f t="shared" si="84"/>
        <v>-1.0172810834048283</v>
      </c>
      <c r="K77" s="77">
        <f t="shared" si="85"/>
        <v>2.9896741607910275</v>
      </c>
      <c r="L77" s="91">
        <f t="shared" si="86"/>
        <v>3.1580076615415034</v>
      </c>
      <c r="M77" s="28"/>
      <c r="N77" s="28"/>
      <c r="O77" s="28"/>
      <c r="P77" s="31"/>
      <c r="Q77" s="18"/>
      <c r="AF77" s="7"/>
      <c r="AG77" s="7"/>
      <c r="AH77" s="7"/>
      <c r="AI77" s="7"/>
      <c r="AJ77" s="7"/>
      <c r="AK77" s="7"/>
      <c r="AL77" s="7"/>
      <c r="AM77" s="7"/>
      <c r="AN77" s="7"/>
      <c r="AR77" s="28"/>
      <c r="AS77" s="7"/>
      <c r="AT77" s="83"/>
      <c r="AU77" s="83"/>
      <c r="AV77" s="83"/>
      <c r="AW77" s="83"/>
      <c r="AX77" s="83"/>
      <c r="AY77" s="83"/>
      <c r="AZ77" s="7"/>
    </row>
    <row r="78" spans="1:52">
      <c r="A78" s="20">
        <f>A77-$F$60</f>
        <v>2.8111063632819535</v>
      </c>
      <c r="B78" s="26">
        <f t="shared" si="76"/>
        <v>-0.94588465269134314</v>
      </c>
      <c r="C78" s="26">
        <f t="shared" si="77"/>
        <v>-0.46668691806992513</v>
      </c>
      <c r="D78" s="26">
        <f t="shared" si="78"/>
        <v>2.3592127865692691</v>
      </c>
      <c r="E78" s="26">
        <f t="shared" si="79"/>
        <v>0.32450304128463459</v>
      </c>
      <c r="F78" s="77">
        <f t="shared" si="80"/>
        <v>0.97464269346447752</v>
      </c>
      <c r="G78" s="77">
        <f t="shared" si="81"/>
        <v>3.4715474502732255E-2</v>
      </c>
      <c r="H78" s="99">
        <f t="shared" si="82"/>
        <v>1.495276135433707</v>
      </c>
      <c r="I78" s="99">
        <f t="shared" si="83"/>
        <v>-0.46336058010317893</v>
      </c>
      <c r="J78" s="77">
        <f t="shared" si="84"/>
        <v>-1.0135030730907497</v>
      </c>
      <c r="K78" s="77">
        <f t="shared" si="85"/>
        <v>2.9542311791499558</v>
      </c>
      <c r="L78" s="91">
        <f t="shared" si="86"/>
        <v>3.1232467624294644</v>
      </c>
      <c r="M78" s="45"/>
      <c r="N78" s="28"/>
      <c r="O78" s="28"/>
      <c r="P78" s="31"/>
      <c r="Q78" s="18"/>
      <c r="AF78" s="7"/>
      <c r="AG78" s="7"/>
      <c r="AH78" s="7"/>
      <c r="AI78" s="7"/>
      <c r="AJ78" s="7"/>
      <c r="AK78" s="7"/>
      <c r="AL78" s="7"/>
      <c r="AM78" s="7"/>
      <c r="AN78" s="7"/>
      <c r="AR78" s="28"/>
      <c r="AS78" s="7"/>
      <c r="AT78" s="83"/>
      <c r="AU78" s="83"/>
      <c r="AV78" s="83"/>
      <c r="AW78" s="83"/>
      <c r="AX78" s="83"/>
      <c r="AY78" s="83"/>
      <c r="AZ78" s="7"/>
    </row>
    <row r="79" spans="1:52">
      <c r="A79" s="20">
        <f>A78-$F$60</f>
        <v>2.8085959825174229</v>
      </c>
      <c r="B79" s="26">
        <f t="shared" si="76"/>
        <v>-0.94506704686764742</v>
      </c>
      <c r="C79" s="26">
        <f t="shared" si="77"/>
        <v>-0.46586931224622941</v>
      </c>
      <c r="D79" s="26">
        <f t="shared" si="78"/>
        <v>2.3505148306841277</v>
      </c>
      <c r="E79" s="26">
        <f t="shared" si="79"/>
        <v>0.32687654691773771</v>
      </c>
      <c r="F79" s="77">
        <f t="shared" si="80"/>
        <v>0.9623095596082677</v>
      </c>
      <c r="G79" s="77">
        <f t="shared" si="81"/>
        <v>5.1600177668040814E-2</v>
      </c>
      <c r="H79" s="99">
        <f t="shared" si="82"/>
        <v>1.4781949441573621</v>
      </c>
      <c r="I79" s="99">
        <f t="shared" si="83"/>
        <v>-0.41377298154880893</v>
      </c>
      <c r="J79" s="77">
        <f t="shared" si="84"/>
        <v>-1.00976648558606</v>
      </c>
      <c r="K79" s="77">
        <f t="shared" si="85"/>
        <v>2.9194417267229036</v>
      </c>
      <c r="L79" s="91">
        <f t="shared" si="86"/>
        <v>3.0891371531778309</v>
      </c>
      <c r="M79" s="45"/>
      <c r="N79" s="28"/>
      <c r="O79" s="28"/>
      <c r="P79" s="31"/>
      <c r="Q79" s="18"/>
      <c r="AF79" s="7"/>
      <c r="AG79" s="7"/>
      <c r="AH79" s="7"/>
      <c r="AI79" s="7"/>
      <c r="AJ79" s="7"/>
      <c r="AK79" s="7"/>
      <c r="AL79" s="7"/>
      <c r="AM79" s="7"/>
      <c r="AN79" s="7"/>
      <c r="AR79" s="28"/>
      <c r="AS79" s="7"/>
      <c r="AT79" s="83"/>
      <c r="AU79" s="83"/>
      <c r="AV79" s="83"/>
      <c r="AW79" s="83"/>
      <c r="AX79" s="83"/>
      <c r="AY79" s="83"/>
      <c r="AZ79" s="7"/>
    </row>
    <row r="80" spans="1:52">
      <c r="A80" s="20">
        <f>A79-$F$60</f>
        <v>2.8060856017528923</v>
      </c>
      <c r="B80" s="26">
        <f t="shared" si="76"/>
        <v>-0.94424348522360346</v>
      </c>
      <c r="C80" s="26">
        <f t="shared" si="77"/>
        <v>-0.46504575060218545</v>
      </c>
      <c r="D80" s="26">
        <f t="shared" si="78"/>
        <v>2.3419114980768363</v>
      </c>
      <c r="E80" s="26">
        <f t="shared" si="79"/>
        <v>0.32924799257213777</v>
      </c>
      <c r="F80" s="77">
        <f t="shared" si="80"/>
        <v>0.95019881780894444</v>
      </c>
      <c r="G80" s="77">
        <f t="shared" si="81"/>
        <v>6.8180414514356066E-2</v>
      </c>
      <c r="H80" s="99">
        <f t="shared" si="82"/>
        <v>1.4614833795159501</v>
      </c>
      <c r="I80" s="99">
        <f t="shared" si="83"/>
        <v>-0.36565109051203448</v>
      </c>
      <c r="J80" s="77">
        <f t="shared" si="84"/>
        <v>-1.006070547650342</v>
      </c>
      <c r="K80" s="77">
        <f t="shared" si="85"/>
        <v>2.8852888452646837</v>
      </c>
      <c r="L80" s="91">
        <f t="shared" si="86"/>
        <v>3.0556619033293377</v>
      </c>
      <c r="M80" s="45"/>
      <c r="N80" s="28"/>
      <c r="O80" s="28"/>
      <c r="P80" s="89"/>
      <c r="Q80" s="18"/>
      <c r="AF80" s="7"/>
      <c r="AG80" s="7"/>
      <c r="AH80" s="7"/>
      <c r="AI80" s="7"/>
      <c r="AJ80" s="7"/>
      <c r="AK80" s="7"/>
      <c r="AL80" s="7"/>
      <c r="AM80" s="7"/>
      <c r="AN80" s="7"/>
      <c r="AR80" s="28"/>
      <c r="AS80" s="7"/>
      <c r="AT80" s="83"/>
      <c r="AU80" s="83"/>
      <c r="AV80" s="83"/>
      <c r="AW80" s="83"/>
      <c r="AX80" s="83"/>
      <c r="AY80" s="83"/>
      <c r="AZ80" s="7"/>
    </row>
    <row r="81" spans="1:52">
      <c r="A81" s="20">
        <f>A80-$F$60</f>
        <v>2.8035752209883618</v>
      </c>
      <c r="B81" s="26">
        <f t="shared" si="76"/>
        <v>-0.94341397294930374</v>
      </c>
      <c r="C81" s="26">
        <f t="shared" si="77"/>
        <v>-0.46421623832788572</v>
      </c>
      <c r="D81" s="26">
        <f t="shared" si="78"/>
        <v>2.3334010354300911</v>
      </c>
      <c r="E81" s="26">
        <f t="shared" si="79"/>
        <v>0.33161736330296471</v>
      </c>
      <c r="F81" s="77">
        <f t="shared" si="80"/>
        <v>0.93830474967709476</v>
      </c>
      <c r="G81" s="77">
        <f t="shared" si="81"/>
        <v>8.4464013814879321E-2</v>
      </c>
      <c r="H81" s="99">
        <f t="shared" si="82"/>
        <v>1.4451306610341177</v>
      </c>
      <c r="I81" s="99">
        <f t="shared" si="83"/>
        <v>-0.31894123211706138</v>
      </c>
      <c r="J81" s="77">
        <f t="shared" si="84"/>
        <v>-1.0024145060694372</v>
      </c>
      <c r="K81" s="77">
        <f t="shared" si="85"/>
        <v>2.8517561393460573</v>
      </c>
      <c r="L81" s="91">
        <f t="shared" si="86"/>
        <v>3.0228046447424224</v>
      </c>
      <c r="M81" s="45"/>
      <c r="N81" s="28"/>
      <c r="O81" s="28"/>
      <c r="P81" s="28"/>
      <c r="Q81" s="18"/>
      <c r="AF81" s="7"/>
      <c r="AG81" s="7"/>
      <c r="AH81" s="7"/>
      <c r="AI81" s="7"/>
      <c r="AJ81" s="7"/>
      <c r="AK81" s="7"/>
      <c r="AL81" s="7"/>
      <c r="AM81" s="7"/>
      <c r="AN81" s="7"/>
      <c r="AR81" s="28"/>
      <c r="AS81" s="7"/>
      <c r="AT81" s="83"/>
      <c r="AU81" s="83"/>
      <c r="AV81" s="83"/>
      <c r="AW81" s="83"/>
      <c r="AX81" s="83"/>
      <c r="AY81" s="83"/>
      <c r="AZ81" s="7"/>
    </row>
    <row r="82" spans="1:5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AF82" s="7"/>
      <c r="AG82" s="7"/>
      <c r="AH82" s="7"/>
      <c r="AI82" s="7"/>
      <c r="AJ82" s="7"/>
      <c r="AK82" s="7"/>
      <c r="AL82" s="7"/>
      <c r="AM82" s="7"/>
      <c r="AN82" s="7"/>
      <c r="AR82" s="28"/>
      <c r="AS82" s="7"/>
      <c r="AT82" s="83"/>
      <c r="AU82" s="83"/>
      <c r="AV82" s="83"/>
      <c r="AW82" s="83"/>
      <c r="AX82" s="83"/>
      <c r="AY82" s="83"/>
      <c r="AZ82" s="7"/>
    </row>
    <row r="83" spans="1:52">
      <c r="A83" s="88" t="s">
        <v>73</v>
      </c>
      <c r="B83" s="88"/>
      <c r="C83" s="23" t="str">
        <f>CONCATENATE("m",Stufengrün!Z47)</f>
        <v>m-1</v>
      </c>
      <c r="D83" s="23" t="s">
        <v>30</v>
      </c>
      <c r="E83" s="28"/>
      <c r="F83" s="28"/>
      <c r="G83" s="28"/>
      <c r="H83" s="36" t="s">
        <v>57</v>
      </c>
      <c r="I83" s="36" t="s">
        <v>51</v>
      </c>
      <c r="J83" s="36" t="s">
        <v>58</v>
      </c>
      <c r="K83" s="36" t="s">
        <v>59</v>
      </c>
      <c r="L83" s="28"/>
      <c r="M83" s="28"/>
      <c r="N83" s="28"/>
      <c r="O83" s="28"/>
      <c r="P83" s="28"/>
      <c r="AF83" s="7"/>
      <c r="AG83" s="7"/>
      <c r="AH83" s="7"/>
      <c r="AI83" s="7"/>
      <c r="AJ83" s="7"/>
      <c r="AK83" s="7"/>
      <c r="AL83" s="7"/>
      <c r="AM83" s="7"/>
      <c r="AN83" s="7"/>
      <c r="AR83" s="28"/>
      <c r="AS83" s="7"/>
      <c r="AT83" s="83"/>
      <c r="AU83" s="83"/>
      <c r="AV83" s="83"/>
      <c r="AW83" s="83"/>
      <c r="AX83" s="83"/>
      <c r="AY83" s="83"/>
      <c r="AZ83" s="7"/>
    </row>
    <row r="84" spans="1:52">
      <c r="A84" s="88" t="s">
        <v>69</v>
      </c>
      <c r="B84" s="88"/>
      <c r="C84" s="36">
        <f>Stufengrün!AA47</f>
        <v>0.26129405619084795</v>
      </c>
      <c r="D84" s="26">
        <f>Stufengrün!AC47</f>
        <v>-0.1392820103511837</v>
      </c>
      <c r="E84" s="28"/>
      <c r="F84" s="28"/>
      <c r="G84" s="28"/>
      <c r="H84" s="78">
        <f>H73</f>
        <v>1.4444865414945027</v>
      </c>
      <c r="I84" s="78">
        <f>I73</f>
        <v>-0.31710907748473754</v>
      </c>
      <c r="J84" s="78">
        <f>J73</f>
        <v>-1.002269685018204</v>
      </c>
      <c r="K84" s="78">
        <f>K73</f>
        <v>2.8504329968097561</v>
      </c>
      <c r="L84" s="28"/>
      <c r="M84" s="28"/>
      <c r="N84" s="28"/>
      <c r="O84" s="28"/>
      <c r="P84" s="28"/>
      <c r="AF84" s="7"/>
      <c r="AG84" s="7"/>
      <c r="AH84" s="7"/>
      <c r="AI84" s="7"/>
      <c r="AJ84" s="7"/>
      <c r="AK84" s="7"/>
      <c r="AL84" s="7"/>
      <c r="AM84" s="7"/>
      <c r="AN84" s="7"/>
      <c r="AR84" s="28"/>
      <c r="AS84" s="7"/>
      <c r="AT84" s="83"/>
      <c r="AU84" s="83"/>
      <c r="AV84" s="83"/>
      <c r="AW84" s="83"/>
      <c r="AX84" s="83"/>
      <c r="AY84" s="83"/>
      <c r="AZ84" s="7"/>
    </row>
    <row r="85" spans="1:52">
      <c r="A85" s="95"/>
      <c r="B85" s="95"/>
      <c r="C85" s="28"/>
      <c r="D85" s="28"/>
      <c r="E85" s="28"/>
      <c r="F85" s="28"/>
      <c r="G85" s="28"/>
      <c r="H85" s="37" t="s">
        <v>8</v>
      </c>
      <c r="I85" s="37" t="s">
        <v>8</v>
      </c>
      <c r="J85" s="37" t="s">
        <v>9</v>
      </c>
      <c r="K85" s="37" t="s">
        <v>9</v>
      </c>
      <c r="L85" s="28"/>
      <c r="M85" s="28"/>
      <c r="N85" s="28"/>
      <c r="O85" s="28"/>
      <c r="P85" s="28"/>
      <c r="AF85" s="7"/>
      <c r="AG85" s="7"/>
      <c r="AH85" s="7"/>
      <c r="AI85" s="7"/>
      <c r="AJ85" s="7"/>
      <c r="AK85" s="7"/>
      <c r="AL85" s="7"/>
      <c r="AM85" s="7"/>
      <c r="AN85" s="7"/>
      <c r="AR85" s="28"/>
      <c r="AS85" s="7"/>
      <c r="AT85" s="83"/>
      <c r="AU85" s="83"/>
      <c r="AV85" s="83"/>
      <c r="AW85" s="83"/>
      <c r="AX85" s="83"/>
      <c r="AY85" s="83"/>
      <c r="AZ85" s="7"/>
    </row>
    <row r="86" spans="1:52">
      <c r="A86" s="88" t="s">
        <v>68</v>
      </c>
      <c r="B86" s="88"/>
      <c r="C86" s="26" t="s">
        <v>15</v>
      </c>
      <c r="D86" s="26" t="s">
        <v>55</v>
      </c>
      <c r="E86" s="26" t="s">
        <v>12</v>
      </c>
      <c r="F86" s="26" t="s">
        <v>10</v>
      </c>
      <c r="G86" s="26" t="s">
        <v>14</v>
      </c>
      <c r="H86" s="26" t="s">
        <v>21</v>
      </c>
      <c r="I86" s="26" t="s">
        <v>16</v>
      </c>
      <c r="J86" s="26" t="s">
        <v>17</v>
      </c>
      <c r="K86" s="26" t="s">
        <v>23</v>
      </c>
      <c r="L86" s="28"/>
      <c r="M86" s="28"/>
      <c r="N86" s="28"/>
      <c r="O86" s="28"/>
      <c r="P86" s="28"/>
      <c r="AF86" s="7"/>
      <c r="AG86" s="7"/>
      <c r="AH86" s="7"/>
      <c r="AI86" s="7"/>
      <c r="AJ86" s="7"/>
      <c r="AK86" s="7"/>
      <c r="AL86" s="7"/>
      <c r="AM86" s="7"/>
      <c r="AN86" s="7"/>
      <c r="AR86" s="28"/>
      <c r="AS86" s="7"/>
      <c r="AT86" s="83"/>
      <c r="AU86" s="83"/>
      <c r="AV86" s="83"/>
      <c r="AW86" s="83"/>
      <c r="AX86" s="83"/>
      <c r="AY86" s="83"/>
      <c r="AZ86" s="7"/>
    </row>
    <row r="87" spans="1:52">
      <c r="A87" s="28"/>
      <c r="B87" s="28"/>
      <c r="C87" s="23">
        <f>Mü/TAN($C84)</f>
        <v>0.26177261284076359</v>
      </c>
      <c r="D87" s="42">
        <f>SQRT($J84*$J84+$K84*$K84)</f>
        <v>3.0215083635178535</v>
      </c>
      <c r="E87" s="20">
        <f>ATAN($J84/$K84)+PI()</f>
        <v>2.8034752209883607</v>
      </c>
      <c r="F87" s="23">
        <f>($E87-A100-0.0001)/5</f>
        <v>3.8034572432767955E-3</v>
      </c>
      <c r="G87" s="23">
        <f>COS($E87)</f>
        <v>-0.94338080649595846</v>
      </c>
      <c r="H87" s="23">
        <f>SIN($E87)</f>
        <v>0.33171170304201664</v>
      </c>
      <c r="I87" s="23">
        <f>$C87+$G87</f>
        <v>-0.68160819365519487</v>
      </c>
      <c r="J87" s="23">
        <f>POWER(TAN($E87/2),$C87)</f>
        <v>1.5885037959166037</v>
      </c>
      <c r="K87" s="23">
        <f>-$D87*$D87*SIN($E87)*SIN($E87)/(2*9.81*SIN($C84)*POWER(TAN($E87/2),2*$C87))</f>
        <v>-7.8544778050798708E-2</v>
      </c>
      <c r="L87" s="28"/>
      <c r="M87" s="28"/>
      <c r="N87" s="28"/>
      <c r="O87" s="28"/>
      <c r="P87" s="28"/>
      <c r="AF87" s="7"/>
      <c r="AG87" s="7"/>
      <c r="AH87" s="7"/>
      <c r="AI87" s="7"/>
      <c r="AJ87" s="7"/>
      <c r="AK87" s="7"/>
      <c r="AL87" s="7"/>
      <c r="AM87" s="7"/>
      <c r="AN87" s="7"/>
      <c r="AR87" s="28"/>
      <c r="AS87" s="7"/>
      <c r="AT87" s="83"/>
      <c r="AU87" s="83"/>
      <c r="AV87" s="83"/>
      <c r="AW87" s="83"/>
      <c r="AX87" s="83"/>
      <c r="AY87" s="83"/>
      <c r="AZ87" s="7"/>
    </row>
    <row r="88" spans="1:52">
      <c r="A88" s="88" t="s">
        <v>70</v>
      </c>
      <c r="B88" s="8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45"/>
      <c r="N88" s="28"/>
      <c r="O88" s="28"/>
      <c r="P88" s="28"/>
      <c r="AF88" s="7"/>
      <c r="AG88" s="7"/>
      <c r="AH88" s="7"/>
      <c r="AI88" s="7"/>
      <c r="AJ88" s="7"/>
      <c r="AK88" s="7"/>
      <c r="AL88" s="7"/>
      <c r="AM88" s="7"/>
      <c r="AN88" s="7"/>
      <c r="AR88" s="28"/>
      <c r="AS88" s="7"/>
      <c r="AT88" s="83"/>
      <c r="AU88" s="83"/>
      <c r="AV88" s="83"/>
      <c r="AW88" s="83"/>
      <c r="AX88" s="83"/>
      <c r="AY88" s="83"/>
      <c r="AZ88" s="7"/>
    </row>
    <row r="89" spans="1:52">
      <c r="A89" s="26" t="s">
        <v>11</v>
      </c>
      <c r="B89" s="26" t="s">
        <v>13</v>
      </c>
      <c r="C89" s="26" t="s">
        <v>22</v>
      </c>
      <c r="D89" s="26" t="s">
        <v>18</v>
      </c>
      <c r="E89" s="26" t="s">
        <v>19</v>
      </c>
      <c r="F89" s="26" t="s">
        <v>20</v>
      </c>
      <c r="G89" s="26" t="s">
        <v>2</v>
      </c>
      <c r="H89" s="26" t="s">
        <v>65</v>
      </c>
      <c r="I89" s="26" t="s">
        <v>66</v>
      </c>
      <c r="J89" s="76" t="s">
        <v>3</v>
      </c>
      <c r="K89" s="76" t="s">
        <v>4</v>
      </c>
      <c r="L89" s="44" t="s">
        <v>7</v>
      </c>
      <c r="M89" s="93"/>
      <c r="N89" s="26" t="s">
        <v>61</v>
      </c>
      <c r="O89" s="26" t="s">
        <v>62</v>
      </c>
      <c r="P89" s="26" t="s">
        <v>63</v>
      </c>
      <c r="AF89" s="7"/>
      <c r="AG89" s="7"/>
      <c r="AH89" s="7"/>
      <c r="AI89" s="7"/>
      <c r="AJ89" s="7"/>
      <c r="AK89" s="7"/>
      <c r="AL89" s="7"/>
      <c r="AM89" s="7"/>
      <c r="AN89" s="7"/>
      <c r="AR89" s="28"/>
      <c r="AS89" s="7"/>
      <c r="AT89" s="83"/>
      <c r="AU89" s="83"/>
      <c r="AV89" s="83"/>
      <c r="AW89" s="83"/>
      <c r="AX89" s="83"/>
      <c r="AY89" s="83"/>
      <c r="AZ89" s="7"/>
    </row>
    <row r="90" spans="1:52">
      <c r="A90" s="19">
        <f>$E87</f>
        <v>2.8034752209883607</v>
      </c>
      <c r="B90" s="26">
        <f>COS(A90)</f>
        <v>-0.94338080649595846</v>
      </c>
      <c r="C90" s="26">
        <f>($C$87+B90)</f>
        <v>-0.68160819365519487</v>
      </c>
      <c r="D90" s="26">
        <f>POWER(TAN(A90/2),$C$87)</f>
        <v>1.5885037959166037</v>
      </c>
      <c r="E90" s="26">
        <f>SIN(A90)</f>
        <v>0.33171170304201664</v>
      </c>
      <c r="F90" s="77">
        <f>(C90*$H$87*D90/E90/$I$87/$J$87)</f>
        <v>1.0000000000000002</v>
      </c>
      <c r="G90" s="77">
        <f>$D$87*($C$87+$G$87)/9.81/SIN($C$84)/(1-$C$87*$C$84)*(F90-1)</f>
        <v>-1.9369740936072388E-16</v>
      </c>
      <c r="H90" s="75">
        <f>-(-$H$84+$K$87*((POWER(TAN(A90/2),2*$C$87-1)/(2*$C$87-1))+(POWER(TAN(A90/2),2*$C$87+1)/(2*$C$87+1))-(POWER(TAN($E$87/2),2*$C$87-1)/(2*$C$87-1))-(POWER(TAN($E$87/2),2*$C$87+1)/(2*$C$87+1))))</f>
        <v>1.4444865414945027</v>
      </c>
      <c r="I90" s="75">
        <f>-(-$I$84+0.5*$K$87*((POWER(TAN(A90/2),2*$C$87-2)/(2*$C$87-2))-(POWER(TAN(A90/2),2*$C$87+2)/(2*$C$87+2))-(POWER(TAN($E$87/2),2*$C$87-2)/(2*$C$87-2))+(POWER(TAN($E$87/2),2*$C$87+2)/(2*$C$87+2))))</f>
        <v>-0.31710907748473754</v>
      </c>
      <c r="J90" s="77">
        <f>-$D$87*SIN(A90)*($C$87+$G$87)/($C$87+B90)*F90</f>
        <v>-1.002269685018204</v>
      </c>
      <c r="K90" s="77">
        <f>-$D$87*COS(A90)*($C$87+$G$87)/($C$87+B90)*F90</f>
        <v>2.8504329968097566</v>
      </c>
      <c r="L90" s="91">
        <f>SQRT(J90*J90+K90*K90)</f>
        <v>3.0215083635178539</v>
      </c>
      <c r="M90" s="93"/>
      <c r="N90" s="75">
        <f>-(-$I$84+0.5*$K$87*((POWER(TAN(A90/2),2*$C$87-2)/(2*$C$87-2))-(POWER(TAN(A90/2),2*$C$87+2)/(2*$C$87+2))-(POWER(TAN($E$87/2),2*$C$87-2)/(2*$C$87-2))+(POWER(TAN($E$87/2),2*$C$87+2)/(2*$C$87+2))))-$D$84</f>
        <v>-0.17782706713355384</v>
      </c>
      <c r="O90" s="75">
        <f>-(-$I$84+0.5*$K$87*((POWER(TAN((A90+$M$9)/2),2*$C$87-2)/(2*$C$87-2))-(POWER(TAN((A90+$M$9)/2),2*$C$87+2)/(2*$C$87+2))-(POWER(TAN($E$87/2),2*$C$87-2)/(2*$C$87-2))+(POWER(TAN($E$87/2),2*$C$87+2)/(2*$C$87+2))))-$D$84</f>
        <v>-0.20905211113036176</v>
      </c>
      <c r="P90" s="75">
        <f>A90-N90/(O90-N90)*$M$9</f>
        <v>2.7863901785635941</v>
      </c>
      <c r="R90" s="122"/>
      <c r="AF90" s="7"/>
      <c r="AG90" s="7"/>
      <c r="AH90" s="7"/>
      <c r="AI90" s="7"/>
      <c r="AJ90" s="7"/>
      <c r="AK90" s="7"/>
      <c r="AL90" s="7"/>
      <c r="AM90" s="7"/>
      <c r="AN90" s="7"/>
      <c r="AR90" s="28"/>
      <c r="AS90" s="7"/>
      <c r="AT90" s="83"/>
      <c r="AU90" s="83"/>
      <c r="AV90" s="83"/>
      <c r="AW90" s="83"/>
      <c r="AX90" s="83"/>
      <c r="AY90" s="83"/>
      <c r="AZ90" s="7"/>
    </row>
    <row r="91" spans="1:52">
      <c r="A91" s="19">
        <f>$P90</f>
        <v>2.7863901785635941</v>
      </c>
      <c r="B91" s="26">
        <f>COS(A91)</f>
        <v>-0.93757609123158092</v>
      </c>
      <c r="C91" s="26">
        <f>($C$87+B91)</f>
        <v>-0.67580347839081734</v>
      </c>
      <c r="D91" s="26">
        <f>POWER(TAN(A91/2),$C$87)</f>
        <v>1.5677265107583298</v>
      </c>
      <c r="E91" s="26">
        <f>SIN(A91)</f>
        <v>0.34778020810694543</v>
      </c>
      <c r="F91" s="77">
        <f>(C91*$H$87*D91/E91/$I$87/$J$87)</f>
        <v>0.93330500931869842</v>
      </c>
      <c r="G91" s="77">
        <f>$D$87*($C$87+$G$87)/9.81/SIN($C$84)/(1-$C$87*$C$84)*(F91-1)</f>
        <v>5.8180413420391125E-2</v>
      </c>
      <c r="H91" s="75">
        <f>-(-$H$84+$K$87*((POWER(TAN(A91/2),2*$C$87-1)/(2*$C$87-1))+(POWER(TAN(A91/2),2*$C$87+1)/(2*$C$87+1))-(POWER(TAN($E$87/2),2*$C$87-1)/(2*$C$87-1))-(POWER(TAN($E$87/2),2*$C$87+1)/(2*$C$87+1))))</f>
        <v>1.3865446360355445</v>
      </c>
      <c r="I91" s="75">
        <f>-(-$I$84+0.5*$K$87*((POWER(TAN(A91/2),2*$C$87-2)/(2*$C$87-2))-(POWER(TAN(A91/2),2*$C$87+2)/(2*$C$87+2))-(POWER(TAN($E$87/2),2*$C$87-2)/(2*$C$87-2))+(POWER(TAN($E$87/2),2*$C$87+2)/(2*$C$87+2))))</f>
        <v>-0.15659508616936466</v>
      </c>
      <c r="J91" s="77">
        <f>-$D$87*SIN(A91)*($C$87+$G$87)/($C$87+B91)*F91</f>
        <v>-0.98916021489628936</v>
      </c>
      <c r="K91" s="77">
        <f>-$D$87*COS(A91)*($C$87+$G$87)/($C$87+B91)*F91</f>
        <v>2.666664020164903</v>
      </c>
      <c r="L91" s="91">
        <f>SQRT(J91*J91+K91*K91)</f>
        <v>2.8442107740418461</v>
      </c>
      <c r="M91" s="93"/>
      <c r="N91" s="75">
        <f>-(-$I$84+0.5*$K$87*((POWER(TAN(A91/2),2*$C$87-2)/(2*$C$87-2))-(POWER(TAN(A91/2),2*$C$87+2)/(2*$C$87+2))-(POWER(TAN($E$87/2),2*$C$87-2)/(2*$C$87-2))+(POWER(TAN($E$87/2),2*$C$87+2)/(2*$C$87+2))))-$D$84</f>
        <v>-1.7313075818180951E-2</v>
      </c>
      <c r="O91" s="75">
        <f t="shared" ref="O91:O100" si="87">-(-$I$84+0.5*$K$87*((POWER(TAN((A91+$M$9)/2),2*$C$87-2)/(2*$C$87-2))-(POWER(TAN((A91+$M$9)/2),2*$C$87+2)/(2*$C$87+2))-(POWER(TAN($E$87/2),2*$C$87-2)/(2*$C$87-2))+(POWER(TAN($E$87/2),2*$C$87+2)/(2*$C$87+2))))-$D$84</f>
        <v>-4.3520630899021501E-2</v>
      </c>
      <c r="P91" s="75">
        <f t="shared" ref="P91:P100" si="88">A91-N91/(O91-N91)*$M$9</f>
        <v>2.7844083367895589</v>
      </c>
      <c r="R91" s="122"/>
      <c r="AF91" s="7"/>
      <c r="AG91" s="7"/>
      <c r="AH91" s="7"/>
      <c r="AI91" s="7"/>
      <c r="AJ91" s="7"/>
      <c r="AK91" s="7"/>
      <c r="AL91" s="7"/>
      <c r="AM91" s="7"/>
      <c r="AN91" s="7"/>
      <c r="AR91" s="28"/>
      <c r="AS91" s="7"/>
      <c r="AT91" s="83"/>
      <c r="AU91" s="83"/>
      <c r="AV91" s="83"/>
      <c r="AW91" s="83"/>
      <c r="AX91" s="83"/>
      <c r="AY91" s="83"/>
      <c r="AZ91" s="7"/>
    </row>
    <row r="92" spans="1:52">
      <c r="A92" s="19">
        <f t="shared" ref="A92:A100" si="89">$P91</f>
        <v>2.7844083367895589</v>
      </c>
      <c r="B92" s="26">
        <f t="shared" ref="B92:B100" si="90">COS(A92)</f>
        <v>-0.93688500508145089</v>
      </c>
      <c r="C92" s="26">
        <f t="shared" ref="C92:C100" si="91">($C$87+B92)</f>
        <v>-0.67511239224068731</v>
      </c>
      <c r="D92" s="26">
        <f t="shared" ref="D92:D100" si="92">POWER(TAN(A92/2),$C$87)</f>
        <v>1.5653958541911677</v>
      </c>
      <c r="E92" s="26">
        <f t="shared" ref="E92:E100" si="93">SIN(A92)</f>
        <v>0.34963765136714009</v>
      </c>
      <c r="F92" s="77">
        <f t="shared" ref="F92:F100" si="94">(C92*$H$87*D92/E92/$I$87/$J$87)</f>
        <v>0.92601879085394279</v>
      </c>
      <c r="G92" s="77">
        <f t="shared" ref="G92:G100" si="95">$D$87*($C$87+$G$87)/9.81/SIN($C$84)/(1-$C$87*$C$84)*(F92-1)</f>
        <v>6.4536441035364878E-2</v>
      </c>
      <c r="H92" s="75">
        <f t="shared" ref="H92:H100" si="96">-(-$H$84+$K$87*((POWER(TAN(A92/2),2*$C$87-1)/(2*$C$87-1))+(POWER(TAN(A92/2),2*$C$87+1)/(2*$C$87+1))-(POWER(TAN($E$87/2),2*$C$87-1)/(2*$C$87-1))-(POWER(TAN($E$87/2),2*$C$87+1)/(2*$C$87+1))))</f>
        <v>1.3802613306967126</v>
      </c>
      <c r="I92" s="75">
        <f t="shared" ref="I92:I100" si="97">-(-$I$84+0.5*$K$87*((POWER(TAN(A92/2),2*$C$87-2)/(2*$C$87-2))-(POWER(TAN(A92/2),2*$C$87+2)/(2*$C$87+2))-(POWER(TAN($E$87/2),2*$C$87-2)/(2*$C$87-2))+(POWER(TAN($E$87/2),2*$C$87+2)/(2*$C$87+2))))</f>
        <v>-0.13970718450196201</v>
      </c>
      <c r="J92" s="77">
        <f t="shared" ref="J92:J100" si="98">-$D$87*SIN(A92)*($C$87+$G$87)/($C$87+B92)*F92</f>
        <v>-0.98768968241820521</v>
      </c>
      <c r="K92" s="77">
        <f t="shared" ref="K92:K100" si="99">-$D$87*COS(A92)*($C$87+$G$87)/($C$87+B92)*F92</f>
        <v>2.6466018448327899</v>
      </c>
      <c r="L92" s="91">
        <f t="shared" ref="L92:L100" si="100">SQRT(J92*J92+K92*K92)</f>
        <v>2.8248950836850031</v>
      </c>
      <c r="M92" s="93"/>
      <c r="N92" s="75">
        <f t="shared" ref="N92:N100" si="101">-(-$I$84+0.5*$K$87*((POWER(TAN(A92/2),2*$C$87-2)/(2*$C$87-2))-(POWER(TAN(A92/2),2*$C$87+2)/(2*$C$87+2))-(POWER(TAN($E$87/2),2*$C$87-2)/(2*$C$87-2))+(POWER(TAN($E$87/2),2*$C$87+2)/(2*$C$87+2))))-$D$84</f>
        <v>-4.2517415077830689E-4</v>
      </c>
      <c r="O92" s="75">
        <f t="shared" si="87"/>
        <v>-2.6119549025824196E-2</v>
      </c>
      <c r="P92" s="75">
        <f t="shared" si="88"/>
        <v>2.7843586947002481</v>
      </c>
      <c r="R92" s="122"/>
      <c r="AF92" s="7"/>
      <c r="AG92" s="7"/>
      <c r="AH92" s="7"/>
      <c r="AI92" s="7"/>
      <c r="AJ92" s="7"/>
      <c r="AK92" s="7"/>
      <c r="AL92" s="7"/>
      <c r="AM92" s="7"/>
      <c r="AN92" s="7"/>
      <c r="AR92" s="28"/>
      <c r="AS92" s="7"/>
      <c r="AT92" s="83"/>
      <c r="AU92" s="83"/>
      <c r="AV92" s="83"/>
      <c r="AW92" s="83"/>
      <c r="AX92" s="83"/>
      <c r="AY92" s="83"/>
      <c r="AZ92" s="7"/>
    </row>
    <row r="93" spans="1:52">
      <c r="A93" s="19">
        <f t="shared" si="89"/>
        <v>2.7843586947002481</v>
      </c>
      <c r="B93" s="26">
        <f t="shared" si="90"/>
        <v>-0.93686764718354221</v>
      </c>
      <c r="C93" s="26">
        <f t="shared" si="91"/>
        <v>-0.67509503434277862</v>
      </c>
      <c r="D93" s="26">
        <f t="shared" si="92"/>
        <v>1.5653376782669994</v>
      </c>
      <c r="E93" s="26">
        <f t="shared" si="93"/>
        <v>0.34968415986540463</v>
      </c>
      <c r="F93" s="77">
        <f t="shared" si="94"/>
        <v>0.92583741436497768</v>
      </c>
      <c r="G93" s="77">
        <f t="shared" si="95"/>
        <v>6.4694662200177E-2</v>
      </c>
      <c r="H93" s="75">
        <f t="shared" si="96"/>
        <v>1.3801050391718306</v>
      </c>
      <c r="I93" s="75">
        <f t="shared" si="97"/>
        <v>-0.13928841926924598</v>
      </c>
      <c r="J93" s="77">
        <f t="shared" si="98"/>
        <v>-0.98765297620110859</v>
      </c>
      <c r="K93" s="77">
        <f t="shared" si="99"/>
        <v>2.6461024725955817</v>
      </c>
      <c r="L93" s="91">
        <f t="shared" si="100"/>
        <v>2.8244143989286274</v>
      </c>
      <c r="M93" s="93"/>
      <c r="N93" s="75">
        <f t="shared" si="101"/>
        <v>-6.4089180622783903E-6</v>
      </c>
      <c r="O93" s="75">
        <f t="shared" si="87"/>
        <v>-2.568809519067855E-2</v>
      </c>
      <c r="P93" s="75">
        <f t="shared" si="88"/>
        <v>2.7843579460440275</v>
      </c>
      <c r="R93" s="122"/>
      <c r="AF93" s="7"/>
      <c r="AG93" s="7"/>
      <c r="AH93" s="7"/>
      <c r="AI93" s="7"/>
      <c r="AJ93" s="7"/>
      <c r="AK93" s="7"/>
      <c r="AL93" s="7"/>
      <c r="AM93" s="7"/>
      <c r="AN93" s="7"/>
      <c r="AR93" s="28"/>
      <c r="AS93" s="7"/>
      <c r="AT93" s="83"/>
      <c r="AU93" s="83"/>
      <c r="AV93" s="83"/>
      <c r="AW93" s="83"/>
      <c r="AX93" s="83"/>
      <c r="AY93" s="83"/>
      <c r="AZ93" s="7"/>
    </row>
    <row r="94" spans="1:52">
      <c r="A94" s="19">
        <f t="shared" si="89"/>
        <v>2.7843579460440275</v>
      </c>
      <c r="B94" s="26">
        <f t="shared" si="90"/>
        <v>-0.93686738539005809</v>
      </c>
      <c r="C94" s="26">
        <f t="shared" si="91"/>
        <v>-0.67509477254929451</v>
      </c>
      <c r="D94" s="26">
        <f t="shared" si="92"/>
        <v>1.5653368009871234</v>
      </c>
      <c r="E94" s="26">
        <f t="shared" si="93"/>
        <v>0.34968486125709858</v>
      </c>
      <c r="F94" s="77">
        <f t="shared" si="94"/>
        <v>0.92583467943288122</v>
      </c>
      <c r="G94" s="77">
        <f t="shared" si="95"/>
        <v>6.469704797875532E-2</v>
      </c>
      <c r="H94" s="75">
        <f t="shared" si="96"/>
        <v>1.3801026825342788</v>
      </c>
      <c r="I94" s="75">
        <f t="shared" si="97"/>
        <v>-0.1392821054146042</v>
      </c>
      <c r="J94" s="77">
        <f t="shared" si="98"/>
        <v>-0.98765242267959508</v>
      </c>
      <c r="K94" s="77">
        <f t="shared" si="99"/>
        <v>2.6460949426966516</v>
      </c>
      <c r="L94" s="91">
        <f t="shared" si="100"/>
        <v>2.8244071508530193</v>
      </c>
      <c r="M94" s="93"/>
      <c r="N94" s="75">
        <f t="shared" si="101"/>
        <v>-9.5063420496588336E-8</v>
      </c>
      <c r="O94" s="75">
        <f t="shared" si="87"/>
        <v>-2.5681590039595498E-2</v>
      </c>
      <c r="P94" s="75">
        <f t="shared" si="88"/>
        <v>2.7843579349391341</v>
      </c>
      <c r="R94" s="122"/>
      <c r="AF94" s="7"/>
      <c r="AG94" s="7"/>
      <c r="AH94" s="7"/>
      <c r="AI94" s="7"/>
      <c r="AJ94" s="7"/>
      <c r="AK94" s="7"/>
      <c r="AL94" s="7"/>
      <c r="AM94" s="7"/>
      <c r="AN94" s="7"/>
      <c r="AR94" s="28"/>
      <c r="AS94" s="7"/>
      <c r="AT94" s="83"/>
      <c r="AU94" s="83"/>
      <c r="AV94" s="83"/>
      <c r="AW94" s="83"/>
      <c r="AX94" s="83"/>
      <c r="AY94" s="83"/>
      <c r="AZ94" s="7"/>
    </row>
    <row r="95" spans="1:52">
      <c r="A95" s="19">
        <f t="shared" si="89"/>
        <v>2.7843579349391341</v>
      </c>
      <c r="B95" s="26">
        <f t="shared" si="90"/>
        <v>-0.93686738150684501</v>
      </c>
      <c r="C95" s="26">
        <f t="shared" si="91"/>
        <v>-0.67509476866608142</v>
      </c>
      <c r="D95" s="26">
        <f t="shared" si="92"/>
        <v>1.5653367879743592</v>
      </c>
      <c r="E95" s="26">
        <f t="shared" si="93"/>
        <v>0.34968487166091106</v>
      </c>
      <c r="F95" s="77">
        <f t="shared" si="94"/>
        <v>0.92583463886545103</v>
      </c>
      <c r="G95" s="77">
        <f t="shared" si="95"/>
        <v>6.469708336716809E-2</v>
      </c>
      <c r="H95" s="75">
        <f t="shared" si="96"/>
        <v>1.3801026475781268</v>
      </c>
      <c r="I95" s="75">
        <f t="shared" si="97"/>
        <v>-0.13928201176091209</v>
      </c>
      <c r="J95" s="77">
        <f t="shared" si="98"/>
        <v>-0.98765241446916541</v>
      </c>
      <c r="K95" s="77">
        <f t="shared" si="99"/>
        <v>2.6460948310051613</v>
      </c>
      <c r="L95" s="91">
        <f t="shared" si="100"/>
        <v>2.824407043341842</v>
      </c>
      <c r="M95" s="93"/>
      <c r="N95" s="75">
        <f t="shared" si="101"/>
        <v>-1.4097283895786461E-9</v>
      </c>
      <c r="O95" s="75">
        <f t="shared" si="87"/>
        <v>-2.5681493548397133E-2</v>
      </c>
      <c r="P95" s="75">
        <f t="shared" si="88"/>
        <v>2.7843579347744556</v>
      </c>
      <c r="R95" s="122"/>
      <c r="AF95" s="7"/>
      <c r="AG95" s="7"/>
      <c r="AH95" s="7"/>
      <c r="AI95" s="7"/>
      <c r="AJ95" s="7"/>
      <c r="AK95" s="7"/>
      <c r="AL95" s="7"/>
      <c r="AM95" s="7"/>
      <c r="AN95" s="7"/>
      <c r="AR95" s="28"/>
      <c r="AS95" s="7"/>
      <c r="AT95" s="83"/>
      <c r="AU95" s="83"/>
      <c r="AV95" s="83"/>
      <c r="AW95" s="83"/>
      <c r="AX95" s="83"/>
      <c r="AY95" s="83"/>
      <c r="AZ95" s="7"/>
    </row>
    <row r="96" spans="1:52">
      <c r="A96" s="19">
        <f t="shared" si="89"/>
        <v>2.7843579347744556</v>
      </c>
      <c r="B96" s="26">
        <f t="shared" si="90"/>
        <v>-0.93686738144925941</v>
      </c>
      <c r="C96" s="26">
        <f t="shared" si="91"/>
        <v>-0.67509476860849582</v>
      </c>
      <c r="D96" s="26">
        <f t="shared" si="92"/>
        <v>1.5653367877813882</v>
      </c>
      <c r="E96" s="26">
        <f t="shared" si="93"/>
        <v>0.34968487181519298</v>
      </c>
      <c r="F96" s="77">
        <f t="shared" si="94"/>
        <v>0.92583463826386192</v>
      </c>
      <c r="G96" s="77">
        <f t="shared" si="95"/>
        <v>6.4697083891955678E-2</v>
      </c>
      <c r="H96" s="75">
        <f t="shared" si="96"/>
        <v>1.3801026470597488</v>
      </c>
      <c r="I96" s="75">
        <f t="shared" si="97"/>
        <v>-0.13928201037208698</v>
      </c>
      <c r="J96" s="77">
        <f t="shared" si="98"/>
        <v>-0.9876524143474098</v>
      </c>
      <c r="K96" s="77">
        <f t="shared" si="99"/>
        <v>2.6460948293488484</v>
      </c>
      <c r="L96" s="91">
        <f t="shared" si="100"/>
        <v>2.8244070417475204</v>
      </c>
      <c r="M96" s="93"/>
      <c r="N96" s="75">
        <f t="shared" si="101"/>
        <v>-2.0903279107642447E-11</v>
      </c>
      <c r="O96" s="75">
        <f t="shared" si="87"/>
        <v>-2.5681492117494764E-2</v>
      </c>
      <c r="P96" s="75">
        <f t="shared" si="88"/>
        <v>2.7843579347720135</v>
      </c>
      <c r="R96" s="122"/>
      <c r="AF96" s="7"/>
      <c r="AG96" s="7"/>
      <c r="AH96" s="7"/>
      <c r="AI96" s="7"/>
      <c r="AJ96" s="7"/>
      <c r="AK96" s="7"/>
      <c r="AL96" s="7"/>
      <c r="AM96" s="7"/>
      <c r="AN96" s="7"/>
      <c r="AR96" s="28"/>
      <c r="AS96" s="7"/>
      <c r="AT96" s="83"/>
      <c r="AU96" s="83"/>
      <c r="AV96" s="83"/>
      <c r="AW96" s="83"/>
      <c r="AX96" s="83"/>
      <c r="AY96" s="83"/>
      <c r="AZ96" s="7"/>
    </row>
    <row r="97" spans="1:52">
      <c r="A97" s="19">
        <f>$P96</f>
        <v>2.7843579347720135</v>
      </c>
      <c r="B97" s="26">
        <f t="shared" si="90"/>
        <v>-0.93686738144840542</v>
      </c>
      <c r="C97" s="26">
        <f t="shared" si="91"/>
        <v>-0.67509476860764184</v>
      </c>
      <c r="D97" s="26">
        <f t="shared" si="92"/>
        <v>1.5653367877785267</v>
      </c>
      <c r="E97" s="26">
        <f t="shared" si="93"/>
        <v>0.34968487181748081</v>
      </c>
      <c r="F97" s="77">
        <f t="shared" si="94"/>
        <v>0.92583463825494083</v>
      </c>
      <c r="G97" s="77">
        <f t="shared" si="95"/>
        <v>6.4697083899737856E-2</v>
      </c>
      <c r="H97" s="75">
        <f t="shared" si="96"/>
        <v>1.3801026470520621</v>
      </c>
      <c r="I97" s="75">
        <f t="shared" si="97"/>
        <v>-0.13928201035149218</v>
      </c>
      <c r="J97" s="77">
        <f t="shared" si="98"/>
        <v>-0.98765241434560425</v>
      </c>
      <c r="K97" s="77">
        <f t="shared" si="99"/>
        <v>2.6460948293242863</v>
      </c>
      <c r="L97" s="91">
        <f t="shared" si="100"/>
        <v>2.8244070417238776</v>
      </c>
      <c r="M97" s="93"/>
      <c r="N97" s="75">
        <f t="shared" si="101"/>
        <v>-3.0847546739209974E-13</v>
      </c>
      <c r="O97" s="75">
        <f t="shared" si="87"/>
        <v>-2.5681492096275738E-2</v>
      </c>
      <c r="P97" s="75">
        <f t="shared" si="88"/>
        <v>2.7843579347719776</v>
      </c>
      <c r="R97" s="122"/>
      <c r="AF97" s="7"/>
      <c r="AG97" s="7"/>
      <c r="AH97" s="7"/>
      <c r="AI97" s="7"/>
      <c r="AJ97" s="7"/>
      <c r="AK97" s="7"/>
      <c r="AL97" s="7"/>
      <c r="AM97" s="7"/>
      <c r="AN97" s="7"/>
      <c r="AR97" s="28"/>
      <c r="AS97" s="7"/>
      <c r="AT97" s="83"/>
      <c r="AU97" s="83"/>
      <c r="AV97" s="83"/>
      <c r="AW97" s="83"/>
      <c r="AX97" s="83"/>
      <c r="AY97" s="83"/>
      <c r="AZ97" s="7"/>
    </row>
    <row r="98" spans="1:52">
      <c r="A98" s="19">
        <f t="shared" si="89"/>
        <v>2.7843579347719776</v>
      </c>
      <c r="B98" s="26">
        <f t="shared" si="90"/>
        <v>-0.93686738144839288</v>
      </c>
      <c r="C98" s="26">
        <f t="shared" si="91"/>
        <v>-0.67509476860762929</v>
      </c>
      <c r="D98" s="26">
        <f t="shared" si="92"/>
        <v>1.5653367877784845</v>
      </c>
      <c r="E98" s="26">
        <f t="shared" si="93"/>
        <v>0.34968487181751451</v>
      </c>
      <c r="F98" s="77">
        <f t="shared" si="94"/>
        <v>0.92583463825480961</v>
      </c>
      <c r="G98" s="77">
        <f t="shared" si="95"/>
        <v>6.4697083899852334E-2</v>
      </c>
      <c r="H98" s="75">
        <f t="shared" si="96"/>
        <v>1.3801026470519488</v>
      </c>
      <c r="I98" s="75">
        <f t="shared" si="97"/>
        <v>-0.13928201035118901</v>
      </c>
      <c r="J98" s="77">
        <f t="shared" si="98"/>
        <v>-0.98765241434557793</v>
      </c>
      <c r="K98" s="77">
        <f t="shared" si="99"/>
        <v>2.6460948293239248</v>
      </c>
      <c r="L98" s="91">
        <f t="shared" si="100"/>
        <v>2.8244070417235299</v>
      </c>
      <c r="M98" s="93"/>
      <c r="N98" s="75">
        <f t="shared" si="101"/>
        <v>-5.3013149425851225E-15</v>
      </c>
      <c r="O98" s="75">
        <f t="shared" si="87"/>
        <v>-2.5681492095962655E-2</v>
      </c>
      <c r="P98" s="75">
        <f t="shared" si="88"/>
        <v>2.7843579347719771</v>
      </c>
      <c r="R98" s="122"/>
      <c r="AF98" s="7"/>
      <c r="AG98" s="7"/>
      <c r="AH98" s="7"/>
      <c r="AI98" s="7"/>
      <c r="AJ98" s="7"/>
      <c r="AK98" s="7"/>
      <c r="AL98" s="7"/>
      <c r="AM98" s="7"/>
      <c r="AN98" s="7"/>
      <c r="AR98" s="28"/>
      <c r="AS98" s="7"/>
      <c r="AT98" s="83"/>
      <c r="AU98" s="83"/>
      <c r="AV98" s="83"/>
      <c r="AW98" s="83"/>
      <c r="AX98" s="83"/>
      <c r="AY98" s="83"/>
      <c r="AZ98" s="7"/>
    </row>
    <row r="99" spans="1:52">
      <c r="A99" s="19">
        <f t="shared" si="89"/>
        <v>2.7843579347719771</v>
      </c>
      <c r="B99" s="26">
        <f t="shared" si="90"/>
        <v>-0.93686738144839266</v>
      </c>
      <c r="C99" s="26">
        <f t="shared" si="91"/>
        <v>-0.67509476860762907</v>
      </c>
      <c r="D99" s="26">
        <f t="shared" si="92"/>
        <v>1.5653367877784841</v>
      </c>
      <c r="E99" s="26">
        <f t="shared" si="93"/>
        <v>0.34968487181751495</v>
      </c>
      <c r="F99" s="77">
        <f t="shared" si="94"/>
        <v>0.92583463825480772</v>
      </c>
      <c r="G99" s="77">
        <f t="shared" si="95"/>
        <v>6.4697083899853972E-2</v>
      </c>
      <c r="H99" s="75">
        <f t="shared" si="96"/>
        <v>1.3801026470519475</v>
      </c>
      <c r="I99" s="75">
        <f t="shared" si="97"/>
        <v>-0.13928201035118593</v>
      </c>
      <c r="J99" s="77">
        <f t="shared" si="98"/>
        <v>-0.9876524143455776</v>
      </c>
      <c r="K99" s="77">
        <f t="shared" si="99"/>
        <v>2.6460948293239195</v>
      </c>
      <c r="L99" s="91">
        <f t="shared" si="100"/>
        <v>2.8244070417235245</v>
      </c>
      <c r="M99" s="93"/>
      <c r="N99" s="75">
        <f t="shared" si="101"/>
        <v>-2.2204460492503131E-15</v>
      </c>
      <c r="O99" s="75">
        <f t="shared" si="87"/>
        <v>-2.5681492095959435E-2</v>
      </c>
      <c r="P99" s="75">
        <f t="shared" si="88"/>
        <v>2.7843579347719767</v>
      </c>
      <c r="R99" s="122"/>
      <c r="AF99" s="7"/>
      <c r="AG99" s="7"/>
      <c r="AH99" s="7"/>
      <c r="AI99" s="7"/>
      <c r="AJ99" s="7"/>
      <c r="AK99" s="7"/>
      <c r="AL99" s="7"/>
      <c r="AM99" s="7"/>
      <c r="AN99" s="7"/>
      <c r="AR99" s="28"/>
      <c r="AS99" s="7"/>
      <c r="AT99" s="83"/>
      <c r="AU99" s="83"/>
      <c r="AV99" s="83"/>
      <c r="AW99" s="83"/>
      <c r="AX99" s="83"/>
      <c r="AY99" s="83"/>
      <c r="AZ99" s="7"/>
    </row>
    <row r="100" spans="1:52">
      <c r="A100" s="19">
        <f t="shared" si="89"/>
        <v>2.7843579347719767</v>
      </c>
      <c r="B100" s="26">
        <f t="shared" si="90"/>
        <v>-0.93686738144839254</v>
      </c>
      <c r="C100" s="26">
        <f t="shared" si="91"/>
        <v>-0.67509476860762896</v>
      </c>
      <c r="D100" s="26">
        <f t="shared" si="92"/>
        <v>1.5653367877784834</v>
      </c>
      <c r="E100" s="26">
        <f t="shared" si="93"/>
        <v>0.34968487181751534</v>
      </c>
      <c r="F100" s="77">
        <f t="shared" si="94"/>
        <v>0.92583463825480605</v>
      </c>
      <c r="G100" s="77">
        <f t="shared" si="95"/>
        <v>6.4697083899855429E-2</v>
      </c>
      <c r="H100" s="81">
        <f t="shared" si="96"/>
        <v>1.3801026470519462</v>
      </c>
      <c r="I100" s="81">
        <f t="shared" si="97"/>
        <v>-0.13928201035118173</v>
      </c>
      <c r="J100" s="80">
        <f t="shared" si="98"/>
        <v>-0.98765241434557682</v>
      </c>
      <c r="K100" s="80">
        <f t="shared" si="99"/>
        <v>2.646094829323915</v>
      </c>
      <c r="L100" s="91">
        <f t="shared" si="100"/>
        <v>2.8244070417235201</v>
      </c>
      <c r="M100" s="93"/>
      <c r="N100" s="75">
        <f t="shared" si="101"/>
        <v>1.9706458687096529E-15</v>
      </c>
      <c r="O100" s="75">
        <f t="shared" si="87"/>
        <v>-2.5681492095955244E-2</v>
      </c>
      <c r="P100" s="75">
        <f t="shared" si="88"/>
        <v>2.7843579347719771</v>
      </c>
      <c r="R100" s="122"/>
      <c r="AF100" s="7"/>
      <c r="AG100" s="7"/>
      <c r="AH100" s="7"/>
      <c r="AI100" s="7"/>
      <c r="AJ100" s="7"/>
      <c r="AK100" s="7"/>
      <c r="AL100" s="7"/>
      <c r="AM100" s="7"/>
      <c r="AN100" s="7"/>
      <c r="AR100" s="28"/>
      <c r="AS100" s="7"/>
      <c r="AT100" s="83"/>
      <c r="AU100" s="83"/>
      <c r="AV100" s="83"/>
      <c r="AW100" s="83"/>
      <c r="AX100" s="83"/>
      <c r="AY100" s="83"/>
      <c r="AZ100" s="7"/>
    </row>
    <row r="101" spans="1:52">
      <c r="A101" s="88" t="s">
        <v>60</v>
      </c>
      <c r="B101" s="8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AF101" s="7"/>
      <c r="AG101" s="7"/>
      <c r="AH101" s="7"/>
      <c r="AI101" s="7"/>
      <c r="AJ101" s="7"/>
      <c r="AK101" s="7"/>
      <c r="AL101" s="7"/>
      <c r="AM101" s="7"/>
      <c r="AN101" s="7"/>
      <c r="AR101" s="28"/>
      <c r="AS101" s="7"/>
      <c r="AT101" s="83"/>
      <c r="AU101" s="83"/>
      <c r="AV101" s="83"/>
      <c r="AW101" s="83"/>
      <c r="AX101" s="83"/>
      <c r="AY101" s="83"/>
      <c r="AZ101" s="7"/>
    </row>
    <row r="102" spans="1:52">
      <c r="A102" s="26" t="s">
        <v>11</v>
      </c>
      <c r="B102" s="26" t="s">
        <v>13</v>
      </c>
      <c r="C102" s="26" t="s">
        <v>22</v>
      </c>
      <c r="D102" s="26" t="s">
        <v>18</v>
      </c>
      <c r="E102" s="26" t="s">
        <v>19</v>
      </c>
      <c r="F102" s="26" t="s">
        <v>20</v>
      </c>
      <c r="G102" s="26" t="s">
        <v>2</v>
      </c>
      <c r="H102" s="26" t="s">
        <v>1</v>
      </c>
      <c r="I102" s="26" t="s">
        <v>0</v>
      </c>
      <c r="J102" s="76" t="s">
        <v>3</v>
      </c>
      <c r="K102" s="76" t="s">
        <v>4</v>
      </c>
      <c r="L102" s="44" t="s">
        <v>7</v>
      </c>
      <c r="M102" s="28"/>
      <c r="N102" s="28"/>
      <c r="O102" s="28"/>
      <c r="P102" s="31"/>
      <c r="AF102" s="7"/>
      <c r="AG102" s="7"/>
      <c r="AH102" s="7"/>
      <c r="AI102" s="7"/>
      <c r="AJ102" s="7"/>
      <c r="AK102" s="7"/>
      <c r="AL102" s="7"/>
      <c r="AM102" s="7"/>
      <c r="AN102" s="7"/>
      <c r="AR102" s="28"/>
      <c r="AS102" s="7"/>
      <c r="AT102" s="83"/>
      <c r="AU102" s="83"/>
      <c r="AV102" s="83"/>
      <c r="AW102" s="83"/>
      <c r="AX102" s="83"/>
      <c r="AY102" s="83"/>
      <c r="AZ102" s="7"/>
    </row>
    <row r="103" spans="1:52">
      <c r="A103" s="19">
        <f>$E87</f>
        <v>2.8034752209883607</v>
      </c>
      <c r="B103" s="26">
        <f t="shared" ref="B103:B108" si="102">COS(A103)</f>
        <v>-0.94338080649595846</v>
      </c>
      <c r="C103" s="26">
        <f t="shared" ref="C103:C108" si="103">($C$87+B103)</f>
        <v>-0.68160819365519487</v>
      </c>
      <c r="D103" s="26">
        <f t="shared" ref="D103:D108" si="104">POWER(TAN(A103/2),$C$87)</f>
        <v>1.5885037959166037</v>
      </c>
      <c r="E103" s="26">
        <f t="shared" ref="E103:E108" si="105">SIN(A103)</f>
        <v>0.33171170304201664</v>
      </c>
      <c r="F103" s="77">
        <f t="shared" ref="F103:F108" si="106">(C103*$H$87*D103/E103/$I$87/$J$87)</f>
        <v>1.0000000000000002</v>
      </c>
      <c r="G103" s="77">
        <f t="shared" ref="G103:G108" si="107">$D$87*($C$87+$G$87)/9.81/SIN($C$84)/(1-$C$87*$C$84)*(F103-1)</f>
        <v>-1.9369740936072388E-16</v>
      </c>
      <c r="H103" s="121">
        <f t="shared" ref="H103:H108" si="108">-(-$H$84+$K$87*((POWER(TAN(A103/2),2*$C$87-1)/(2*$C$87-1))+(POWER(TAN(A103/2),2*$C$87+1)/(2*$C$87+1))-(POWER(TAN($E$87/2),2*$C$87-1)/(2*$C$87-1))-(POWER(TAN($E$87/2),2*$C$87+1)/(2*$C$87+1))))</f>
        <v>1.4444865414945027</v>
      </c>
      <c r="I103" s="121">
        <f t="shared" ref="I103:I108" si="109">-(-$I$84+0.5*$K$87*((POWER(TAN(A103/2),2*$C$87-2)/(2*$C$87-2))-(POWER(TAN(A103/2),2*$C$87+2)/(2*$C$87+2))-(POWER(TAN($E$87/2),2*$C$87-2)/(2*$C$87-2))+(POWER(TAN($E$87/2),2*$C$87+2)/(2*$C$87+2))))</f>
        <v>-0.31710907748473754</v>
      </c>
      <c r="J103" s="77">
        <f t="shared" ref="J103:J108" si="110">-$D$87*SIN(A103)*($C$87+$G$87)/($C$87+B103)*F103</f>
        <v>-1.002269685018204</v>
      </c>
      <c r="K103" s="77">
        <f t="shared" ref="K103:K108" si="111">-$D$87*COS(A103)*($C$87+$G$87)/($C$87+B103)*F103</f>
        <v>2.8504329968097566</v>
      </c>
      <c r="L103" s="91">
        <f t="shared" ref="L103:L108" si="112">SQRT(J103*J103+K103*K103)</f>
        <v>3.0215083635178539</v>
      </c>
      <c r="M103" s="28"/>
      <c r="N103" s="28"/>
      <c r="O103" s="28"/>
      <c r="P103" s="31"/>
      <c r="AF103" s="7"/>
      <c r="AG103" s="7"/>
      <c r="AH103" s="7"/>
      <c r="AI103" s="7"/>
      <c r="AJ103" s="7"/>
      <c r="AK103" s="7"/>
      <c r="AL103" s="7"/>
      <c r="AM103" s="7"/>
      <c r="AN103" s="7"/>
      <c r="AR103" s="28"/>
      <c r="AS103" s="7"/>
      <c r="AT103" s="83"/>
      <c r="AU103" s="83"/>
      <c r="AV103" s="83"/>
      <c r="AW103" s="83"/>
      <c r="AX103" s="83"/>
      <c r="AY103" s="83"/>
      <c r="AZ103" s="7"/>
    </row>
    <row r="104" spans="1:52">
      <c r="A104" s="20">
        <f>A103-$F$87</f>
        <v>2.7996717637450841</v>
      </c>
      <c r="B104" s="26">
        <f t="shared" si="102"/>
        <v>-0.94211233465771982</v>
      </c>
      <c r="C104" s="26">
        <f t="shared" si="103"/>
        <v>-0.68033972181695623</v>
      </c>
      <c r="D104" s="26">
        <f t="shared" si="104"/>
        <v>1.5837685255310257</v>
      </c>
      <c r="E104" s="26">
        <f t="shared" si="105"/>
        <v>0.33529740363710014</v>
      </c>
      <c r="F104" s="77">
        <f t="shared" si="106"/>
        <v>0.98452121755124111</v>
      </c>
      <c r="G104" s="77">
        <f t="shared" si="107"/>
        <v>1.3502692674722349E-2</v>
      </c>
      <c r="H104" s="121">
        <f t="shared" si="108"/>
        <v>1.4309715196288273</v>
      </c>
      <c r="I104" s="121">
        <f t="shared" si="109"/>
        <v>-0.2789035076273399</v>
      </c>
      <c r="J104" s="77">
        <f t="shared" si="110"/>
        <v>-0.99928195658467445</v>
      </c>
      <c r="K104" s="77">
        <f t="shared" si="111"/>
        <v>2.8077636357669475</v>
      </c>
      <c r="L104" s="91">
        <f t="shared" si="112"/>
        <v>2.9802853996036895</v>
      </c>
      <c r="M104" s="28"/>
      <c r="N104" s="28"/>
      <c r="O104" s="28"/>
      <c r="P104" s="31"/>
      <c r="AF104" s="7"/>
      <c r="AG104" s="7"/>
      <c r="AH104" s="7"/>
      <c r="AI104" s="7"/>
      <c r="AJ104" s="7"/>
      <c r="AK104" s="7"/>
      <c r="AL104" s="7"/>
      <c r="AM104" s="7"/>
      <c r="AN104" s="7"/>
      <c r="AR104" s="28"/>
      <c r="AS104" s="7"/>
      <c r="AT104" s="83"/>
      <c r="AU104" s="83"/>
      <c r="AV104" s="83"/>
      <c r="AW104" s="83"/>
      <c r="AX104" s="83"/>
      <c r="AY104" s="83"/>
      <c r="AZ104" s="7"/>
    </row>
    <row r="105" spans="1:52">
      <c r="A105" s="20">
        <f>A104-$F$87</f>
        <v>2.7958683065018075</v>
      </c>
      <c r="B105" s="26">
        <f t="shared" si="102"/>
        <v>-0.94083023396849041</v>
      </c>
      <c r="C105" s="26">
        <f t="shared" si="103"/>
        <v>-0.67905762112772683</v>
      </c>
      <c r="D105" s="26">
        <f t="shared" si="104"/>
        <v>1.5790974841163519</v>
      </c>
      <c r="E105" s="26">
        <f t="shared" si="105"/>
        <v>0.33887825372955921</v>
      </c>
      <c r="F105" s="77">
        <f t="shared" si="106"/>
        <v>0.96941470545688824</v>
      </c>
      <c r="G105" s="77">
        <f t="shared" si="107"/>
        <v>2.668064067368647E-2</v>
      </c>
      <c r="H105" s="121">
        <f t="shared" si="108"/>
        <v>1.4178206502238615</v>
      </c>
      <c r="I105" s="121">
        <f t="shared" si="109"/>
        <v>-0.24217232962818167</v>
      </c>
      <c r="J105" s="77">
        <f t="shared" si="110"/>
        <v>-0.99633475355033052</v>
      </c>
      <c r="K105" s="77">
        <f t="shared" si="111"/>
        <v>2.7661316386556063</v>
      </c>
      <c r="L105" s="91">
        <f t="shared" si="112"/>
        <v>2.9400964581972047</v>
      </c>
      <c r="M105" s="45"/>
      <c r="N105" s="28"/>
      <c r="O105" s="28"/>
      <c r="P105" s="31"/>
      <c r="AF105" s="7"/>
      <c r="AG105" s="7"/>
      <c r="AH105" s="7"/>
      <c r="AI105" s="7"/>
      <c r="AJ105" s="7"/>
      <c r="AK105" s="7"/>
      <c r="AL105" s="7"/>
      <c r="AM105" s="7"/>
      <c r="AN105" s="7"/>
      <c r="AR105" s="28"/>
      <c r="AS105" s="7"/>
      <c r="AT105" s="83"/>
      <c r="AU105" s="83"/>
      <c r="AV105" s="83"/>
      <c r="AW105" s="83"/>
      <c r="AX105" s="83"/>
      <c r="AY105" s="83"/>
      <c r="AZ105" s="7"/>
    </row>
    <row r="106" spans="1:52">
      <c r="A106" s="20">
        <f>A105-$F$87</f>
        <v>2.7920648492585309</v>
      </c>
      <c r="B106" s="26">
        <f t="shared" si="102"/>
        <v>-0.93953452297548445</v>
      </c>
      <c r="C106" s="26">
        <f t="shared" si="103"/>
        <v>-0.67776191013472087</v>
      </c>
      <c r="D106" s="26">
        <f t="shared" si="104"/>
        <v>1.5744890691377855</v>
      </c>
      <c r="E106" s="26">
        <f t="shared" si="105"/>
        <v>0.34245420151785111</v>
      </c>
      <c r="F106" s="77">
        <f t="shared" si="106"/>
        <v>0.95466729266090711</v>
      </c>
      <c r="G106" s="77">
        <f t="shared" si="107"/>
        <v>3.9545333577705385E-2</v>
      </c>
      <c r="H106" s="121">
        <f t="shared" si="108"/>
        <v>1.4050200588244874</v>
      </c>
      <c r="I106" s="121">
        <f t="shared" si="109"/>
        <v>-0.20684351167848455</v>
      </c>
      <c r="J106" s="77">
        <f t="shared" si="110"/>
        <v>-0.9934270647925989</v>
      </c>
      <c r="K106" s="77">
        <f t="shared" si="111"/>
        <v>2.725500283815899</v>
      </c>
      <c r="L106" s="91">
        <f t="shared" si="112"/>
        <v>2.9009048812642901</v>
      </c>
      <c r="M106" s="45"/>
      <c r="N106" s="28"/>
      <c r="O106" s="28"/>
      <c r="P106" s="31"/>
      <c r="AF106" s="7"/>
      <c r="AG106" s="7"/>
      <c r="AH106" s="7"/>
      <c r="AI106" s="7"/>
      <c r="AJ106" s="7"/>
      <c r="AK106" s="7"/>
      <c r="AL106" s="7"/>
      <c r="AM106" s="7"/>
      <c r="AN106" s="7"/>
      <c r="AR106" s="28"/>
      <c r="AS106" s="7"/>
      <c r="AT106" s="83"/>
      <c r="AU106" s="83"/>
      <c r="AV106" s="83"/>
      <c r="AW106" s="83"/>
      <c r="AX106" s="83"/>
      <c r="AY106" s="83"/>
      <c r="AZ106" s="7"/>
    </row>
    <row r="107" spans="1:52">
      <c r="A107" s="20">
        <f>A106-$F$87</f>
        <v>2.7882613920152544</v>
      </c>
      <c r="B107" s="26">
        <f t="shared" si="102"/>
        <v>-0.93822522042280621</v>
      </c>
      <c r="C107" s="26">
        <f t="shared" si="103"/>
        <v>-0.67645260758204262</v>
      </c>
      <c r="D107" s="26">
        <f t="shared" si="104"/>
        <v>1.5699417345686453</v>
      </c>
      <c r="E107" s="26">
        <f t="shared" si="105"/>
        <v>0.34602519527135123</v>
      </c>
      <c r="F107" s="77">
        <f t="shared" si="106"/>
        <v>0.94026641092768759</v>
      </c>
      <c r="G107" s="77">
        <f t="shared" si="107"/>
        <v>5.2107735105887433E-2</v>
      </c>
      <c r="H107" s="121">
        <f t="shared" si="108"/>
        <v>1.3925565437174607</v>
      </c>
      <c r="I107" s="121">
        <f t="shared" si="109"/>
        <v>-0.17284927149823892</v>
      </c>
      <c r="J107" s="77">
        <f t="shared" si="110"/>
        <v>-0.99055791484281575</v>
      </c>
      <c r="K107" s="77">
        <f t="shared" si="111"/>
        <v>2.6858345308241258</v>
      </c>
      <c r="L107" s="91">
        <f t="shared" si="112"/>
        <v>2.8626756906127175</v>
      </c>
      <c r="M107" s="45"/>
      <c r="N107" s="28"/>
      <c r="O107" s="28"/>
      <c r="P107" s="89"/>
      <c r="AF107" s="7"/>
      <c r="AG107" s="7"/>
      <c r="AH107" s="7"/>
      <c r="AI107" s="7"/>
      <c r="AJ107" s="7"/>
      <c r="AK107" s="7"/>
      <c r="AL107" s="7"/>
      <c r="AM107" s="7"/>
      <c r="AN107" s="7"/>
      <c r="AR107" s="28"/>
      <c r="AS107" s="7"/>
      <c r="AT107" s="83"/>
      <c r="AU107" s="83"/>
      <c r="AV107" s="83"/>
      <c r="AW107" s="83"/>
      <c r="AX107" s="83"/>
      <c r="AY107" s="83"/>
      <c r="AZ107" s="7"/>
    </row>
    <row r="108" spans="1:52">
      <c r="A108" s="20">
        <f>A107-$F$87</f>
        <v>2.7844579347719778</v>
      </c>
      <c r="B108" s="26">
        <f t="shared" si="102"/>
        <v>-0.93690234525117955</v>
      </c>
      <c r="C108" s="26">
        <f t="shared" si="103"/>
        <v>-0.67512973241041596</v>
      </c>
      <c r="D108" s="26">
        <f t="shared" si="104"/>
        <v>1.5654539883145993</v>
      </c>
      <c r="E108" s="26">
        <f t="shared" si="105"/>
        <v>0.34959118333110129</v>
      </c>
      <c r="F108" s="77">
        <f t="shared" si="106"/>
        <v>0.92620006112005926</v>
      </c>
      <c r="G108" s="77">
        <f t="shared" si="107"/>
        <v>6.4378312532523102E-2</v>
      </c>
      <c r="H108" s="121">
        <f t="shared" si="108"/>
        <v>1.3804175364927087</v>
      </c>
      <c r="I108" s="121">
        <f t="shared" si="109"/>
        <v>-0.1401257834381168</v>
      </c>
      <c r="J108" s="77">
        <f t="shared" si="110"/>
        <v>-0.98772636226104216</v>
      </c>
      <c r="K108" s="77">
        <f t="shared" si="111"/>
        <v>2.6471009264336285</v>
      </c>
      <c r="L108" s="91">
        <f t="shared" si="112"/>
        <v>2.8253754938823983</v>
      </c>
      <c r="M108" s="45"/>
      <c r="N108" s="28"/>
      <c r="O108" s="28"/>
      <c r="P108" s="28"/>
      <c r="W108" s="18"/>
      <c r="X108" s="18"/>
      <c r="Y108" s="18"/>
      <c r="Z108" s="18"/>
      <c r="AA108" s="18"/>
      <c r="AB108" s="18"/>
      <c r="AC108" s="18"/>
      <c r="AD108" s="18"/>
      <c r="AE108" s="18"/>
      <c r="AF108" s="7"/>
      <c r="AG108" s="7"/>
      <c r="AH108" s="7"/>
      <c r="AI108" s="7"/>
      <c r="AJ108" s="7"/>
      <c r="AK108" s="7"/>
      <c r="AL108" s="7"/>
      <c r="AM108" s="7"/>
      <c r="AN108" s="7"/>
      <c r="AR108" s="28"/>
      <c r="AS108" s="7"/>
      <c r="AT108" s="83"/>
      <c r="AU108" s="83"/>
      <c r="AV108" s="83"/>
      <c r="AW108" s="83"/>
      <c r="AX108" s="83"/>
      <c r="AY108" s="83"/>
      <c r="AZ108" s="7"/>
    </row>
    <row r="109" spans="1:52" s="1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T109"/>
      <c r="U109"/>
      <c r="AF109" s="7"/>
      <c r="AG109" s="7"/>
      <c r="AH109" s="7"/>
      <c r="AI109" s="7"/>
      <c r="AJ109" s="7"/>
      <c r="AK109" s="7"/>
      <c r="AL109" s="7"/>
      <c r="AM109" s="7"/>
      <c r="AN109" s="7"/>
      <c r="AR109" s="92"/>
      <c r="AS109" s="7"/>
      <c r="AT109" s="83"/>
      <c r="AU109" s="83"/>
      <c r="AV109" s="83"/>
      <c r="AW109" s="83"/>
      <c r="AX109" s="83"/>
      <c r="AY109" s="83"/>
      <c r="AZ109" s="7"/>
    </row>
    <row r="110" spans="1:52" s="18" customFormat="1">
      <c r="A110" s="88" t="s">
        <v>73</v>
      </c>
      <c r="B110" s="88"/>
      <c r="C110" s="23" t="str">
        <f>CONCATENATE("m",Stufengrün!Z48)</f>
        <v>m0</v>
      </c>
      <c r="D110" s="23" t="s">
        <v>30</v>
      </c>
      <c r="E110" s="28"/>
      <c r="F110" s="28"/>
      <c r="G110" s="28"/>
      <c r="H110" s="36" t="s">
        <v>57</v>
      </c>
      <c r="I110" s="36" t="s">
        <v>51</v>
      </c>
      <c r="J110" s="36" t="s">
        <v>58</v>
      </c>
      <c r="K110" s="36" t="s">
        <v>59</v>
      </c>
      <c r="L110" s="28"/>
      <c r="M110" s="28"/>
      <c r="N110" s="28"/>
      <c r="O110" s="28"/>
      <c r="P110" s="28"/>
      <c r="T110"/>
      <c r="U110"/>
      <c r="AF110" s="7"/>
      <c r="AG110" s="7"/>
      <c r="AH110" s="7"/>
      <c r="AI110" s="7"/>
      <c r="AJ110" s="7"/>
      <c r="AK110" s="7"/>
      <c r="AL110" s="7"/>
      <c r="AM110" s="7"/>
      <c r="AN110" s="7"/>
      <c r="AR110" s="92"/>
      <c r="AS110" s="7"/>
      <c r="AT110" s="83"/>
      <c r="AU110" s="83"/>
      <c r="AV110" s="83"/>
      <c r="AW110" s="83"/>
      <c r="AX110" s="83"/>
      <c r="AY110" s="83"/>
      <c r="AZ110" s="7"/>
    </row>
    <row r="111" spans="1:52" s="18" customFormat="1">
      <c r="A111" s="88" t="s">
        <v>69</v>
      </c>
      <c r="B111" s="88"/>
      <c r="C111" s="36">
        <f>Stufengrün!AA48</f>
        <v>0.38197186342054879</v>
      </c>
      <c r="D111" s="26">
        <f>Stufengrün!AC48</f>
        <v>0.1392820103511837</v>
      </c>
      <c r="E111" s="28"/>
      <c r="F111" s="28"/>
      <c r="G111" s="28"/>
      <c r="H111" s="78">
        <f>H100</f>
        <v>1.3801026470519462</v>
      </c>
      <c r="I111" s="78">
        <f>I100</f>
        <v>-0.13928201035118173</v>
      </c>
      <c r="J111" s="78">
        <f>J100</f>
        <v>-0.98765241434557682</v>
      </c>
      <c r="K111" s="78">
        <f>K100</f>
        <v>2.646094829323915</v>
      </c>
      <c r="L111" s="28"/>
      <c r="M111" s="28"/>
      <c r="N111" s="28"/>
      <c r="O111" s="28"/>
      <c r="P111" s="28"/>
      <c r="T111"/>
      <c r="U111"/>
      <c r="AF111" s="7"/>
      <c r="AG111" s="7"/>
      <c r="AH111" s="7"/>
      <c r="AI111" s="7"/>
      <c r="AJ111" s="7"/>
      <c r="AK111" s="7"/>
      <c r="AL111" s="7"/>
      <c r="AM111" s="7"/>
      <c r="AN111" s="7"/>
      <c r="AR111" s="92"/>
      <c r="AS111" s="7"/>
      <c r="AT111" s="83"/>
      <c r="AU111" s="83"/>
      <c r="AV111" s="83"/>
      <c r="AW111" s="83"/>
      <c r="AX111" s="83"/>
      <c r="AY111" s="83"/>
      <c r="AZ111" s="7"/>
    </row>
    <row r="112" spans="1:52" s="18" customFormat="1">
      <c r="A112" s="95"/>
      <c r="B112" s="95"/>
      <c r="C112" s="28"/>
      <c r="D112" s="28"/>
      <c r="E112" s="28"/>
      <c r="F112" s="28"/>
      <c r="G112" s="28"/>
      <c r="H112" s="37" t="s">
        <v>8</v>
      </c>
      <c r="I112" s="37" t="s">
        <v>8</v>
      </c>
      <c r="J112" s="37" t="s">
        <v>9</v>
      </c>
      <c r="K112" s="37" t="s">
        <v>9</v>
      </c>
      <c r="L112" s="28"/>
      <c r="M112" s="28"/>
      <c r="N112" s="28"/>
      <c r="O112" s="28"/>
      <c r="P112" s="28"/>
      <c r="T112"/>
      <c r="U112"/>
      <c r="AF112" s="7"/>
      <c r="AG112" s="7"/>
      <c r="AH112" s="7"/>
      <c r="AI112" s="7"/>
      <c r="AJ112" s="7"/>
      <c r="AK112" s="7"/>
      <c r="AL112" s="7"/>
      <c r="AM112" s="7"/>
      <c r="AN112" s="7"/>
      <c r="AR112" s="92"/>
      <c r="AS112" s="7"/>
      <c r="AT112" s="83"/>
      <c r="AU112" s="83"/>
      <c r="AV112" s="83"/>
      <c r="AW112" s="83"/>
      <c r="AX112" s="83"/>
      <c r="AY112" s="83"/>
      <c r="AZ112" s="7"/>
    </row>
    <row r="113" spans="1:52" s="18" customFormat="1">
      <c r="A113" s="88" t="s">
        <v>68</v>
      </c>
      <c r="B113" s="88"/>
      <c r="C113" s="115" t="s">
        <v>15</v>
      </c>
      <c r="D113" s="115" t="s">
        <v>55</v>
      </c>
      <c r="E113" s="115" t="s">
        <v>12</v>
      </c>
      <c r="F113" s="115" t="s">
        <v>10</v>
      </c>
      <c r="G113" s="115" t="s">
        <v>14</v>
      </c>
      <c r="H113" s="115" t="s">
        <v>21</v>
      </c>
      <c r="I113" s="115" t="s">
        <v>16</v>
      </c>
      <c r="J113" s="115" t="s">
        <v>17</v>
      </c>
      <c r="K113" s="115" t="s">
        <v>23</v>
      </c>
      <c r="L113" s="28"/>
      <c r="M113" s="28"/>
      <c r="N113" s="28"/>
      <c r="O113" s="28"/>
      <c r="P113" s="28"/>
      <c r="T113"/>
      <c r="U113"/>
      <c r="AF113" s="7"/>
      <c r="AG113" s="7"/>
      <c r="AH113" s="7"/>
      <c r="AI113" s="7"/>
      <c r="AJ113" s="7"/>
      <c r="AK113" s="7"/>
      <c r="AL113" s="7"/>
      <c r="AM113" s="7"/>
      <c r="AN113" s="7"/>
      <c r="AR113" s="92"/>
      <c r="AS113" s="7"/>
      <c r="AT113" s="83"/>
      <c r="AU113" s="83"/>
      <c r="AV113" s="83"/>
      <c r="AW113" s="83"/>
      <c r="AX113" s="83"/>
      <c r="AY113" s="83"/>
      <c r="AZ113" s="7"/>
    </row>
    <row r="114" spans="1:52" s="18" customFormat="1">
      <c r="A114" s="28"/>
      <c r="B114" s="28"/>
      <c r="C114" s="23">
        <f>Mü/TAN($C111)</f>
        <v>0.17425898005457305</v>
      </c>
      <c r="D114" s="42">
        <f>SQRT($J111*$J111+$K111*$K111)</f>
        <v>2.8244070417235201</v>
      </c>
      <c r="E114" s="20">
        <f>ATAN($J111/$K111)+PI()</f>
        <v>2.7843579347719767</v>
      </c>
      <c r="F114" s="23">
        <f>($E114-A127-0.0001)/5</f>
        <v>1.2398950247644123E-2</v>
      </c>
      <c r="G114" s="23">
        <f>COS($E114)</f>
        <v>-0.93686738144839254</v>
      </c>
      <c r="H114" s="23">
        <f>SIN($E114)</f>
        <v>0.34968487181751534</v>
      </c>
      <c r="I114" s="23">
        <f>$C114+$G114</f>
        <v>-0.76260840139381947</v>
      </c>
      <c r="J114" s="23">
        <f>POWER(TAN($E114/2),$C114)</f>
        <v>1.3475600921276407</v>
      </c>
      <c r="K114" s="23">
        <f>-$D114*$D114*SIN($E114)*SIN($E114)/(2*9.81*SIN($C111)*POWER(TAN($E114/2),2*$C114))</f>
        <v>-7.3450409121518567E-2</v>
      </c>
      <c r="L114" s="28"/>
      <c r="M114" s="28"/>
      <c r="N114" s="28"/>
      <c r="O114" s="28"/>
      <c r="P114" s="28"/>
      <c r="T114"/>
      <c r="U114"/>
      <c r="AF114" s="7"/>
      <c r="AG114" s="7"/>
      <c r="AH114" s="7"/>
      <c r="AI114" s="7"/>
      <c r="AJ114" s="7"/>
      <c r="AK114" s="7"/>
      <c r="AL114" s="7"/>
      <c r="AM114" s="7"/>
      <c r="AN114" s="7"/>
      <c r="AR114" s="92"/>
      <c r="AS114" s="7"/>
      <c r="AT114" s="83"/>
      <c r="AU114" s="83"/>
      <c r="AV114" s="83"/>
      <c r="AW114" s="83"/>
      <c r="AX114" s="83"/>
      <c r="AY114" s="83"/>
      <c r="AZ114" s="7"/>
    </row>
    <row r="115" spans="1:52" s="18" customFormat="1">
      <c r="A115" s="88" t="s">
        <v>70</v>
      </c>
      <c r="B115" s="8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45"/>
      <c r="N115" s="28"/>
      <c r="O115" s="28"/>
      <c r="P115" s="28"/>
      <c r="T115"/>
      <c r="U115"/>
      <c r="AF115" s="7"/>
      <c r="AG115" s="7"/>
      <c r="AH115" s="7"/>
      <c r="AI115" s="7"/>
      <c r="AJ115" s="7"/>
      <c r="AK115" s="7"/>
      <c r="AL115" s="7"/>
      <c r="AM115" s="7"/>
      <c r="AN115" s="7"/>
      <c r="AR115" s="92"/>
      <c r="AS115" s="7"/>
      <c r="AT115" s="83"/>
      <c r="AU115" s="83"/>
      <c r="AV115" s="83"/>
      <c r="AW115" s="83"/>
      <c r="AX115" s="83"/>
      <c r="AY115" s="83"/>
      <c r="AZ115" s="7"/>
    </row>
    <row r="116" spans="1:52" s="18" customFormat="1">
      <c r="A116" s="115" t="s">
        <v>11</v>
      </c>
      <c r="B116" s="115" t="s">
        <v>13</v>
      </c>
      <c r="C116" s="105" t="s">
        <v>22</v>
      </c>
      <c r="D116" s="105" t="s">
        <v>18</v>
      </c>
      <c r="E116" s="115" t="s">
        <v>19</v>
      </c>
      <c r="F116" s="105" t="s">
        <v>20</v>
      </c>
      <c r="G116" s="105" t="s">
        <v>2</v>
      </c>
      <c r="H116" s="105" t="s">
        <v>65</v>
      </c>
      <c r="I116" s="105" t="s">
        <v>66</v>
      </c>
      <c r="J116" s="106" t="s">
        <v>3</v>
      </c>
      <c r="K116" s="106" t="s">
        <v>4</v>
      </c>
      <c r="L116" s="116" t="s">
        <v>7</v>
      </c>
      <c r="M116" s="93"/>
      <c r="N116" s="105" t="s">
        <v>61</v>
      </c>
      <c r="O116" s="105" t="s">
        <v>62</v>
      </c>
      <c r="P116" s="115" t="s">
        <v>63</v>
      </c>
      <c r="T116"/>
      <c r="U116"/>
      <c r="AF116" s="7"/>
      <c r="AG116" s="7"/>
      <c r="AH116" s="7"/>
      <c r="AI116" s="7"/>
      <c r="AJ116" s="7"/>
      <c r="AK116" s="7"/>
      <c r="AL116" s="7"/>
      <c r="AM116" s="7"/>
      <c r="AN116" s="7"/>
      <c r="AR116" s="92"/>
      <c r="AS116" s="7"/>
      <c r="AT116" s="83"/>
      <c r="AU116" s="83"/>
      <c r="AV116" s="83"/>
      <c r="AW116" s="83"/>
      <c r="AX116" s="83"/>
      <c r="AY116" s="83"/>
      <c r="AZ116" s="7"/>
    </row>
    <row r="117" spans="1:52" s="18" customFormat="1">
      <c r="A117" s="19">
        <f>$E114</f>
        <v>2.7843579347719767</v>
      </c>
      <c r="B117" s="26">
        <f>COS(A117)</f>
        <v>-0.93686738144839254</v>
      </c>
      <c r="C117" s="26">
        <f>($C$114+B117)</f>
        <v>-0.76260840139381947</v>
      </c>
      <c r="D117" s="26">
        <f>POWER(TAN(A117/2),$C$114)</f>
        <v>1.3475600921276407</v>
      </c>
      <c r="E117" s="26">
        <f>SIN(A117)</f>
        <v>0.34968487181751534</v>
      </c>
      <c r="F117" s="77">
        <f>(C117*$H$114*D117/E117/$I$114/$J$114)</f>
        <v>1</v>
      </c>
      <c r="G117" s="77">
        <f>$D$114*($C$114+$G$114)/9.81/SIN($C$111)/(1-$C$114*$C$111)*(F117-1)</f>
        <v>0</v>
      </c>
      <c r="H117" s="75">
        <f>-(-$H$111+$K$114*((POWER(TAN(A117/2),2*$C$114-1)/(2*$C$114-1))+(POWER(TAN(A117/2),2*$C$114+1)/(2*$C$114+1))-(POWER(TAN($E$114/2),2*$C$114-1)/(2*$C$114-1))-(POWER(TAN($E$114/2),2*$C$114+1)/(2*$C$114+1))))</f>
        <v>1.3801026470519462</v>
      </c>
      <c r="I117" s="75">
        <f>-(-$I$111+0.5*$K$114*((POWER(TAN(A117/2),2*$C$114-2)/(2*$C$114-2))-(POWER(TAN(A117/2),2*$C$114+2)/(2*$C$114+2))-(POWER(TAN($E$114/2),2*$C$114-2)/(2*$C$114-2))+(POWER(TAN($E$114/2),2*$C$114+2)/(2*$C$114+2))))</f>
        <v>-0.13928201035118173</v>
      </c>
      <c r="J117" s="77">
        <f>-$D$114*SIN(A117)*($C$114+$G$114)/($C$114+B117)*F117</f>
        <v>-0.98765241434557682</v>
      </c>
      <c r="K117" s="77">
        <f>-$D$114*COS(A117)*($C$114+$G$114)/($C$114+B117)*F117</f>
        <v>2.646094829323915</v>
      </c>
      <c r="L117" s="91">
        <f>SQRT(J117*J117+K117*K117)</f>
        <v>2.8244070417235201</v>
      </c>
      <c r="M117" s="93"/>
      <c r="N117" s="75">
        <f>-(-$I$111+0.5*$K$114*((POWER(TAN(A117/2),2*$C$114-2)/(2*$C$114-2))-(POWER(TAN(A117/2),2*$C$114+2)/(2*$C$114+2))-(POWER(TAN($E$114/2),2*$C$114-2)/(2*$C$114-2))+(POWER(TAN($E$114/2),2*$C$114+2)/(2*$C$114+2))))-$D$111</f>
        <v>-0.27856402070236541</v>
      </c>
      <c r="O117" s="75">
        <f>-(-$I$111+0.5*$K$114*((POWER(TAN((A117+$M$9)/2),2*$C$114-2)/(2*$C$114-2))-(POWER(TAN((A117+$M$9)/2),2*$C$114+2)/(2*$C$114+2))-(POWER(TAN($E$114/2),2*$C$114-2)/(2*$C$114-2))+(POWER(TAN($E$114/2),2*$C$114+2)/(2*$C$114+2))))-$D$111</f>
        <v>-0.29634883451323907</v>
      </c>
      <c r="P117" s="75">
        <f>A117-N117/(O117-N117)*$M$9</f>
        <v>2.7373688534695817</v>
      </c>
      <c r="T117"/>
      <c r="U117"/>
      <c r="AF117" s="7"/>
      <c r="AG117" s="7"/>
      <c r="AH117" s="7"/>
      <c r="AI117" s="7"/>
      <c r="AJ117" s="7"/>
      <c r="AK117" s="7"/>
      <c r="AL117" s="7"/>
      <c r="AM117" s="7"/>
      <c r="AN117" s="7"/>
      <c r="AR117" s="92"/>
      <c r="AS117" s="7"/>
      <c r="AT117" s="83"/>
      <c r="AU117" s="83"/>
      <c r="AV117" s="83"/>
      <c r="AW117" s="83"/>
      <c r="AX117" s="83"/>
      <c r="AY117" s="83"/>
      <c r="AZ117" s="7"/>
    </row>
    <row r="118" spans="1:52" s="18" customFormat="1">
      <c r="A118" s="19">
        <f>$P117</f>
        <v>2.7373688534695817</v>
      </c>
      <c r="B118" s="26">
        <f>COS(A118)</f>
        <v>-0.9194079575762325</v>
      </c>
      <c r="C118" s="26">
        <f>($C$114+B118)</f>
        <v>-0.74514897752165943</v>
      </c>
      <c r="D118" s="26">
        <f>POWER(TAN(A118/2),$C$114)</f>
        <v>1.3181548375236274</v>
      </c>
      <c r="E118" s="26">
        <f>SIN(A118)</f>
        <v>0.39330523457678601</v>
      </c>
      <c r="F118" s="77">
        <f>(C118*$H$114*D118/E118/$I$114/$J$114)</f>
        <v>0.84978082837562696</v>
      </c>
      <c r="G118" s="77">
        <f>$D$114*($C$114+$G$114)/9.81/SIN($C$111)/(1-$C$114*$C$111)*(F118-1)</f>
        <v>9.4794034339031594E-2</v>
      </c>
      <c r="H118" s="75">
        <f>-(-$H$111+$K$114*((POWER(TAN(A118/2),2*$C$114-1)/(2*$C$114-1))+(POWER(TAN(A118/2),2*$C$114+1)/(2*$C$114+1))-(POWER(TAN($E$114/2),2*$C$114-1)/(2*$C$114-1))-(POWER(TAN($E$114/2),2*$C$114+1)/(2*$C$114+1))))</f>
        <v>1.2909380906495609</v>
      </c>
      <c r="I118" s="75">
        <f>-(-$I$111+0.5*$K$114*((POWER(TAN(A118/2),2*$C$114-2)/(2*$C$114-2))-(POWER(TAN(A118/2),2*$C$114+2)/(2*$C$114+2))-(POWER(TAN($E$114/2),2*$C$114-2)/(2*$C$114-2))+(POWER(TAN($E$114/2),2*$C$114+2)/(2*$C$114+2))))</f>
        <v>8.4491207944896174E-2</v>
      </c>
      <c r="J118" s="77">
        <f>-$D$114*SIN(A118)*($C$114+$G$114)/($C$114+B118)*F118</f>
        <v>-0.96610074412785341</v>
      </c>
      <c r="K118" s="77">
        <f>-$D$114*COS(A118)*($C$114+$G$114)/($C$114+B118)*F118</f>
        <v>2.2584004327510532</v>
      </c>
      <c r="L118" s="91">
        <f>SQRT(J118*J118+K118*K118)</f>
        <v>2.4563638090589381</v>
      </c>
      <c r="M118" s="93"/>
      <c r="N118" s="75">
        <f>-(-$I$111+0.5*$K$114*((POWER(TAN(A118/2),2*$C$114-2)/(2*$C$114-2))-(POWER(TAN(A118/2),2*$C$114+2)/(2*$C$114+2))-(POWER(TAN($E$114/2),2*$C$114-2)/(2*$C$114-2))+(POWER(TAN($E$114/2),2*$C$114+2)/(2*$C$114+2))))-$D$111</f>
        <v>-5.4790802406287531E-2</v>
      </c>
      <c r="O118" s="75">
        <f t="shared" ref="O118:O127" si="113">-(-$I$111+0.5*$K$114*((POWER(TAN((A118+$M$9)/2),2*$C$114-2)/(2*$C$114-2))-(POWER(TAN((A118+$M$9)/2),2*$C$114+2)/(2*$C$114+2))-(POWER(TAN($E$114/2),2*$C$114-2)/(2*$C$114-2))+(POWER(TAN($E$114/2),2*$C$114+2)/(2*$C$114+2))))-$D$111</f>
        <v>-6.6508613539067979E-2</v>
      </c>
      <c r="P118" s="75">
        <f t="shared" ref="P118:P127" si="114">A118-N118/(O118-N118)*$M$9</f>
        <v>2.7233412842114433</v>
      </c>
      <c r="T118"/>
      <c r="U118"/>
      <c r="AF118" s="7"/>
      <c r="AG118" s="7"/>
      <c r="AH118" s="7"/>
      <c r="AI118" s="7"/>
      <c r="AJ118" s="7"/>
      <c r="AK118" s="7"/>
      <c r="AL118" s="7"/>
      <c r="AM118" s="7"/>
      <c r="AN118" s="7"/>
      <c r="AR118" s="92"/>
      <c r="AS118" s="7"/>
      <c r="AT118" s="83"/>
      <c r="AU118" s="83"/>
      <c r="AV118" s="83"/>
      <c r="AW118" s="83"/>
      <c r="AX118" s="83"/>
      <c r="AY118" s="83"/>
      <c r="AZ118" s="7"/>
    </row>
    <row r="119" spans="1:52" s="18" customFormat="1">
      <c r="A119" s="19">
        <f t="shared" ref="A119:A127" si="115">$P118</f>
        <v>2.7233412842114433</v>
      </c>
      <c r="B119" s="26">
        <f t="shared" ref="B119:B127" si="116">COS(A119)</f>
        <v>-0.91380056638365414</v>
      </c>
      <c r="C119" s="26">
        <f t="shared" ref="C119:C127" si="117">($C$114+B119)</f>
        <v>-0.73954158632908107</v>
      </c>
      <c r="D119" s="26">
        <f t="shared" ref="D119:D127" si="118">POWER(TAN(A119/2),$C$114)</f>
        <v>1.3101181749942097</v>
      </c>
      <c r="E119" s="26">
        <f t="shared" ref="E119:E127" si="119">SIN(A119)</f>
        <v>0.4061631751856794</v>
      </c>
      <c r="F119" s="77">
        <f t="shared" ref="F119:F127" si="120">(C119*$H$114*D119/E119/$I$114/$J$114)</f>
        <v>0.81170765993779026</v>
      </c>
      <c r="G119" s="77">
        <f t="shared" ref="G119:G127" si="121">$D$114*($C$114+$G$114)/9.81/SIN($C$111)/(1-$C$114*$C$111)*(F119-1)</f>
        <v>0.11881965768168121</v>
      </c>
      <c r="H119" s="75">
        <f t="shared" ref="H119:H127" si="122">-(-$H$111+$K$114*((POWER(TAN(A119/2),2*$C$114-1)/(2*$C$114-1))+(POWER(TAN(A119/2),2*$C$114+1)/(2*$C$114+1))-(POWER(TAN($E$114/2),2*$C$114-1)/(2*$C$114-1))-(POWER(TAN($E$114/2),2*$C$114+1)/(2*$C$114+1))))</f>
        <v>1.2686611284680014</v>
      </c>
      <c r="I119" s="75">
        <f t="shared" ref="I119:I127" si="123">-(-$I$111+0.5*$K$114*((POWER(TAN(A119/2),2*$C$114-2)/(2*$C$114-2))-(POWER(TAN(A119/2),2*$C$114+2)/(2*$C$114+2))-(POWER(TAN($E$114/2),2*$C$114-2)/(2*$C$114-2))+(POWER(TAN($E$114/2),2*$C$114+2)/(2*$C$114+2))))</f>
        <v>0.13559077128926525</v>
      </c>
      <c r="J119" s="77">
        <f t="shared" ref="J119:J127" si="124">-$D$114*SIN(A119)*($C$114+$G$114)/($C$114+B119)*F119</f>
        <v>-0.96021052134904727</v>
      </c>
      <c r="K119" s="77">
        <f t="shared" ref="K119:K127" si="125">-$D$114*COS(A119)*($C$114+$G$114)/($C$114+B119)*F119</f>
        <v>2.1603162764698625</v>
      </c>
      <c r="L119" s="91">
        <f t="shared" ref="L119:L127" si="126">SQRT(J119*J119+K119*K119)</f>
        <v>2.364100391203813</v>
      </c>
      <c r="M119" s="93"/>
      <c r="N119" s="75">
        <f t="shared" ref="N119:N127" si="127">-(-$I$111+0.5*$K$114*((POWER(TAN(A119/2),2*$C$114-2)/(2*$C$114-2))-(POWER(TAN(A119/2),2*$C$114+2)/(2*$C$114+2))-(POWER(TAN($E$114/2),2*$C$114-2)/(2*$C$114-2))+(POWER(TAN($E$114/2),2*$C$114+2)/(2*$C$114+2))))-$D$111</f>
        <v>-3.6912390619184554E-3</v>
      </c>
      <c r="O119" s="75">
        <f t="shared" si="113"/>
        <v>-1.4133262162858901E-2</v>
      </c>
      <c r="P119" s="75">
        <f t="shared" si="114"/>
        <v>2.7222807888382086</v>
      </c>
      <c r="T119"/>
      <c r="U119"/>
      <c r="AF119" s="7"/>
      <c r="AG119" s="7"/>
      <c r="AH119" s="7"/>
      <c r="AI119" s="7"/>
      <c r="AJ119" s="7"/>
      <c r="AK119" s="7"/>
      <c r="AL119" s="7"/>
      <c r="AM119" s="7"/>
      <c r="AN119" s="7"/>
      <c r="AR119" s="92"/>
      <c r="AS119" s="7"/>
      <c r="AT119" s="83"/>
      <c r="AU119" s="83"/>
      <c r="AV119" s="83"/>
      <c r="AW119" s="83"/>
      <c r="AX119" s="83"/>
      <c r="AY119" s="83"/>
      <c r="AZ119" s="7"/>
    </row>
    <row r="120" spans="1:52" s="18" customFormat="1">
      <c r="A120" s="19">
        <f t="shared" si="115"/>
        <v>2.7222807888382086</v>
      </c>
      <c r="B120" s="26">
        <f t="shared" si="116"/>
        <v>-0.91336931844327418</v>
      </c>
      <c r="C120" s="26">
        <f t="shared" si="117"/>
        <v>-0.7391103383887011</v>
      </c>
      <c r="D120" s="26">
        <f t="shared" si="118"/>
        <v>1.3095229273459161</v>
      </c>
      <c r="E120" s="26">
        <f t="shared" si="119"/>
        <v>0.40713202788096747</v>
      </c>
      <c r="F120" s="77">
        <f t="shared" si="120"/>
        <v>0.80893612994989139</v>
      </c>
      <c r="G120" s="77">
        <f t="shared" si="121"/>
        <v>0.12056859895198385</v>
      </c>
      <c r="H120" s="75">
        <f t="shared" si="122"/>
        <v>1.2670448329485142</v>
      </c>
      <c r="I120" s="75">
        <f t="shared" si="123"/>
        <v>0.13922198926145438</v>
      </c>
      <c r="J120" s="77">
        <f t="shared" si="124"/>
        <v>-0.95977425302943398</v>
      </c>
      <c r="K120" s="77">
        <f t="shared" si="125"/>
        <v>2.15317954696798</v>
      </c>
      <c r="L120" s="91">
        <f t="shared" si="126"/>
        <v>2.3574029732439561</v>
      </c>
      <c r="M120" s="93"/>
      <c r="N120" s="75">
        <f t="shared" si="127"/>
        <v>-6.0021089729328514E-5</v>
      </c>
      <c r="O120" s="75">
        <f t="shared" si="113"/>
        <v>-1.0413053988110016E-2</v>
      </c>
      <c r="P120" s="75">
        <f t="shared" si="114"/>
        <v>2.7222633965174312</v>
      </c>
      <c r="T120"/>
      <c r="U120"/>
      <c r="AF120" s="7"/>
      <c r="AG120" s="7"/>
      <c r="AH120" s="7"/>
      <c r="AI120" s="7"/>
      <c r="AJ120" s="7"/>
      <c r="AK120" s="7"/>
      <c r="AL120" s="7"/>
      <c r="AM120" s="7"/>
      <c r="AN120" s="7"/>
      <c r="AR120" s="92"/>
      <c r="AS120" s="7"/>
      <c r="AT120" s="83"/>
      <c r="AU120" s="83"/>
      <c r="AV120" s="83"/>
      <c r="AW120" s="83"/>
      <c r="AX120" s="83"/>
      <c r="AY120" s="83"/>
      <c r="AZ120" s="7"/>
    </row>
    <row r="121" spans="1:52" s="18" customFormat="1">
      <c r="A121" s="19">
        <f t="shared" si="115"/>
        <v>2.7222633965174312</v>
      </c>
      <c r="B121" s="26">
        <f t="shared" si="116"/>
        <v>-0.913362237334303</v>
      </c>
      <c r="C121" s="26">
        <f t="shared" si="117"/>
        <v>-0.73910325727972992</v>
      </c>
      <c r="D121" s="26">
        <f t="shared" si="118"/>
        <v>1.3095131792351882</v>
      </c>
      <c r="E121" s="26">
        <f t="shared" si="119"/>
        <v>0.40714791343156398</v>
      </c>
      <c r="F121" s="77">
        <f t="shared" si="120"/>
        <v>0.80889079674613928</v>
      </c>
      <c r="G121" s="77">
        <f t="shared" si="121"/>
        <v>0.12059720593487895</v>
      </c>
      <c r="H121" s="75">
        <f t="shared" si="122"/>
        <v>1.2670184017260575</v>
      </c>
      <c r="I121" s="75">
        <f t="shared" si="123"/>
        <v>0.13928128428481787</v>
      </c>
      <c r="J121" s="77">
        <f t="shared" si="124"/>
        <v>-0.9597671084537287</v>
      </c>
      <c r="K121" s="77">
        <f t="shared" si="125"/>
        <v>2.1530628171683341</v>
      </c>
      <c r="L121" s="91">
        <f t="shared" si="126"/>
        <v>2.3572934473973484</v>
      </c>
      <c r="M121" s="93"/>
      <c r="N121" s="75">
        <f t="shared" si="127"/>
        <v>-7.2606636583594231E-7</v>
      </c>
      <c r="O121" s="75">
        <f t="shared" si="113"/>
        <v>-1.0352307690454782E-2</v>
      </c>
      <c r="P121" s="75">
        <f t="shared" si="114"/>
        <v>2.7222631860955677</v>
      </c>
      <c r="T121"/>
      <c r="U121"/>
      <c r="AF121" s="7"/>
      <c r="AG121" s="7"/>
      <c r="AH121" s="7"/>
      <c r="AI121" s="7"/>
      <c r="AJ121" s="7"/>
      <c r="AK121" s="7"/>
      <c r="AL121" s="7"/>
      <c r="AM121" s="7"/>
      <c r="AN121" s="7"/>
      <c r="AR121" s="92"/>
      <c r="AS121" s="7"/>
      <c r="AT121" s="83"/>
      <c r="AU121" s="83"/>
      <c r="AV121" s="83"/>
      <c r="AW121" s="83"/>
      <c r="AX121" s="83"/>
      <c r="AY121" s="83"/>
      <c r="AZ121" s="7"/>
    </row>
    <row r="122" spans="1:52" s="18" customFormat="1">
      <c r="A122" s="19">
        <f t="shared" si="115"/>
        <v>2.7222631860955677</v>
      </c>
      <c r="B122" s="26">
        <f t="shared" si="116"/>
        <v>-0.91336215166146018</v>
      </c>
      <c r="C122" s="26">
        <f t="shared" si="117"/>
        <v>-0.7391031716068871</v>
      </c>
      <c r="D122" s="26">
        <f t="shared" si="118"/>
        <v>1.3095130612999555</v>
      </c>
      <c r="E122" s="26">
        <f t="shared" si="119"/>
        <v>0.40714810562293902</v>
      </c>
      <c r="F122" s="77">
        <f t="shared" si="120"/>
        <v>0.80889024830382861</v>
      </c>
      <c r="G122" s="77">
        <f t="shared" si="121"/>
        <v>0.12059755202292265</v>
      </c>
      <c r="H122" s="75">
        <f t="shared" si="122"/>
        <v>1.2670180819616264</v>
      </c>
      <c r="I122" s="75">
        <f t="shared" si="123"/>
        <v>0.13928200161791446</v>
      </c>
      <c r="J122" s="77">
        <f t="shared" si="124"/>
        <v>-0.9597670220167539</v>
      </c>
      <c r="K122" s="77">
        <f t="shared" si="125"/>
        <v>2.153061404968859</v>
      </c>
      <c r="L122" s="91">
        <f t="shared" si="126"/>
        <v>2.3572921223550942</v>
      </c>
      <c r="M122" s="93"/>
      <c r="N122" s="75">
        <f t="shared" si="127"/>
        <v>-8.7332692466635109E-9</v>
      </c>
      <c r="O122" s="75">
        <f t="shared" si="113"/>
        <v>-1.0351572800652048E-2</v>
      </c>
      <c r="P122" s="75">
        <f t="shared" si="114"/>
        <v>2.7222631835645679</v>
      </c>
      <c r="T122"/>
      <c r="U122"/>
      <c r="AF122" s="7"/>
      <c r="AG122" s="7"/>
      <c r="AH122" s="7"/>
      <c r="AI122" s="7"/>
      <c r="AJ122" s="7"/>
      <c r="AK122" s="7"/>
      <c r="AL122" s="7"/>
      <c r="AM122" s="7"/>
      <c r="AN122" s="7"/>
      <c r="AR122" s="92"/>
      <c r="AS122" s="7"/>
      <c r="AT122" s="83"/>
      <c r="AU122" s="83"/>
      <c r="AV122" s="83"/>
      <c r="AW122" s="83"/>
      <c r="AX122" s="83"/>
      <c r="AY122" s="83"/>
      <c r="AZ122" s="7"/>
    </row>
    <row r="123" spans="1:52" s="18" customFormat="1">
      <c r="A123" s="19">
        <f t="shared" si="115"/>
        <v>2.7222631835645679</v>
      </c>
      <c r="B123" s="26">
        <f t="shared" si="116"/>
        <v>-0.91336215063096837</v>
      </c>
      <c r="C123" s="26">
        <f t="shared" si="117"/>
        <v>-0.7391031705763953</v>
      </c>
      <c r="D123" s="26">
        <f t="shared" si="118"/>
        <v>1.3095130598814053</v>
      </c>
      <c r="E123" s="26">
        <f t="shared" si="119"/>
        <v>0.4071481079346585</v>
      </c>
      <c r="F123" s="77">
        <f t="shared" si="120"/>
        <v>0.80889024170704871</v>
      </c>
      <c r="G123" s="77">
        <f t="shared" si="121"/>
        <v>0.12059755618574269</v>
      </c>
      <c r="H123" s="75">
        <f t="shared" si="122"/>
        <v>1.2670180781154323</v>
      </c>
      <c r="I123" s="75">
        <f t="shared" si="123"/>
        <v>0.13928201024614559</v>
      </c>
      <c r="J123" s="77">
        <f t="shared" si="124"/>
        <v>-0.95976702097707145</v>
      </c>
      <c r="K123" s="77">
        <f t="shared" si="125"/>
        <v>2.1530613879826257</v>
      </c>
      <c r="L123" s="91">
        <f t="shared" si="126"/>
        <v>2.3572921064172072</v>
      </c>
      <c r="M123" s="93"/>
      <c r="N123" s="75">
        <f t="shared" si="127"/>
        <v>-1.0503811709305921E-10</v>
      </c>
      <c r="O123" s="75">
        <f t="shared" si="113"/>
        <v>-1.0351563961245619E-2</v>
      </c>
      <c r="P123" s="75">
        <f t="shared" si="114"/>
        <v>2.7222631835341264</v>
      </c>
      <c r="T123"/>
      <c r="U123"/>
      <c r="AF123" s="7"/>
      <c r="AG123" s="7"/>
      <c r="AH123" s="7"/>
      <c r="AI123" s="7"/>
      <c r="AJ123" s="7"/>
      <c r="AK123" s="7"/>
      <c r="AL123" s="7"/>
      <c r="AM123" s="7"/>
      <c r="AN123" s="7"/>
      <c r="AR123" s="92"/>
      <c r="AS123" s="7"/>
      <c r="AT123" s="83"/>
      <c r="AU123" s="83"/>
      <c r="AV123" s="83"/>
      <c r="AW123" s="83"/>
      <c r="AX123" s="83"/>
      <c r="AY123" s="83"/>
      <c r="AZ123" s="7"/>
    </row>
    <row r="124" spans="1:52" s="18" customFormat="1">
      <c r="A124" s="19">
        <f>$P123</f>
        <v>2.7222631835341264</v>
      </c>
      <c r="B124" s="26">
        <f t="shared" si="116"/>
        <v>-0.91336215061857418</v>
      </c>
      <c r="C124" s="26">
        <f t="shared" si="117"/>
        <v>-0.7391031705640011</v>
      </c>
      <c r="D124" s="26">
        <f t="shared" si="118"/>
        <v>1.3095130598643439</v>
      </c>
      <c r="E124" s="26">
        <f t="shared" si="119"/>
        <v>0.40714810796246254</v>
      </c>
      <c r="F124" s="77">
        <f t="shared" si="120"/>
        <v>0.80889024162770662</v>
      </c>
      <c r="G124" s="77">
        <f t="shared" si="121"/>
        <v>0.12059755623581059</v>
      </c>
      <c r="H124" s="75">
        <f t="shared" si="122"/>
        <v>1.2670180780691729</v>
      </c>
      <c r="I124" s="75">
        <f t="shared" si="123"/>
        <v>0.13928201034992058</v>
      </c>
      <c r="J124" s="77">
        <f t="shared" si="124"/>
        <v>-0.95976702096456701</v>
      </c>
      <c r="K124" s="77">
        <f t="shared" si="125"/>
        <v>2.1530613877783256</v>
      </c>
      <c r="L124" s="91">
        <f t="shared" si="126"/>
        <v>2.3572921062255161</v>
      </c>
      <c r="M124" s="93"/>
      <c r="N124" s="75">
        <f t="shared" si="127"/>
        <v>-1.2631284906916562E-12</v>
      </c>
      <c r="O124" s="75">
        <f t="shared" si="113"/>
        <v>-1.0351563854930718E-2</v>
      </c>
      <c r="P124" s="75">
        <f t="shared" si="114"/>
        <v>2.7222631835337605</v>
      </c>
      <c r="T124"/>
      <c r="U124"/>
      <c r="AF124" s="7"/>
      <c r="AG124" s="7"/>
      <c r="AH124" s="7"/>
      <c r="AI124" s="7"/>
      <c r="AJ124" s="7"/>
      <c r="AK124" s="7"/>
      <c r="AL124" s="7"/>
      <c r="AM124" s="7"/>
      <c r="AN124" s="7"/>
      <c r="AR124" s="92"/>
      <c r="AS124" s="7"/>
      <c r="AT124" s="83"/>
      <c r="AU124" s="83"/>
      <c r="AV124" s="83"/>
      <c r="AW124" s="83"/>
      <c r="AX124" s="83"/>
      <c r="AY124" s="83"/>
      <c r="AZ124" s="7"/>
    </row>
    <row r="125" spans="1:52" s="18" customFormat="1">
      <c r="A125" s="19">
        <f t="shared" si="115"/>
        <v>2.7222631835337605</v>
      </c>
      <c r="B125" s="26">
        <f t="shared" si="116"/>
        <v>-0.91336215061842518</v>
      </c>
      <c r="C125" s="26">
        <f t="shared" si="117"/>
        <v>-0.73910317056385211</v>
      </c>
      <c r="D125" s="26">
        <f t="shared" si="118"/>
        <v>1.3095130598641387</v>
      </c>
      <c r="E125" s="26">
        <f t="shared" si="119"/>
        <v>0.40714810796279677</v>
      </c>
      <c r="F125" s="77">
        <f t="shared" si="120"/>
        <v>0.80889024162675272</v>
      </c>
      <c r="G125" s="77">
        <f t="shared" si="121"/>
        <v>0.12059755623641254</v>
      </c>
      <c r="H125" s="75">
        <f t="shared" si="122"/>
        <v>1.2670180780686167</v>
      </c>
      <c r="I125" s="75">
        <f t="shared" si="123"/>
        <v>0.1392820103511683</v>
      </c>
      <c r="J125" s="77">
        <f t="shared" si="124"/>
        <v>-0.95976702096441657</v>
      </c>
      <c r="K125" s="77">
        <f t="shared" si="125"/>
        <v>2.1530613877758689</v>
      </c>
      <c r="L125" s="91">
        <f t="shared" si="126"/>
        <v>2.3572921062232108</v>
      </c>
      <c r="M125" s="93"/>
      <c r="N125" s="75">
        <f t="shared" si="127"/>
        <v>-1.5404344466674047E-14</v>
      </c>
      <c r="O125" s="75">
        <f t="shared" si="113"/>
        <v>-1.0351563853652684E-2</v>
      </c>
      <c r="P125" s="75">
        <f t="shared" si="114"/>
        <v>2.7222631835337561</v>
      </c>
      <c r="T125"/>
      <c r="U125"/>
      <c r="AF125" s="7"/>
      <c r="AG125" s="7"/>
      <c r="AH125" s="7"/>
      <c r="AI125" s="7"/>
      <c r="AJ125" s="7"/>
      <c r="AK125" s="7"/>
      <c r="AL125" s="7"/>
      <c r="AM125" s="7"/>
      <c r="AN125" s="7"/>
      <c r="AR125" s="92"/>
      <c r="AS125" s="7"/>
      <c r="AT125" s="83"/>
      <c r="AU125" s="83"/>
      <c r="AV125" s="83"/>
      <c r="AW125" s="83"/>
      <c r="AX125" s="83"/>
      <c r="AY125" s="83"/>
      <c r="AZ125" s="7"/>
    </row>
    <row r="126" spans="1:52" s="18" customFormat="1">
      <c r="A126" s="19">
        <f t="shared" si="115"/>
        <v>2.7222631835337561</v>
      </c>
      <c r="B126" s="26">
        <f t="shared" si="116"/>
        <v>-0.91336215061842341</v>
      </c>
      <c r="C126" s="26">
        <f t="shared" si="117"/>
        <v>-0.73910317056385033</v>
      </c>
      <c r="D126" s="26">
        <f t="shared" si="118"/>
        <v>1.309513059864136</v>
      </c>
      <c r="E126" s="26">
        <f t="shared" si="119"/>
        <v>0.40714810796280082</v>
      </c>
      <c r="F126" s="77">
        <f t="shared" si="120"/>
        <v>0.80889024162674117</v>
      </c>
      <c r="G126" s="77">
        <f t="shared" si="121"/>
        <v>0.12059755623641982</v>
      </c>
      <c r="H126" s="75">
        <f t="shared" si="122"/>
        <v>1.26701807806861</v>
      </c>
      <c r="I126" s="75">
        <f t="shared" si="123"/>
        <v>0.13928201035118357</v>
      </c>
      <c r="J126" s="77">
        <f t="shared" si="124"/>
        <v>-0.95976702096441469</v>
      </c>
      <c r="K126" s="77">
        <f t="shared" si="125"/>
        <v>2.1530613877758391</v>
      </c>
      <c r="L126" s="91">
        <f t="shared" si="126"/>
        <v>2.3572921062231829</v>
      </c>
      <c r="M126" s="93"/>
      <c r="N126" s="75">
        <f t="shared" si="127"/>
        <v>0</v>
      </c>
      <c r="O126" s="75">
        <f t="shared" si="113"/>
        <v>-1.0351563853636919E-2</v>
      </c>
      <c r="P126" s="75">
        <f t="shared" si="114"/>
        <v>2.7222631835337561</v>
      </c>
      <c r="T126"/>
      <c r="U126"/>
      <c r="AF126" s="7"/>
      <c r="AG126" s="7"/>
      <c r="AH126" s="7"/>
      <c r="AI126" s="7"/>
      <c r="AJ126" s="7"/>
      <c r="AK126" s="7"/>
      <c r="AL126" s="7"/>
      <c r="AM126" s="7"/>
      <c r="AN126" s="7"/>
      <c r="AR126" s="92"/>
      <c r="AS126" s="7"/>
      <c r="AT126" s="83"/>
      <c r="AU126" s="83"/>
      <c r="AV126" s="83"/>
      <c r="AW126" s="83"/>
      <c r="AX126" s="83"/>
      <c r="AY126" s="83"/>
      <c r="AZ126" s="7"/>
    </row>
    <row r="127" spans="1:52" s="18" customFormat="1">
      <c r="A127" s="19">
        <f t="shared" si="115"/>
        <v>2.7222631835337561</v>
      </c>
      <c r="B127" s="26">
        <f t="shared" si="116"/>
        <v>-0.91336215061842341</v>
      </c>
      <c r="C127" s="26">
        <f t="shared" si="117"/>
        <v>-0.73910317056385033</v>
      </c>
      <c r="D127" s="26">
        <f t="shared" si="118"/>
        <v>1.309513059864136</v>
      </c>
      <c r="E127" s="26">
        <f t="shared" si="119"/>
        <v>0.40714810796280082</v>
      </c>
      <c r="F127" s="77">
        <f t="shared" si="120"/>
        <v>0.80889024162674117</v>
      </c>
      <c r="G127" s="77">
        <f t="shared" si="121"/>
        <v>0.12059755623641982</v>
      </c>
      <c r="H127" s="81">
        <f t="shared" si="122"/>
        <v>1.26701807806861</v>
      </c>
      <c r="I127" s="81">
        <f t="shared" si="123"/>
        <v>0.13928201035118357</v>
      </c>
      <c r="J127" s="80">
        <f t="shared" si="124"/>
        <v>-0.95976702096441469</v>
      </c>
      <c r="K127" s="80">
        <f t="shared" si="125"/>
        <v>2.1530613877758391</v>
      </c>
      <c r="L127" s="91">
        <f t="shared" si="126"/>
        <v>2.3572921062231829</v>
      </c>
      <c r="M127" s="93"/>
      <c r="N127" s="75">
        <f t="shared" si="127"/>
        <v>0</v>
      </c>
      <c r="O127" s="75">
        <f t="shared" si="113"/>
        <v>-1.0351563853636919E-2</v>
      </c>
      <c r="P127" s="75">
        <f t="shared" si="114"/>
        <v>2.7222631835337561</v>
      </c>
      <c r="T127"/>
      <c r="U127"/>
      <c r="AF127" s="7"/>
      <c r="AG127" s="7"/>
      <c r="AH127" s="7"/>
      <c r="AI127" s="7"/>
      <c r="AJ127" s="7"/>
      <c r="AK127" s="7"/>
      <c r="AL127" s="7"/>
      <c r="AM127" s="7"/>
      <c r="AN127" s="7"/>
      <c r="AR127" s="92"/>
      <c r="AS127" s="7"/>
      <c r="AT127" s="83"/>
      <c r="AU127" s="83"/>
      <c r="AV127" s="83"/>
      <c r="AW127" s="83"/>
      <c r="AX127" s="83"/>
      <c r="AY127" s="83"/>
      <c r="AZ127" s="7"/>
    </row>
    <row r="128" spans="1:52" s="18" customFormat="1">
      <c r="A128" s="88" t="s">
        <v>60</v>
      </c>
      <c r="B128" s="8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T128"/>
      <c r="U128"/>
      <c r="AF128" s="7"/>
      <c r="AG128" s="7"/>
      <c r="AH128" s="7"/>
      <c r="AI128" s="7"/>
      <c r="AJ128" s="7"/>
      <c r="AK128" s="7"/>
      <c r="AL128" s="7"/>
      <c r="AM128" s="7"/>
      <c r="AN128" s="7"/>
      <c r="AR128" s="92"/>
      <c r="AS128" s="7"/>
      <c r="AT128" s="83"/>
      <c r="AU128" s="83"/>
      <c r="AV128" s="83"/>
      <c r="AW128" s="83"/>
      <c r="AX128" s="83"/>
      <c r="AY128" s="83"/>
      <c r="AZ128" s="7"/>
    </row>
    <row r="129" spans="1:52" s="18" customFormat="1">
      <c r="A129" s="26" t="s">
        <v>11</v>
      </c>
      <c r="B129" s="26" t="s">
        <v>13</v>
      </c>
      <c r="C129" s="26" t="s">
        <v>22</v>
      </c>
      <c r="D129" s="26" t="s">
        <v>18</v>
      </c>
      <c r="E129" s="26" t="s">
        <v>19</v>
      </c>
      <c r="F129" s="26" t="s">
        <v>20</v>
      </c>
      <c r="G129" s="26" t="s">
        <v>2</v>
      </c>
      <c r="H129" s="26" t="s">
        <v>1</v>
      </c>
      <c r="I129" s="26" t="s">
        <v>0</v>
      </c>
      <c r="J129" s="76" t="s">
        <v>3</v>
      </c>
      <c r="K129" s="76" t="s">
        <v>4</v>
      </c>
      <c r="L129" s="44" t="s">
        <v>7</v>
      </c>
      <c r="M129" s="28"/>
      <c r="N129" s="28"/>
      <c r="O129" s="28"/>
      <c r="P129" s="31"/>
      <c r="T129"/>
      <c r="U129"/>
      <c r="AF129" s="7"/>
      <c r="AG129" s="7"/>
      <c r="AH129" s="7"/>
      <c r="AI129" s="7"/>
      <c r="AJ129" s="7"/>
      <c r="AK129" s="7"/>
      <c r="AL129" s="7"/>
      <c r="AM129" s="7"/>
      <c r="AN129" s="7"/>
      <c r="AR129" s="92"/>
      <c r="AS129" s="7"/>
      <c r="AT129" s="83"/>
      <c r="AU129" s="83"/>
      <c r="AV129" s="83"/>
      <c r="AW129" s="83"/>
      <c r="AX129" s="83"/>
      <c r="AY129" s="83"/>
      <c r="AZ129" s="7"/>
    </row>
    <row r="130" spans="1:52" s="18" customFormat="1">
      <c r="A130" s="19">
        <f>$E114</f>
        <v>2.7843579347719767</v>
      </c>
      <c r="B130" s="26">
        <f t="shared" ref="B130:B135" si="128">COS(A130)</f>
        <v>-0.93686738144839254</v>
      </c>
      <c r="C130" s="26">
        <f t="shared" ref="C130:C135" si="129">($C$114+B130)</f>
        <v>-0.76260840139381947</v>
      </c>
      <c r="D130" s="26">
        <f t="shared" ref="D130:D135" si="130">POWER(TAN(A130/2),$C$114)</f>
        <v>1.3475600921276407</v>
      </c>
      <c r="E130" s="26">
        <f t="shared" ref="E130:E135" si="131">SIN(A130)</f>
        <v>0.34968487181751534</v>
      </c>
      <c r="F130" s="77">
        <f t="shared" ref="F130:F135" si="132">(C130*$H$114*D130/E130/$I$114/$J$114)</f>
        <v>1</v>
      </c>
      <c r="G130" s="77">
        <f t="shared" ref="G130:G135" si="133">$D$114*($C$114+$G$114)/9.81/SIN($C$111)/(1-$C$114*$C$111)*(F130-1)</f>
        <v>0</v>
      </c>
      <c r="H130" s="109">
        <f t="shared" ref="H130:H135" si="134">-(-$H$111+$K$114*((POWER(TAN(A130/2),2*$C$114-1)/(2*$C$114-1))+(POWER(TAN(A130/2),2*$C$114+1)/(2*$C$114+1))-(POWER(TAN($E$114/2),2*$C$114-1)/(2*$C$114-1))-(POWER(TAN($E$114/2),2*$C$114+1)/(2*$C$114+1))))</f>
        <v>1.3801026470519462</v>
      </c>
      <c r="I130" s="109">
        <f t="shared" ref="I130:I135" si="135">-(-$I$111+0.5*$K$114*((POWER(TAN(A130/2),2*$C$114-2)/(2*$C$114-2))-(POWER(TAN(A130/2),2*$C$114+2)/(2*$C$114+2))-(POWER(TAN($E$114/2),2*$C$114-2)/(2*$C$114-2))+(POWER(TAN($E$114/2),2*$C$114+2)/(2*$C$114+2))))</f>
        <v>-0.13928201035118173</v>
      </c>
      <c r="J130" s="77">
        <f t="shared" ref="J130:J135" si="136">-$D$114*SIN(A130)*($C$114+$G$114)/($C$114+B130)*F130</f>
        <v>-0.98765241434557682</v>
      </c>
      <c r="K130" s="77">
        <f t="shared" ref="K130:K135" si="137">-$D$114*COS(A130)*($C$114+$G$114)/($C$114+B130)*F130</f>
        <v>2.646094829323915</v>
      </c>
      <c r="L130" s="91">
        <f t="shared" ref="L130:L135" si="138">SQRT(J130*J130+K130*K130)</f>
        <v>2.8244070417235201</v>
      </c>
      <c r="M130" s="28"/>
      <c r="N130" s="28"/>
      <c r="O130" s="28"/>
      <c r="P130" s="31"/>
      <c r="T130"/>
      <c r="U130"/>
      <c r="AF130" s="7"/>
      <c r="AG130" s="7"/>
      <c r="AH130" s="7"/>
      <c r="AI130" s="7"/>
      <c r="AJ130" s="7"/>
      <c r="AK130" s="7"/>
      <c r="AL130" s="7"/>
      <c r="AM130" s="7"/>
      <c r="AN130" s="7"/>
      <c r="AR130" s="92"/>
      <c r="AS130" s="7"/>
      <c r="AT130" s="83"/>
      <c r="AU130" s="83"/>
      <c r="AV130" s="83"/>
      <c r="AW130" s="83"/>
      <c r="AX130" s="83"/>
      <c r="AY130" s="83"/>
      <c r="AZ130" s="7"/>
    </row>
    <row r="131" spans="1:52" s="18" customFormat="1">
      <c r="A131" s="20">
        <f>A130-$F$114</f>
        <v>2.7719589845243324</v>
      </c>
      <c r="B131" s="26">
        <f t="shared" si="128"/>
        <v>-0.93245975396381031</v>
      </c>
      <c r="C131" s="26">
        <f t="shared" si="129"/>
        <v>-0.75820077390923724</v>
      </c>
      <c r="D131" s="26">
        <f t="shared" si="130"/>
        <v>1.3393937520321149</v>
      </c>
      <c r="E131" s="26">
        <f t="shared" si="131"/>
        <v>0.36127386736069117</v>
      </c>
      <c r="F131" s="77">
        <f t="shared" si="132"/>
        <v>0.95649578761122733</v>
      </c>
      <c r="G131" s="77">
        <f t="shared" si="133"/>
        <v>2.7452819493545465E-2</v>
      </c>
      <c r="H131" s="109">
        <f t="shared" si="134"/>
        <v>1.3540796063478884</v>
      </c>
      <c r="I131" s="109">
        <f t="shared" si="135"/>
        <v>-7.0836104884683074E-2</v>
      </c>
      <c r="J131" s="77">
        <f t="shared" si="136"/>
        <v>-0.98166714841285052</v>
      </c>
      <c r="K131" s="77">
        <f t="shared" si="137"/>
        <v>2.5337152514535819</v>
      </c>
      <c r="L131" s="91">
        <f t="shared" si="138"/>
        <v>2.7172381871528128</v>
      </c>
      <c r="M131" s="28"/>
      <c r="N131" s="28"/>
      <c r="O131" s="28"/>
      <c r="P131" s="31"/>
      <c r="T131"/>
      <c r="U131"/>
      <c r="AF131" s="7"/>
      <c r="AG131" s="7"/>
      <c r="AH131" s="7"/>
      <c r="AI131" s="7"/>
      <c r="AJ131" s="7"/>
      <c r="AK131" s="7"/>
      <c r="AL131" s="7"/>
      <c r="AM131" s="7"/>
      <c r="AN131" s="7"/>
      <c r="AR131" s="92"/>
      <c r="AS131" s="7"/>
      <c r="AT131" s="83"/>
      <c r="AU131" s="83"/>
      <c r="AV131" s="83"/>
      <c r="AW131" s="83"/>
      <c r="AX131" s="83"/>
      <c r="AY131" s="83"/>
      <c r="AZ131" s="7"/>
    </row>
    <row r="132" spans="1:52" s="18" customFormat="1">
      <c r="A132" s="20">
        <f>A131-$F$114</f>
        <v>2.7595600342766882</v>
      </c>
      <c r="B132" s="26">
        <f t="shared" si="128"/>
        <v>-0.92790877757843671</v>
      </c>
      <c r="C132" s="26">
        <f t="shared" si="129"/>
        <v>-0.75364979752386363</v>
      </c>
      <c r="D132" s="26">
        <f t="shared" si="130"/>
        <v>1.331531866741775</v>
      </c>
      <c r="E132" s="26">
        <f t="shared" si="131"/>
        <v>0.37280732355050544</v>
      </c>
      <c r="F132" s="77">
        <f t="shared" si="132"/>
        <v>0.91593326906042061</v>
      </c>
      <c r="G132" s="77">
        <f t="shared" si="133"/>
        <v>5.3049317828641557E-2</v>
      </c>
      <c r="H132" s="109">
        <f t="shared" si="134"/>
        <v>1.3299609697612109</v>
      </c>
      <c r="I132" s="109">
        <f t="shared" si="135"/>
        <v>-9.6930653004457246E-3</v>
      </c>
      <c r="J132" s="77">
        <f t="shared" si="136"/>
        <v>-0.97590502319582018</v>
      </c>
      <c r="K132" s="77">
        <f t="shared" si="137"/>
        <v>2.4290049575263013</v>
      </c>
      <c r="L132" s="91">
        <f t="shared" si="138"/>
        <v>2.6177195606073207</v>
      </c>
      <c r="M132" s="45"/>
      <c r="N132" s="28"/>
      <c r="O132" s="28"/>
      <c r="P132" s="31"/>
      <c r="T132"/>
      <c r="U132"/>
      <c r="AF132" s="7"/>
      <c r="AG132" s="7"/>
      <c r="AH132" s="7"/>
      <c r="AI132" s="7"/>
      <c r="AJ132" s="7"/>
      <c r="AK132" s="7"/>
      <c r="AL132" s="7"/>
      <c r="AM132" s="7"/>
      <c r="AN132" s="7"/>
      <c r="AR132" s="92"/>
      <c r="AS132" s="7"/>
      <c r="AT132" s="83"/>
      <c r="AU132" s="83"/>
      <c r="AV132" s="83"/>
      <c r="AW132" s="83"/>
      <c r="AX132" s="83"/>
      <c r="AY132" s="83"/>
      <c r="AZ132" s="7"/>
    </row>
    <row r="133" spans="1:52" s="18" customFormat="1">
      <c r="A133" s="20">
        <f>A132-$F$114</f>
        <v>2.7471610840290439</v>
      </c>
      <c r="B133" s="26">
        <f t="shared" si="128"/>
        <v>-0.92321515192296311</v>
      </c>
      <c r="C133" s="26">
        <f t="shared" si="129"/>
        <v>-0.74895617186839003</v>
      </c>
      <c r="D133" s="26">
        <f t="shared" si="130"/>
        <v>1.3239530312477816</v>
      </c>
      <c r="E133" s="26">
        <f t="shared" si="131"/>
        <v>0.38428346732569718</v>
      </c>
      <c r="F133" s="77">
        <f t="shared" si="132"/>
        <v>0.8780199814544406</v>
      </c>
      <c r="G133" s="77">
        <f t="shared" si="133"/>
        <v>7.6974050260355559E-2</v>
      </c>
      <c r="H133" s="109">
        <f t="shared" si="134"/>
        <v>1.3075479230431737</v>
      </c>
      <c r="I133" s="109">
        <f t="shared" si="135"/>
        <v>4.5124474269387455E-2</v>
      </c>
      <c r="J133" s="77">
        <f t="shared" si="136"/>
        <v>-0.97035035055650831</v>
      </c>
      <c r="K133" s="77">
        <f t="shared" si="137"/>
        <v>2.3312013721065483</v>
      </c>
      <c r="L133" s="91">
        <f t="shared" si="138"/>
        <v>2.5250900261449281</v>
      </c>
      <c r="M133" s="45"/>
      <c r="N133" s="28"/>
      <c r="O133" s="28"/>
      <c r="P133" s="31"/>
      <c r="AF133" s="7"/>
      <c r="AG133" s="7"/>
      <c r="AH133" s="7"/>
      <c r="AI133" s="7"/>
      <c r="AJ133" s="7"/>
      <c r="AK133" s="7"/>
      <c r="AL133" s="7"/>
      <c r="AM133" s="7"/>
      <c r="AN133" s="7"/>
      <c r="AR133" s="92"/>
      <c r="AS133" s="7"/>
      <c r="AT133" s="83"/>
      <c r="AU133" s="83"/>
      <c r="AV133" s="83"/>
      <c r="AW133" s="83"/>
      <c r="AX133" s="83"/>
      <c r="AY133" s="83"/>
      <c r="AZ133" s="7"/>
    </row>
    <row r="134" spans="1:52" s="18" customFormat="1">
      <c r="A134" s="20">
        <f>A133-$F$114</f>
        <v>2.7347621337813997</v>
      </c>
      <c r="B134" s="26">
        <f t="shared" si="128"/>
        <v>-0.91837959855783813</v>
      </c>
      <c r="C134" s="26">
        <f t="shared" si="129"/>
        <v>-0.74412061850326505</v>
      </c>
      <c r="D134" s="26">
        <f t="shared" si="130"/>
        <v>1.3166379379632611</v>
      </c>
      <c r="E134" s="26">
        <f t="shared" si="131"/>
        <v>0.39570053443575753</v>
      </c>
      <c r="F134" s="77">
        <f t="shared" si="132"/>
        <v>0.84250053270432224</v>
      </c>
      <c r="G134" s="77">
        <f t="shared" si="133"/>
        <v>9.9388178950543943E-2</v>
      </c>
      <c r="H134" s="109">
        <f t="shared" si="134"/>
        <v>1.2866678230983111</v>
      </c>
      <c r="I134" s="109">
        <f t="shared" si="135"/>
        <v>9.4437828572975224E-2</v>
      </c>
      <c r="J134" s="77">
        <f t="shared" si="136"/>
        <v>-0.96498897959737506</v>
      </c>
      <c r="K134" s="77">
        <f t="shared" si="137"/>
        <v>2.2396386018509538</v>
      </c>
      <c r="L134" s="91">
        <f t="shared" si="138"/>
        <v>2.4386850550338144</v>
      </c>
      <c r="M134" s="45"/>
      <c r="N134" s="28"/>
      <c r="O134" s="28"/>
      <c r="P134" s="89"/>
      <c r="AF134" s="7"/>
      <c r="AG134" s="7"/>
      <c r="AH134" s="7"/>
      <c r="AI134" s="7"/>
      <c r="AJ134" s="7"/>
      <c r="AK134" s="7"/>
      <c r="AL134" s="7"/>
      <c r="AM134" s="7"/>
      <c r="AN134" s="7"/>
      <c r="AR134" s="92"/>
      <c r="AS134" s="7"/>
      <c r="AT134" s="83"/>
      <c r="AU134" s="83"/>
      <c r="AV134" s="83"/>
      <c r="AW134" s="83"/>
      <c r="AX134" s="83"/>
      <c r="AY134" s="83"/>
      <c r="AZ134" s="7"/>
    </row>
    <row r="135" spans="1:52" s="18" customFormat="1">
      <c r="A135" s="20">
        <f>A134-$F$114</f>
        <v>2.7223631835337554</v>
      </c>
      <c r="B135" s="26">
        <f t="shared" si="128"/>
        <v>-0.91340286086234079</v>
      </c>
      <c r="C135" s="26">
        <f t="shared" si="129"/>
        <v>-0.73914388080776772</v>
      </c>
      <c r="D135" s="26">
        <f t="shared" si="130"/>
        <v>1.3095691143784651</v>
      </c>
      <c r="E135" s="26">
        <f t="shared" si="131"/>
        <v>0.40705676971215127</v>
      </c>
      <c r="F135" s="77">
        <f t="shared" si="132"/>
        <v>0.80915094496548845</v>
      </c>
      <c r="G135" s="77">
        <f t="shared" si="133"/>
        <v>0.120433042473108</v>
      </c>
      <c r="H135" s="109">
        <f t="shared" si="134"/>
        <v>1.267170082087322</v>
      </c>
      <c r="I135" s="109">
        <f t="shared" si="135"/>
        <v>0.13894097133837144</v>
      </c>
      <c r="J135" s="77">
        <f t="shared" si="136"/>
        <v>-0.95980810438380004</v>
      </c>
      <c r="K135" s="77">
        <f t="shared" si="137"/>
        <v>2.1537326821587377</v>
      </c>
      <c r="L135" s="91">
        <f t="shared" si="138"/>
        <v>2.3579219799305267</v>
      </c>
      <c r="M135" s="45"/>
      <c r="N135" s="28"/>
      <c r="O135" s="28"/>
      <c r="P135" s="28"/>
      <c r="AF135" s="7"/>
      <c r="AG135" s="7"/>
      <c r="AH135" s="7"/>
      <c r="AI135" s="7"/>
      <c r="AJ135" s="7"/>
      <c r="AK135" s="7"/>
      <c r="AL135" s="7"/>
      <c r="AM135" s="7"/>
      <c r="AN135" s="7"/>
      <c r="AR135" s="92"/>
      <c r="AS135" s="7"/>
      <c r="AT135" s="83"/>
      <c r="AU135" s="83"/>
      <c r="AV135" s="83"/>
      <c r="AW135" s="83"/>
      <c r="AX135" s="83"/>
      <c r="AY135" s="83"/>
      <c r="AZ135" s="7"/>
    </row>
    <row r="136" spans="1:52" s="1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AF136" s="7"/>
      <c r="AG136" s="7"/>
      <c r="AH136" s="7"/>
      <c r="AI136" s="7"/>
      <c r="AJ136" s="7"/>
      <c r="AK136" s="7"/>
      <c r="AL136" s="7"/>
      <c r="AM136" s="7"/>
      <c r="AN136" s="7"/>
      <c r="AR136" s="92"/>
      <c r="AS136" s="7"/>
      <c r="AT136" s="83"/>
      <c r="AU136" s="83"/>
      <c r="AV136" s="83"/>
      <c r="AW136" s="83"/>
      <c r="AX136" s="83"/>
      <c r="AY136" s="83"/>
      <c r="AZ136" s="7"/>
    </row>
    <row r="137" spans="1:52" s="18" customFormat="1">
      <c r="A137" s="88" t="s">
        <v>73</v>
      </c>
      <c r="B137" s="88"/>
      <c r="C137" s="23" t="str">
        <f>CONCATENATE("m",Stufengrün!Z49)</f>
        <v>m1</v>
      </c>
      <c r="D137" s="23" t="s">
        <v>30</v>
      </c>
      <c r="E137" s="28"/>
      <c r="F137" s="28"/>
      <c r="G137" s="28"/>
      <c r="H137" s="36" t="s">
        <v>57</v>
      </c>
      <c r="I137" s="36" t="s">
        <v>51</v>
      </c>
      <c r="J137" s="36" t="s">
        <v>58</v>
      </c>
      <c r="K137" s="36" t="s">
        <v>59</v>
      </c>
      <c r="L137" s="28"/>
      <c r="M137" s="28"/>
      <c r="N137" s="28"/>
      <c r="O137" s="28"/>
      <c r="P137" s="28"/>
      <c r="AF137" s="7"/>
      <c r="AG137" s="7"/>
      <c r="AH137" s="7"/>
      <c r="AI137" s="7"/>
      <c r="AJ137" s="7"/>
      <c r="AK137" s="7"/>
      <c r="AL137" s="7"/>
      <c r="AM137" s="7"/>
      <c r="AN137" s="7"/>
      <c r="AR137" s="92"/>
      <c r="AS137" s="7"/>
      <c r="AT137" s="83"/>
      <c r="AU137" s="83"/>
      <c r="AV137" s="83"/>
      <c r="AW137" s="83"/>
      <c r="AX137" s="83"/>
      <c r="AY137" s="83"/>
      <c r="AZ137" s="7"/>
    </row>
    <row r="138" spans="1:52" s="18" customFormat="1">
      <c r="A138" s="88" t="s">
        <v>69</v>
      </c>
      <c r="B138" s="88"/>
      <c r="C138" s="36">
        <f>Stufengrün!AA49</f>
        <v>0.26129405619084795</v>
      </c>
      <c r="D138" s="26">
        <f>Stufengrün!AC49</f>
        <v>0.31710907748474215</v>
      </c>
      <c r="E138" s="28"/>
      <c r="F138" s="28"/>
      <c r="G138" s="28"/>
      <c r="H138" s="78">
        <f>H127</f>
        <v>1.26701807806861</v>
      </c>
      <c r="I138" s="78">
        <f>I127</f>
        <v>0.13928201035118357</v>
      </c>
      <c r="J138" s="78">
        <f>J127</f>
        <v>-0.95976702096441469</v>
      </c>
      <c r="K138" s="78">
        <f>K127</f>
        <v>2.1530613877758391</v>
      </c>
      <c r="L138" s="28"/>
      <c r="M138" s="28"/>
      <c r="N138" s="28"/>
      <c r="O138" s="28"/>
      <c r="P138" s="28"/>
      <c r="AF138" s="7"/>
      <c r="AG138" s="7"/>
      <c r="AH138" s="7"/>
      <c r="AI138" s="7"/>
      <c r="AJ138" s="7"/>
      <c r="AK138" s="7"/>
      <c r="AL138" s="7"/>
      <c r="AM138" s="7"/>
      <c r="AN138" s="7"/>
      <c r="AR138" s="92"/>
      <c r="AS138" s="7"/>
      <c r="AT138" s="83"/>
      <c r="AU138" s="83"/>
      <c r="AV138" s="83"/>
      <c r="AW138" s="83"/>
      <c r="AX138" s="83"/>
      <c r="AY138" s="83"/>
      <c r="AZ138" s="7"/>
    </row>
    <row r="139" spans="1:52" s="18" customFormat="1">
      <c r="A139" s="95"/>
      <c r="B139" s="95"/>
      <c r="C139" s="28"/>
      <c r="D139" s="28"/>
      <c r="E139" s="28"/>
      <c r="F139" s="28"/>
      <c r="G139" s="28"/>
      <c r="H139" s="37" t="s">
        <v>8</v>
      </c>
      <c r="I139" s="37" t="s">
        <v>8</v>
      </c>
      <c r="J139" s="37" t="s">
        <v>9</v>
      </c>
      <c r="K139" s="37" t="s">
        <v>9</v>
      </c>
      <c r="L139" s="28"/>
      <c r="M139" s="28"/>
      <c r="N139" s="28"/>
      <c r="O139" s="28"/>
      <c r="P139" s="28"/>
      <c r="AF139" s="7"/>
      <c r="AG139" s="7"/>
      <c r="AH139" s="7"/>
      <c r="AI139" s="7"/>
      <c r="AJ139" s="7"/>
      <c r="AK139" s="7"/>
      <c r="AL139" s="7"/>
      <c r="AM139" s="7"/>
      <c r="AN139" s="7"/>
      <c r="AR139" s="92"/>
      <c r="AS139" s="7"/>
      <c r="AT139" s="83"/>
      <c r="AU139" s="83"/>
      <c r="AV139" s="83"/>
      <c r="AW139" s="83"/>
      <c r="AX139" s="83"/>
      <c r="AY139" s="83"/>
      <c r="AZ139" s="7"/>
    </row>
    <row r="140" spans="1:52" s="18" customFormat="1">
      <c r="A140" s="88" t="s">
        <v>68</v>
      </c>
      <c r="B140" s="88"/>
      <c r="C140" s="115" t="s">
        <v>15</v>
      </c>
      <c r="D140" s="115" t="s">
        <v>55</v>
      </c>
      <c r="E140" s="115" t="s">
        <v>12</v>
      </c>
      <c r="F140" s="115" t="s">
        <v>10</v>
      </c>
      <c r="G140" s="115" t="s">
        <v>14</v>
      </c>
      <c r="H140" s="115" t="s">
        <v>21</v>
      </c>
      <c r="I140" s="115" t="s">
        <v>16</v>
      </c>
      <c r="J140" s="115" t="s">
        <v>17</v>
      </c>
      <c r="K140" s="115" t="s">
        <v>23</v>
      </c>
      <c r="L140" s="28"/>
      <c r="M140" s="28"/>
      <c r="N140" s="28"/>
      <c r="O140" s="28"/>
      <c r="P140" s="28"/>
      <c r="AF140" s="7"/>
      <c r="AG140" s="7"/>
      <c r="AH140" s="7"/>
      <c r="AI140" s="7"/>
      <c r="AJ140" s="7"/>
      <c r="AK140" s="7"/>
      <c r="AL140" s="7"/>
      <c r="AM140" s="7"/>
      <c r="AN140" s="7"/>
      <c r="AR140" s="92"/>
      <c r="AS140" s="7"/>
      <c r="AT140" s="83"/>
      <c r="AU140" s="83"/>
      <c r="AV140" s="83"/>
      <c r="AW140" s="83"/>
      <c r="AX140" s="83"/>
      <c r="AY140" s="83"/>
      <c r="AZ140" s="7"/>
    </row>
    <row r="141" spans="1:52" s="18" customFormat="1">
      <c r="A141" s="28"/>
      <c r="B141" s="28"/>
      <c r="C141" s="23">
        <f>Mü/TAN($C138)</f>
        <v>0.26177261284076359</v>
      </c>
      <c r="D141" s="42">
        <f>SQRT($J138*$J138+$K138*$K138)</f>
        <v>2.3572921062231829</v>
      </c>
      <c r="E141" s="20">
        <f>ATAN($J138/$K138)+PI()</f>
        <v>2.7222631835337561</v>
      </c>
      <c r="F141" s="23">
        <f>($E141-A154-0.0001)/5</f>
        <v>8.5558346169710888E-3</v>
      </c>
      <c r="G141" s="23">
        <f>COS($E141)</f>
        <v>-0.91336215061842341</v>
      </c>
      <c r="H141" s="23">
        <f>SIN($E141)</f>
        <v>0.40714810796280082</v>
      </c>
      <c r="I141" s="23">
        <f>$C141+$G141</f>
        <v>-0.65158953777765982</v>
      </c>
      <c r="J141" s="23">
        <f>POWER(TAN($E141/2),$C141)</f>
        <v>1.4994186631526809</v>
      </c>
      <c r="K141" s="23">
        <f>-$D141*$D141*SIN($E141)*SIN($E141)/(2*9.81*SIN($C138)*POWER(TAN($E141/2),2*$C141))</f>
        <v>-8.0837051162911885E-2</v>
      </c>
      <c r="L141" s="28"/>
      <c r="M141" s="28"/>
      <c r="N141" s="28"/>
      <c r="O141" s="28"/>
      <c r="P141" s="28"/>
      <c r="AF141" s="7"/>
      <c r="AG141" s="7"/>
      <c r="AH141" s="7"/>
      <c r="AI141" s="7"/>
      <c r="AJ141" s="7"/>
      <c r="AK141" s="7"/>
      <c r="AL141" s="7"/>
      <c r="AM141" s="7"/>
      <c r="AN141" s="7"/>
      <c r="AR141" s="92"/>
      <c r="AS141" s="7"/>
      <c r="AT141" s="83"/>
      <c r="AU141" s="83"/>
      <c r="AV141" s="83"/>
      <c r="AW141" s="83"/>
      <c r="AX141" s="83"/>
      <c r="AY141" s="83"/>
      <c r="AZ141" s="7"/>
    </row>
    <row r="142" spans="1:52" s="18" customFormat="1">
      <c r="A142" s="88" t="s">
        <v>70</v>
      </c>
      <c r="B142" s="8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45"/>
      <c r="N142" s="28"/>
      <c r="O142" s="28"/>
      <c r="P142" s="28"/>
      <c r="AF142" s="7"/>
      <c r="AG142" s="7"/>
      <c r="AH142" s="7"/>
      <c r="AI142" s="7"/>
      <c r="AJ142" s="7"/>
      <c r="AK142" s="7"/>
      <c r="AL142" s="7"/>
      <c r="AM142" s="7"/>
      <c r="AN142" s="7"/>
      <c r="AR142" s="92"/>
      <c r="AS142" s="7"/>
      <c r="AT142" s="83"/>
      <c r="AU142" s="83"/>
      <c r="AV142" s="83"/>
      <c r="AW142" s="83"/>
      <c r="AX142" s="83"/>
      <c r="AY142" s="83"/>
      <c r="AZ142" s="7"/>
    </row>
    <row r="143" spans="1:52" s="18" customFormat="1">
      <c r="A143" s="115" t="s">
        <v>11</v>
      </c>
      <c r="B143" s="115" t="s">
        <v>13</v>
      </c>
      <c r="C143" s="26" t="s">
        <v>22</v>
      </c>
      <c r="D143" s="26" t="s">
        <v>18</v>
      </c>
      <c r="E143" s="115" t="s">
        <v>19</v>
      </c>
      <c r="F143" s="26" t="s">
        <v>20</v>
      </c>
      <c r="G143" s="26" t="s">
        <v>2</v>
      </c>
      <c r="H143" s="26" t="s">
        <v>65</v>
      </c>
      <c r="I143" s="26" t="s">
        <v>66</v>
      </c>
      <c r="J143" s="76" t="s">
        <v>3</v>
      </c>
      <c r="K143" s="76" t="s">
        <v>4</v>
      </c>
      <c r="L143" s="116" t="s">
        <v>7</v>
      </c>
      <c r="M143" s="93"/>
      <c r="N143" s="26" t="s">
        <v>61</v>
      </c>
      <c r="O143" s="26" t="s">
        <v>62</v>
      </c>
      <c r="P143" s="115" t="s">
        <v>63</v>
      </c>
      <c r="AF143" s="7"/>
      <c r="AG143" s="7"/>
      <c r="AH143" s="7"/>
      <c r="AI143" s="7"/>
      <c r="AJ143" s="7"/>
      <c r="AK143" s="7"/>
      <c r="AL143" s="7"/>
      <c r="AM143" s="7"/>
      <c r="AN143" s="7"/>
      <c r="AR143" s="92"/>
      <c r="AS143" s="7"/>
      <c r="AT143" s="83"/>
      <c r="AU143" s="83"/>
      <c r="AV143" s="83"/>
      <c r="AW143" s="83"/>
      <c r="AX143" s="83"/>
      <c r="AY143" s="83"/>
      <c r="AZ143" s="7"/>
    </row>
    <row r="144" spans="1:52" s="18" customFormat="1">
      <c r="A144" s="19">
        <f>$E141</f>
        <v>2.7222631835337561</v>
      </c>
      <c r="B144" s="26">
        <f>COS(A144)</f>
        <v>-0.91336215061842341</v>
      </c>
      <c r="C144" s="26">
        <f>($C$141+B144)</f>
        <v>-0.65158953777765982</v>
      </c>
      <c r="D144" s="26">
        <f>POWER(TAN(A144/2),$C$141)</f>
        <v>1.4994186631526809</v>
      </c>
      <c r="E144" s="26">
        <f>SIN(A144)</f>
        <v>0.40714810796280082</v>
      </c>
      <c r="F144" s="77">
        <f>(C144*$H$141*D144/E144/$I$141/$J$141)</f>
        <v>1</v>
      </c>
      <c r="G144" s="77">
        <f>$D$141*($C$141+$G$141)/9.81/SIN($C$138)/(1-$C$141*$C$138)*(F144-1)</f>
        <v>0</v>
      </c>
      <c r="H144" s="75">
        <f>-(-$H$138+$K$141*((POWER(TAN(A144/2),2*$C$141-1)/(2*$C$141-1))+(POWER(TAN(A144/2),2*$C$141+1)/(2*$C$141+1))-(POWER(TAN($E$141/2),2*$C$141-1)/(2*$C$141-1))-(POWER(TAN($E$141/2),2*$C$141+1)/(2*$C$141+1))))</f>
        <v>1.26701807806861</v>
      </c>
      <c r="I144" s="75">
        <f>-(-$I$138+0.5*$K$141*((POWER(TAN(A144/2),2*$C$141-2)/(2*$C$141-2))-(POWER(TAN(A144/2),2*$C$141+2)/(2*$C$141+2))-(POWER(TAN($E$141/2),2*$C$141-2)/(2*$C$141-2))+(POWER(TAN($E$141/2),2*$C$141+2)/(2*$C$141+2))))</f>
        <v>0.13928201035118357</v>
      </c>
      <c r="J144" s="77">
        <f>-$D$141*SIN(A144)*($C$141+$G$141)/($C$141+B144)*F144</f>
        <v>-0.95976702096441469</v>
      </c>
      <c r="K144" s="77">
        <f>-$D$141*COS(A144)*($C$141+$G$141)/($C$141+B144)*F144</f>
        <v>2.1530613877758391</v>
      </c>
      <c r="L144" s="91">
        <f>SQRT(J144*J144+K144*K144)</f>
        <v>2.3572921062231829</v>
      </c>
      <c r="M144" s="93"/>
      <c r="N144" s="75">
        <f>-(-$I$138+0.5*$K$141*((POWER(TAN(A144/2),2*$C$141-2)/(2*$C$141-2))-(POWER(TAN(A144/2),2*$C$141+2)/(2*$C$141+2))-(POWER(TAN($E$141/2),2*$C$141-2)/(2*$C$141-2))+(POWER(TAN($E$141/2),2*$C$141+2)/(2*$C$141+2))))-$D$138</f>
        <v>-0.17782706713355859</v>
      </c>
      <c r="O144" s="75">
        <f>-(-$I$138+0.5*$K$141*((POWER(TAN((A144+$M$9)/2),2*$C$141-2)/(2*$C$141-2))-(POWER(TAN((A144+$M$9)/2),2*$C$141+2)/(2*$C$141+2))-(POWER(TAN($E$141/2),2*$C$141-2)/(2*$C$141-2))+(POWER(TAN($E$141/2),2*$C$141+2)/(2*$C$141+2))))-$D$138</f>
        <v>-0.19277324698971629</v>
      </c>
      <c r="P144" s="75">
        <f>A144-N144/(O144-N144)*$M$9</f>
        <v>2.6865697015514094</v>
      </c>
      <c r="AF144" s="7"/>
      <c r="AG144" s="7"/>
      <c r="AH144" s="7"/>
      <c r="AI144" s="7"/>
      <c r="AJ144" s="7"/>
      <c r="AK144" s="7"/>
      <c r="AL144" s="7"/>
      <c r="AM144" s="7"/>
      <c r="AN144" s="7"/>
      <c r="AR144" s="92"/>
      <c r="AS144" s="7"/>
      <c r="AT144" s="83"/>
      <c r="AU144" s="83"/>
      <c r="AV144" s="83"/>
      <c r="AW144" s="83"/>
      <c r="AX144" s="83"/>
      <c r="AY144" s="83"/>
      <c r="AZ144" s="7"/>
    </row>
    <row r="145" spans="1:52" s="18" customFormat="1">
      <c r="A145" s="19">
        <f>$P144</f>
        <v>2.6865697015514094</v>
      </c>
      <c r="B145" s="26">
        <f t="shared" ref="B145:B154" si="139">COS(A145)</f>
        <v>-0.89825094138606709</v>
      </c>
      <c r="C145" s="26">
        <f t="shared" ref="C145:C154" si="140">($C$141+B145)</f>
        <v>-0.63647832854530351</v>
      </c>
      <c r="D145" s="26">
        <f t="shared" ref="D145:D154" si="141">POWER(TAN(A145/2),$C$141)</f>
        <v>1.466673205307184</v>
      </c>
      <c r="E145" s="26">
        <f t="shared" ref="E145:E154" si="142">SIN(A145)</f>
        <v>0.43948293061169541</v>
      </c>
      <c r="F145" s="77">
        <f t="shared" ref="F145:F154" si="143">(C145*$H$141*D145/E145/$I$141/$J$141)</f>
        <v>0.88517751443823045</v>
      </c>
      <c r="G145" s="77">
        <f t="shared" ref="G145:G154" si="144">$D$141*($C$141+$G$141)/9.81/SIN($C$138)/(1-$C$141*$C$138)*(F145-1)</f>
        <v>7.4703238871761474E-2</v>
      </c>
      <c r="H145" s="75">
        <f t="shared" ref="H145:H154" si="145">-(-$H$138+$K$141*((POWER(TAN(A145/2),2*$C$141-1)/(2*$C$141-1))+(POWER(TAN(A145/2),2*$C$141+1)/(2*$C$141+1))-(POWER(TAN($E$141/2),2*$C$141-1)/(2*$C$141-1))-(POWER(TAN($E$141/2),2*$C$141+1)/(2*$C$141+1))))</f>
        <v>1.1960837582075385</v>
      </c>
      <c r="I145" s="75">
        <f t="shared" ref="I145:I154" si="146">-(-$I$138+0.5*$K$141*((POWER(TAN(A145/2),2*$C$141-2)/(2*$C$141-2))-(POWER(TAN(A145/2),2*$C$141+2)/(2*$C$141+2))-(POWER(TAN($E$141/2),2*$C$141-2)/(2*$C$141-2))+(POWER(TAN($E$141/2),2*$C$141+2)/(2*$C$141+2))))</f>
        <v>0.29138879285978392</v>
      </c>
      <c r="J145" s="77">
        <f t="shared" ref="J145:J154" si="147">-$D$141*SIN(A145)*($C$141+$G$141)/($C$141+B145)*F145</f>
        <v>-0.93880689068271761</v>
      </c>
      <c r="K145" s="77">
        <f t="shared" ref="K145:K154" si="148">-$D$141*COS(A145)*($C$141+$G$141)/($C$141+B145)*F145</f>
        <v>1.9188098435626395</v>
      </c>
      <c r="L145" s="91">
        <f t="shared" ref="L145:L154" si="149">SQRT(J145*J145+K145*K145)</f>
        <v>2.1361623519166875</v>
      </c>
      <c r="M145" s="93"/>
      <c r="N145" s="75">
        <f t="shared" ref="N145:N154" si="150">-(-$I$138+0.5*$K$141*((POWER(TAN(A145/2),2*$C$141-2)/(2*$C$141-2))-(POWER(TAN(A145/2),2*$C$141+2)/(2*$C$141+2))-(POWER(TAN($E$141/2),2*$C$141-2)/(2*$C$141-2))+(POWER(TAN($E$141/2),2*$C$141+2)/(2*$C$141+2))))-$D$138</f>
        <v>-2.5720284624958234E-2</v>
      </c>
      <c r="O145" s="75">
        <f t="shared" ref="O145:O154" si="151">-(-$I$138+0.5*$K$141*((POWER(TAN((A145+$M$9)/2),2*$C$141-2)/(2*$C$141-2))-(POWER(TAN((A145+$M$9)/2),2*$C$141+2)/(2*$C$141+2))-(POWER(TAN($E$141/2),2*$C$141-2)/(2*$C$141-2))+(POWER(TAN($E$141/2),2*$C$141+2)/(2*$C$141+2))))-$D$138</f>
        <v>-3.6891751322728372E-2</v>
      </c>
      <c r="P145" s="75">
        <f t="shared" ref="P145:P154" si="152">A145-N145/(O145-N145)*$M$9</f>
        <v>2.6796627433191231</v>
      </c>
      <c r="AF145" s="7"/>
      <c r="AG145" s="7"/>
      <c r="AH145" s="7"/>
      <c r="AI145" s="7"/>
      <c r="AJ145" s="7"/>
      <c r="AK145" s="7"/>
      <c r="AL145" s="7"/>
      <c r="AM145" s="7"/>
      <c r="AN145" s="7"/>
      <c r="AR145" s="92"/>
      <c r="AS145" s="7"/>
      <c r="AT145" s="83"/>
      <c r="AU145" s="83"/>
      <c r="AV145" s="83"/>
      <c r="AW145" s="83"/>
      <c r="AX145" s="83"/>
      <c r="AY145" s="83"/>
      <c r="AZ145" s="7"/>
    </row>
    <row r="146" spans="1:52" s="18" customFormat="1">
      <c r="A146" s="19">
        <f t="shared" ref="A146:A154" si="153">$P145</f>
        <v>2.6796627433191231</v>
      </c>
      <c r="B146" s="26">
        <f t="shared" si="139"/>
        <v>-0.89519404934881819</v>
      </c>
      <c r="C146" s="26">
        <f t="shared" si="140"/>
        <v>-0.6334214365080546</v>
      </c>
      <c r="D146" s="26">
        <f t="shared" si="141"/>
        <v>1.4606936153869285</v>
      </c>
      <c r="E146" s="26">
        <f t="shared" si="142"/>
        <v>0.44567658005605992</v>
      </c>
      <c r="F146" s="77">
        <f t="shared" si="143"/>
        <v>0.86514216952205714</v>
      </c>
      <c r="G146" s="77">
        <f t="shared" si="144"/>
        <v>8.7738187121038522E-2</v>
      </c>
      <c r="H146" s="75">
        <f t="shared" si="145"/>
        <v>1.1838697039352817</v>
      </c>
      <c r="I146" s="75">
        <f t="shared" si="146"/>
        <v>0.31613780994651869</v>
      </c>
      <c r="J146" s="77">
        <f t="shared" si="147"/>
        <v>-0.93497939850499212</v>
      </c>
      <c r="K146" s="77">
        <f t="shared" si="148"/>
        <v>1.8780165511504432</v>
      </c>
      <c r="L146" s="91">
        <f t="shared" si="149"/>
        <v>2.0978876619170439</v>
      </c>
      <c r="M146" s="93"/>
      <c r="N146" s="75">
        <f t="shared" si="150"/>
        <v>-9.7126753822346368E-4</v>
      </c>
      <c r="O146" s="75">
        <f t="shared" si="151"/>
        <v>-1.15582724187272E-2</v>
      </c>
      <c r="P146" s="75">
        <f t="shared" si="152"/>
        <v>2.6793875188673013</v>
      </c>
      <c r="AF146" s="7"/>
      <c r="AG146" s="7"/>
      <c r="AH146" s="7"/>
      <c r="AI146" s="7"/>
      <c r="AJ146" s="7"/>
      <c r="AK146" s="7"/>
      <c r="AL146" s="7"/>
      <c r="AM146" s="7"/>
      <c r="AN146" s="7"/>
      <c r="AR146" s="92"/>
      <c r="AS146" s="7"/>
      <c r="AT146" s="83"/>
      <c r="AU146" s="83"/>
      <c r="AV146" s="83"/>
      <c r="AW146" s="83"/>
      <c r="AX146" s="83"/>
      <c r="AY146" s="83"/>
      <c r="AZ146" s="7"/>
    </row>
    <row r="147" spans="1:52" s="18" customFormat="1">
      <c r="A147" s="19">
        <f t="shared" si="153"/>
        <v>2.6793875188673013</v>
      </c>
      <c r="B147" s="26">
        <f t="shared" si="139"/>
        <v>-0.89507135435312857</v>
      </c>
      <c r="C147" s="26">
        <f t="shared" si="140"/>
        <v>-0.63329874151236498</v>
      </c>
      <c r="D147" s="26">
        <f t="shared" si="141"/>
        <v>1.4604575700431164</v>
      </c>
      <c r="E147" s="26">
        <f t="shared" si="142"/>
        <v>0.44592294246478981</v>
      </c>
      <c r="F147" s="77">
        <f t="shared" si="143"/>
        <v>0.86435700968349838</v>
      </c>
      <c r="G147" s="77">
        <f t="shared" si="144"/>
        <v>8.8249010264131136E-2</v>
      </c>
      <c r="H147" s="75">
        <f t="shared" si="145"/>
        <v>1.1833920691791078</v>
      </c>
      <c r="I147" s="75">
        <f t="shared" si="146"/>
        <v>0.31709686505517398</v>
      </c>
      <c r="J147" s="77">
        <f t="shared" si="147"/>
        <v>-0.93482830759088598</v>
      </c>
      <c r="K147" s="77">
        <f t="shared" si="148"/>
        <v>1.8764184563773292</v>
      </c>
      <c r="L147" s="91">
        <f t="shared" si="149"/>
        <v>2.0963897987031701</v>
      </c>
      <c r="M147" s="93"/>
      <c r="N147" s="75">
        <f t="shared" si="150"/>
        <v>-1.2212429568170258E-5</v>
      </c>
      <c r="O147" s="75">
        <f t="shared" si="151"/>
        <v>-1.0576744568852381E-2</v>
      </c>
      <c r="P147" s="75">
        <f t="shared" si="152"/>
        <v>2.6793840509154583</v>
      </c>
      <c r="AF147" s="7"/>
      <c r="AG147" s="7"/>
      <c r="AH147" s="7"/>
      <c r="AI147" s="7"/>
      <c r="AJ147" s="7"/>
      <c r="AK147" s="7"/>
      <c r="AL147" s="7"/>
      <c r="AM147" s="7"/>
      <c r="AN147" s="7"/>
      <c r="AR147" s="92"/>
      <c r="AS147" s="7"/>
      <c r="AT147" s="83"/>
      <c r="AU147" s="83"/>
      <c r="AV147" s="83"/>
      <c r="AW147" s="83"/>
      <c r="AX147" s="83"/>
      <c r="AY147" s="83"/>
      <c r="AZ147" s="7"/>
    </row>
    <row r="148" spans="1:52" s="18" customFormat="1">
      <c r="A148" s="19">
        <f t="shared" si="153"/>
        <v>2.6793840509154583</v>
      </c>
      <c r="B148" s="26">
        <f t="shared" si="139"/>
        <v>-0.89506980790845603</v>
      </c>
      <c r="C148" s="26">
        <f t="shared" si="140"/>
        <v>-0.63329719506769244</v>
      </c>
      <c r="D148" s="26">
        <f t="shared" si="141"/>
        <v>1.4604545968409581</v>
      </c>
      <c r="E148" s="26">
        <f t="shared" si="142"/>
        <v>0.44592604652646128</v>
      </c>
      <c r="F148" s="77">
        <f t="shared" si="143"/>
        <v>0.86434712266017411</v>
      </c>
      <c r="G148" s="77">
        <f t="shared" si="144"/>
        <v>8.8255442738236795E-2</v>
      </c>
      <c r="H148" s="75">
        <f t="shared" si="145"/>
        <v>1.1833860551176312</v>
      </c>
      <c r="I148" s="75">
        <f t="shared" si="146"/>
        <v>0.31710893662685768</v>
      </c>
      <c r="J148" s="77">
        <f t="shared" si="147"/>
        <v>-0.93482640446572951</v>
      </c>
      <c r="K148" s="77">
        <f t="shared" si="148"/>
        <v>1.8763983328415899</v>
      </c>
      <c r="L148" s="91">
        <f t="shared" si="149"/>
        <v>2.0963709380682185</v>
      </c>
      <c r="M148" s="93"/>
      <c r="N148" s="75">
        <f t="shared" si="150"/>
        <v>-1.4085788446749348E-7</v>
      </c>
      <c r="O148" s="75">
        <f t="shared" si="151"/>
        <v>-1.0564390218334663E-2</v>
      </c>
      <c r="P148" s="75">
        <f t="shared" si="152"/>
        <v>2.6793840109151099</v>
      </c>
      <c r="AF148" s="7"/>
      <c r="AG148" s="7"/>
      <c r="AH148" s="7"/>
      <c r="AI148" s="7"/>
      <c r="AJ148" s="7"/>
      <c r="AK148" s="7"/>
      <c r="AL148" s="7"/>
      <c r="AM148" s="7"/>
      <c r="AN148" s="7"/>
      <c r="AR148" s="92"/>
      <c r="AS148" s="7"/>
      <c r="AT148" s="83"/>
      <c r="AU148" s="83"/>
      <c r="AV148" s="83"/>
      <c r="AW148" s="83"/>
      <c r="AX148" s="83"/>
      <c r="AY148" s="83"/>
      <c r="AZ148" s="7"/>
    </row>
    <row r="149" spans="1:52" s="18" customFormat="1">
      <c r="A149" s="19">
        <f t="shared" si="153"/>
        <v>2.6793840109151099</v>
      </c>
      <c r="B149" s="26">
        <f t="shared" si="139"/>
        <v>-0.89506979007125809</v>
      </c>
      <c r="C149" s="26">
        <f t="shared" si="140"/>
        <v>-0.6332971772304945</v>
      </c>
      <c r="D149" s="26">
        <f t="shared" si="141"/>
        <v>1.4604545625473502</v>
      </c>
      <c r="E149" s="26">
        <f t="shared" si="142"/>
        <v>0.44592608232956504</v>
      </c>
      <c r="F149" s="77">
        <f t="shared" si="143"/>
        <v>0.86434700862133984</v>
      </c>
      <c r="G149" s="77">
        <f t="shared" si="144"/>
        <v>8.825551693163397E-2</v>
      </c>
      <c r="H149" s="75">
        <f t="shared" si="145"/>
        <v>1.1833859857503572</v>
      </c>
      <c r="I149" s="75">
        <f t="shared" si="146"/>
        <v>0.31710907586193909</v>
      </c>
      <c r="J149" s="77">
        <f t="shared" si="147"/>
        <v>-0.93482638251463968</v>
      </c>
      <c r="K149" s="77">
        <f t="shared" si="148"/>
        <v>1.8763981007328856</v>
      </c>
      <c r="L149" s="91">
        <f t="shared" si="149"/>
        <v>2.0963707205261639</v>
      </c>
      <c r="M149" s="93"/>
      <c r="N149" s="75">
        <f t="shared" si="150"/>
        <v>-1.6228030585985209E-9</v>
      </c>
      <c r="O149" s="75">
        <f t="shared" si="151"/>
        <v>-1.0564247721657871E-2</v>
      </c>
      <c r="P149" s="75">
        <f t="shared" si="152"/>
        <v>2.6793840104542714</v>
      </c>
      <c r="AF149" s="7"/>
      <c r="AG149" s="7"/>
      <c r="AH149" s="7"/>
      <c r="AI149" s="7"/>
      <c r="AJ149" s="7"/>
      <c r="AK149" s="7"/>
      <c r="AL149" s="7"/>
      <c r="AM149" s="7"/>
      <c r="AN149" s="7"/>
      <c r="AR149" s="92"/>
      <c r="AS149" s="7"/>
      <c r="AT149" s="83"/>
      <c r="AU149" s="83"/>
      <c r="AV149" s="83"/>
      <c r="AW149" s="83"/>
      <c r="AX149" s="83"/>
      <c r="AY149" s="83"/>
      <c r="AZ149" s="7"/>
    </row>
    <row r="150" spans="1:52" s="18" customFormat="1">
      <c r="A150" s="19">
        <f t="shared" si="153"/>
        <v>2.6793840104542714</v>
      </c>
      <c r="B150" s="26">
        <f t="shared" si="139"/>
        <v>-0.89506978986575814</v>
      </c>
      <c r="C150" s="26">
        <f t="shared" si="140"/>
        <v>-0.63329717702499455</v>
      </c>
      <c r="D150" s="26">
        <f t="shared" si="141"/>
        <v>1.4604545621522582</v>
      </c>
      <c r="E150" s="26">
        <f t="shared" si="142"/>
        <v>0.44592608274204765</v>
      </c>
      <c r="F150" s="77">
        <f t="shared" si="143"/>
        <v>0.86434700730751424</v>
      </c>
      <c r="G150" s="77">
        <f t="shared" si="144"/>
        <v>8.8255517786405821E-2</v>
      </c>
      <c r="H150" s="75">
        <f t="shared" si="145"/>
        <v>1.183385984951187</v>
      </c>
      <c r="I150" s="75">
        <f t="shared" si="146"/>
        <v>0.31710907746604694</v>
      </c>
      <c r="J150" s="77">
        <f t="shared" si="147"/>
        <v>-0.93482638226174408</v>
      </c>
      <c r="K150" s="77">
        <f t="shared" si="148"/>
        <v>1.8763980980587931</v>
      </c>
      <c r="L150" s="91">
        <f t="shared" si="149"/>
        <v>2.0963707180198918</v>
      </c>
      <c r="M150" s="93"/>
      <c r="N150" s="75">
        <f t="shared" si="150"/>
        <v>-1.8695212045116705E-11</v>
      </c>
      <c r="O150" s="75">
        <f t="shared" si="151"/>
        <v>-1.0564246079973305E-2</v>
      </c>
      <c r="P150" s="75">
        <f t="shared" si="152"/>
        <v>2.6793840104489623</v>
      </c>
      <c r="AF150" s="7"/>
      <c r="AG150" s="7"/>
      <c r="AH150" s="7"/>
      <c r="AI150" s="7"/>
      <c r="AJ150" s="7"/>
      <c r="AK150" s="7"/>
      <c r="AL150" s="7"/>
      <c r="AM150" s="7"/>
      <c r="AN150" s="7"/>
      <c r="AR150" s="92"/>
      <c r="AS150" s="7"/>
      <c r="AT150" s="83"/>
      <c r="AU150" s="83"/>
      <c r="AV150" s="83"/>
      <c r="AW150" s="83"/>
      <c r="AX150" s="83"/>
      <c r="AY150" s="83"/>
      <c r="AZ150" s="7"/>
    </row>
    <row r="151" spans="1:52" s="18" customFormat="1">
      <c r="A151" s="19">
        <f t="shared" si="153"/>
        <v>2.6793840104489623</v>
      </c>
      <c r="B151" s="26">
        <f t="shared" si="139"/>
        <v>-0.8950697898633907</v>
      </c>
      <c r="C151" s="26">
        <f t="shared" si="140"/>
        <v>-0.63329717702262711</v>
      </c>
      <c r="D151" s="26">
        <f t="shared" si="141"/>
        <v>1.4604545621477067</v>
      </c>
      <c r="E151" s="26">
        <f t="shared" si="142"/>
        <v>0.44592608274679962</v>
      </c>
      <c r="F151" s="77">
        <f t="shared" si="143"/>
        <v>0.86434700729237846</v>
      </c>
      <c r="G151" s="77">
        <f t="shared" si="144"/>
        <v>8.8255517796253125E-2</v>
      </c>
      <c r="H151" s="75">
        <f t="shared" si="145"/>
        <v>1.1833859849419801</v>
      </c>
      <c r="I151" s="75">
        <f t="shared" si="146"/>
        <v>0.31710907748452677</v>
      </c>
      <c r="J151" s="77">
        <f t="shared" si="147"/>
        <v>-0.93482638225883063</v>
      </c>
      <c r="K151" s="77">
        <f t="shared" si="148"/>
        <v>1.8763980980279864</v>
      </c>
      <c r="L151" s="91">
        <f t="shared" si="149"/>
        <v>2.0963707179910185</v>
      </c>
      <c r="M151" s="93"/>
      <c r="N151" s="75">
        <f t="shared" si="150"/>
        <v>-2.1538326677728037E-13</v>
      </c>
      <c r="O151" s="75">
        <f t="shared" si="151"/>
        <v>-1.0564246061060212E-2</v>
      </c>
      <c r="P151" s="75">
        <f t="shared" si="152"/>
        <v>2.6793840104489011</v>
      </c>
      <c r="AF151" s="7"/>
      <c r="AG151" s="7"/>
      <c r="AH151" s="7"/>
      <c r="AI151" s="7"/>
      <c r="AJ151" s="7"/>
      <c r="AK151" s="7"/>
      <c r="AL151" s="7"/>
      <c r="AM151" s="7"/>
      <c r="AN151" s="7"/>
      <c r="AR151" s="92"/>
      <c r="AS151" s="7"/>
      <c r="AT151" s="83"/>
      <c r="AU151" s="83"/>
      <c r="AV151" s="83"/>
      <c r="AW151" s="83"/>
      <c r="AX151" s="83"/>
      <c r="AY151" s="83"/>
      <c r="AZ151" s="7"/>
    </row>
    <row r="152" spans="1:52" s="18" customFormat="1">
      <c r="A152" s="19">
        <f>$P151</f>
        <v>2.6793840104489011</v>
      </c>
      <c r="B152" s="26">
        <f t="shared" si="139"/>
        <v>-0.89506978986336339</v>
      </c>
      <c r="C152" s="26">
        <f t="shared" si="140"/>
        <v>-0.6332971770225998</v>
      </c>
      <c r="D152" s="26">
        <f t="shared" si="141"/>
        <v>1.4604545621476541</v>
      </c>
      <c r="E152" s="26">
        <f t="shared" si="142"/>
        <v>0.44592608274685452</v>
      </c>
      <c r="F152" s="77">
        <f t="shared" si="143"/>
        <v>0.86434700729220348</v>
      </c>
      <c r="G152" s="77">
        <f t="shared" si="144"/>
        <v>8.8255517796366964E-2</v>
      </c>
      <c r="H152" s="75">
        <f t="shared" si="145"/>
        <v>1.1833859849418737</v>
      </c>
      <c r="I152" s="75">
        <f t="shared" si="146"/>
        <v>0.31710907748474038</v>
      </c>
      <c r="J152" s="77">
        <f t="shared" si="147"/>
        <v>-0.93482638225879688</v>
      </c>
      <c r="K152" s="77">
        <f t="shared" si="148"/>
        <v>1.8763980980276302</v>
      </c>
      <c r="L152" s="91">
        <f t="shared" si="149"/>
        <v>2.0963707179906845</v>
      </c>
      <c r="M152" s="93"/>
      <c r="N152" s="75">
        <f t="shared" si="150"/>
        <v>-1.7763568394002505E-15</v>
      </c>
      <c r="O152" s="75">
        <f t="shared" si="151"/>
        <v>-1.0564246060842108E-2</v>
      </c>
      <c r="P152" s="75">
        <f t="shared" si="152"/>
        <v>2.6793840104489006</v>
      </c>
      <c r="AF152" s="7"/>
      <c r="AG152" s="7"/>
      <c r="AH152" s="7"/>
      <c r="AI152" s="7"/>
      <c r="AJ152" s="7"/>
      <c r="AK152" s="7"/>
      <c r="AL152" s="7"/>
      <c r="AM152" s="7"/>
      <c r="AN152" s="7"/>
      <c r="AR152" s="92"/>
      <c r="AS152" s="7"/>
      <c r="AT152" s="83"/>
      <c r="AU152" s="83"/>
      <c r="AV152" s="83"/>
      <c r="AW152" s="83"/>
      <c r="AX152" s="83"/>
      <c r="AY152" s="83"/>
      <c r="AZ152" s="7"/>
    </row>
    <row r="153" spans="1:52" s="18" customFormat="1">
      <c r="A153" s="19">
        <f t="shared" si="153"/>
        <v>2.6793840104489006</v>
      </c>
      <c r="B153" s="26">
        <f t="shared" si="139"/>
        <v>-0.89506978986336316</v>
      </c>
      <c r="C153" s="26">
        <f t="shared" si="140"/>
        <v>-0.63329717702259958</v>
      </c>
      <c r="D153" s="26">
        <f t="shared" si="141"/>
        <v>1.4604545621476537</v>
      </c>
      <c r="E153" s="26">
        <f t="shared" si="142"/>
        <v>0.44592608274685491</v>
      </c>
      <c r="F153" s="77">
        <f t="shared" si="143"/>
        <v>0.86434700729220237</v>
      </c>
      <c r="G153" s="77">
        <f t="shared" si="144"/>
        <v>8.8255517796367686E-2</v>
      </c>
      <c r="H153" s="75">
        <f t="shared" si="145"/>
        <v>1.1833859849418729</v>
      </c>
      <c r="I153" s="75">
        <f t="shared" si="146"/>
        <v>0.31710907748474176</v>
      </c>
      <c r="J153" s="77">
        <f t="shared" si="147"/>
        <v>-0.93482638225879688</v>
      </c>
      <c r="K153" s="77">
        <f t="shared" si="148"/>
        <v>1.8763980980276282</v>
      </c>
      <c r="L153" s="91">
        <f t="shared" si="149"/>
        <v>2.0963707179906828</v>
      </c>
      <c r="M153" s="93"/>
      <c r="N153" s="75">
        <f t="shared" si="150"/>
        <v>0</v>
      </c>
      <c r="O153" s="75">
        <f t="shared" si="151"/>
        <v>-1.0564246060840388E-2</v>
      </c>
      <c r="P153" s="75">
        <f t="shared" si="152"/>
        <v>2.6793840104489006</v>
      </c>
      <c r="AF153" s="7"/>
      <c r="AG153" s="7"/>
      <c r="AH153" s="7"/>
      <c r="AI153" s="7"/>
      <c r="AJ153" s="7"/>
      <c r="AK153" s="7"/>
      <c r="AL153" s="7"/>
      <c r="AM153" s="7"/>
      <c r="AN153" s="7"/>
      <c r="AR153" s="92"/>
      <c r="AS153" s="7"/>
      <c r="AT153" s="83"/>
      <c r="AU153" s="83"/>
      <c r="AV153" s="83"/>
      <c r="AW153" s="83"/>
      <c r="AX153" s="83"/>
      <c r="AY153" s="83"/>
      <c r="AZ153" s="7"/>
    </row>
    <row r="154" spans="1:52" s="18" customFormat="1">
      <c r="A154" s="19">
        <f t="shared" si="153"/>
        <v>2.6793840104489006</v>
      </c>
      <c r="B154" s="26">
        <f t="shared" si="139"/>
        <v>-0.89506978986336316</v>
      </c>
      <c r="C154" s="26">
        <f t="shared" si="140"/>
        <v>-0.63329717702259958</v>
      </c>
      <c r="D154" s="26">
        <f t="shared" si="141"/>
        <v>1.4604545621476537</v>
      </c>
      <c r="E154" s="26">
        <f t="shared" si="142"/>
        <v>0.44592608274685491</v>
      </c>
      <c r="F154" s="77">
        <f t="shared" si="143"/>
        <v>0.86434700729220237</v>
      </c>
      <c r="G154" s="77">
        <f t="shared" si="144"/>
        <v>8.8255517796367686E-2</v>
      </c>
      <c r="H154" s="81">
        <f t="shared" si="145"/>
        <v>1.1833859849418729</v>
      </c>
      <c r="I154" s="81">
        <f t="shared" si="146"/>
        <v>0.31710907748474176</v>
      </c>
      <c r="J154" s="80">
        <f t="shared" si="147"/>
        <v>-0.93482638225879688</v>
      </c>
      <c r="K154" s="80">
        <f t="shared" si="148"/>
        <v>1.8763980980276282</v>
      </c>
      <c r="L154" s="91">
        <f t="shared" si="149"/>
        <v>2.0963707179906828</v>
      </c>
      <c r="M154" s="93"/>
      <c r="N154" s="75">
        <f t="shared" si="150"/>
        <v>0</v>
      </c>
      <c r="O154" s="75">
        <f t="shared" si="151"/>
        <v>-1.0564246060840388E-2</v>
      </c>
      <c r="P154" s="75">
        <f t="shared" si="152"/>
        <v>2.6793840104489006</v>
      </c>
      <c r="AF154" s="7"/>
      <c r="AG154" s="7"/>
      <c r="AH154" s="7"/>
      <c r="AI154" s="7"/>
      <c r="AJ154" s="7"/>
      <c r="AK154" s="7"/>
      <c r="AL154" s="7"/>
      <c r="AM154" s="7"/>
      <c r="AN154" s="7"/>
      <c r="AR154" s="92"/>
      <c r="AS154" s="7"/>
      <c r="AT154" s="83"/>
      <c r="AU154" s="83"/>
      <c r="AV154" s="83"/>
      <c r="AW154" s="83"/>
      <c r="AX154" s="83"/>
      <c r="AY154" s="83"/>
      <c r="AZ154" s="7"/>
    </row>
    <row r="155" spans="1:52" s="18" customFormat="1">
      <c r="A155" s="88" t="s">
        <v>60</v>
      </c>
      <c r="B155" s="8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AF155" s="7"/>
      <c r="AG155" s="7"/>
      <c r="AH155" s="7"/>
      <c r="AI155" s="7"/>
      <c r="AJ155" s="7"/>
      <c r="AK155" s="7"/>
      <c r="AL155" s="7"/>
      <c r="AM155" s="7"/>
      <c r="AN155" s="7"/>
      <c r="AR155" s="92"/>
      <c r="AS155" s="7"/>
      <c r="AT155" s="83"/>
      <c r="AU155" s="83"/>
      <c r="AV155" s="83"/>
      <c r="AW155" s="83"/>
      <c r="AX155" s="83"/>
      <c r="AY155" s="83"/>
      <c r="AZ155" s="7"/>
    </row>
    <row r="156" spans="1:52" s="18" customFormat="1">
      <c r="A156" s="26" t="s">
        <v>11</v>
      </c>
      <c r="B156" s="26" t="s">
        <v>13</v>
      </c>
      <c r="C156" s="26" t="s">
        <v>22</v>
      </c>
      <c r="D156" s="26" t="s">
        <v>18</v>
      </c>
      <c r="E156" s="26" t="s">
        <v>19</v>
      </c>
      <c r="F156" s="26" t="s">
        <v>20</v>
      </c>
      <c r="G156" s="26" t="s">
        <v>2</v>
      </c>
      <c r="H156" s="26" t="s">
        <v>1</v>
      </c>
      <c r="I156" s="26" t="s">
        <v>0</v>
      </c>
      <c r="J156" s="76" t="s">
        <v>3</v>
      </c>
      <c r="K156" s="76" t="s">
        <v>4</v>
      </c>
      <c r="L156" s="44" t="s">
        <v>7</v>
      </c>
      <c r="M156" s="28"/>
      <c r="N156" s="28"/>
      <c r="O156" s="28"/>
      <c r="P156" s="31"/>
      <c r="AF156" s="7"/>
      <c r="AG156" s="7"/>
      <c r="AH156" s="7"/>
      <c r="AI156" s="7"/>
      <c r="AJ156" s="7"/>
      <c r="AK156" s="7"/>
      <c r="AL156" s="7"/>
      <c r="AM156" s="7"/>
      <c r="AN156" s="7"/>
      <c r="AR156" s="92"/>
      <c r="AS156" s="7"/>
      <c r="AT156" s="83"/>
      <c r="AU156" s="83"/>
      <c r="AV156" s="83"/>
      <c r="AW156" s="83"/>
      <c r="AX156" s="83"/>
      <c r="AY156" s="83"/>
      <c r="AZ156" s="7"/>
    </row>
    <row r="157" spans="1:52" s="18" customFormat="1">
      <c r="A157" s="19">
        <f>$E141</f>
        <v>2.7222631835337561</v>
      </c>
      <c r="B157" s="26">
        <f t="shared" ref="B157:B162" si="154">COS(A157)</f>
        <v>-0.91336215061842341</v>
      </c>
      <c r="C157" s="26">
        <f t="shared" ref="C157:C162" si="155">($C$141+B157)</f>
        <v>-0.65158953777765982</v>
      </c>
      <c r="D157" s="26">
        <f t="shared" ref="D157:D162" si="156">POWER(TAN(A157/2),$C$141)</f>
        <v>1.4994186631526809</v>
      </c>
      <c r="E157" s="26">
        <f t="shared" ref="E157:E162" si="157">SIN(A157)</f>
        <v>0.40714810796280082</v>
      </c>
      <c r="F157" s="77">
        <f t="shared" ref="F157:F162" si="158">(C157*$H$141*D157/E157/$I$141/$J$141)</f>
        <v>1</v>
      </c>
      <c r="G157" s="77">
        <f t="shared" ref="G157:G162" si="159">$D$141*($C$141+$G$141)/9.81/SIN($C$138)/(1-$C$141*$C$138)*(F157-1)</f>
        <v>0</v>
      </c>
      <c r="H157" s="121">
        <f t="shared" ref="H157:H162" si="160">-(-$H$138+$K$141*((POWER(TAN(A157/2),2*$C$141-1)/(2*$C$141-1))+(POWER(TAN(A157/2),2*$C$141+1)/(2*$C$141+1))-(POWER(TAN($E$141/2),2*$C$141-1)/(2*$C$141-1))-(POWER(TAN($E$141/2),2*$C$141+1)/(2*$C$141+1))))</f>
        <v>1.26701807806861</v>
      </c>
      <c r="I157" s="121">
        <f t="shared" ref="I157:I162" si="161">-(-$I$138+0.5*$K$141*((POWER(TAN(A157/2),2*$C$141-2)/(2*$C$141-2))-(POWER(TAN(A157/2),2*$C$141+2)/(2*$C$141+2))-(POWER(TAN($E$141/2),2*$C$141-2)/(2*$C$141-2))+(POWER(TAN($E$141/2),2*$C$141+2)/(2*$C$141+2))))</f>
        <v>0.13928201035118357</v>
      </c>
      <c r="J157" s="77">
        <f t="shared" ref="J157:J162" si="162">-$D$141*SIN(A157)*($C$141+$G$141)/($C$141+B157)*F157</f>
        <v>-0.95976702096441469</v>
      </c>
      <c r="K157" s="77">
        <f t="shared" ref="K157:K162" si="163">-$D$141*COS(A157)*($C$141+$G$141)/($C$141+B157)*F157</f>
        <v>2.1530613877758391</v>
      </c>
      <c r="L157" s="91">
        <f t="shared" ref="L157:L162" si="164">SQRT(J157*J157+K157*K157)</f>
        <v>2.3572921062231829</v>
      </c>
      <c r="M157" s="28"/>
      <c r="N157" s="28"/>
      <c r="O157" s="28"/>
      <c r="P157" s="31"/>
      <c r="AF157" s="7"/>
      <c r="AG157" s="7"/>
      <c r="AH157" s="7"/>
      <c r="AI157" s="7"/>
      <c r="AJ157" s="7"/>
      <c r="AK157" s="7"/>
      <c r="AL157" s="7"/>
      <c r="AM157" s="7"/>
      <c r="AN157" s="7"/>
      <c r="AR157" s="92"/>
      <c r="AS157" s="7"/>
      <c r="AT157" s="83"/>
      <c r="AU157" s="83"/>
      <c r="AV157" s="83"/>
      <c r="AW157" s="83"/>
      <c r="AX157" s="83"/>
      <c r="AY157" s="83"/>
      <c r="AZ157" s="7"/>
    </row>
    <row r="158" spans="1:52" s="18" customFormat="1">
      <c r="A158" s="20">
        <f>A157-$F$141</f>
        <v>2.7137073489167851</v>
      </c>
      <c r="B158" s="26">
        <f t="shared" si="154"/>
        <v>-0.90984527133797877</v>
      </c>
      <c r="C158" s="26">
        <f t="shared" si="155"/>
        <v>-0.64807265849721518</v>
      </c>
      <c r="D158" s="26">
        <f t="shared" si="156"/>
        <v>1.4912707800881022</v>
      </c>
      <c r="E158" s="26">
        <f t="shared" si="157"/>
        <v>0.41494768612913097</v>
      </c>
      <c r="F158" s="77">
        <f t="shared" si="158"/>
        <v>0.9706044249984872</v>
      </c>
      <c r="G158" s="77">
        <f t="shared" si="159"/>
        <v>1.912469191349692E-2</v>
      </c>
      <c r="H158" s="121">
        <f t="shared" si="160"/>
        <v>1.2487100813397756</v>
      </c>
      <c r="I158" s="121">
        <f t="shared" si="161"/>
        <v>0.17988990987428488</v>
      </c>
      <c r="J158" s="77">
        <f t="shared" si="162"/>
        <v>-0.95455162005722916</v>
      </c>
      <c r="K158" s="77">
        <f t="shared" si="163"/>
        <v>2.0930211368543525</v>
      </c>
      <c r="L158" s="91">
        <f t="shared" si="164"/>
        <v>2.3004143702109339</v>
      </c>
      <c r="M158" s="28"/>
      <c r="N158" s="28"/>
      <c r="O158" s="28"/>
      <c r="P158" s="31"/>
      <c r="AF158" s="7"/>
      <c r="AG158" s="7"/>
      <c r="AH158" s="7"/>
      <c r="AI158" s="7"/>
      <c r="AJ158" s="7"/>
      <c r="AK158" s="7"/>
      <c r="AL158" s="7"/>
      <c r="AM158" s="7"/>
      <c r="AN158" s="7"/>
      <c r="AR158" s="92"/>
      <c r="AS158" s="7"/>
      <c r="AT158" s="83"/>
      <c r="AU158" s="83"/>
      <c r="AV158" s="83"/>
      <c r="AW158" s="83"/>
      <c r="AX158" s="83"/>
      <c r="AY158" s="83"/>
      <c r="AZ158" s="7"/>
    </row>
    <row r="159" spans="1:52" s="18" customFormat="1">
      <c r="A159" s="20">
        <f>A158-$F$141</f>
        <v>2.7051515142998142</v>
      </c>
      <c r="B159" s="26">
        <f t="shared" si="154"/>
        <v>-0.90626178969186411</v>
      </c>
      <c r="C159" s="26">
        <f t="shared" si="155"/>
        <v>-0.64448917685110052</v>
      </c>
      <c r="D159" s="26">
        <f t="shared" si="156"/>
        <v>1.4833173941776419</v>
      </c>
      <c r="E159" s="26">
        <f t="shared" si="157"/>
        <v>0.42271688935326368</v>
      </c>
      <c r="F159" s="77">
        <f t="shared" si="158"/>
        <v>0.94244393562920281</v>
      </c>
      <c r="G159" s="77">
        <f t="shared" si="159"/>
        <v>3.7445840021440135E-2</v>
      </c>
      <c r="H159" s="121">
        <f t="shared" si="160"/>
        <v>1.2312657454052545</v>
      </c>
      <c r="I159" s="121">
        <f t="shared" si="161"/>
        <v>0.21771498110389387</v>
      </c>
      <c r="J159" s="77">
        <f t="shared" si="162"/>
        <v>-0.94946071536899956</v>
      </c>
      <c r="K159" s="77">
        <f t="shared" si="163"/>
        <v>2.035546695257171</v>
      </c>
      <c r="L159" s="91">
        <f t="shared" si="164"/>
        <v>2.2460912712090315</v>
      </c>
      <c r="M159" s="45"/>
      <c r="N159" s="28"/>
      <c r="O159" s="28"/>
      <c r="P159" s="31"/>
      <c r="AF159" s="7"/>
      <c r="AG159" s="7"/>
      <c r="AH159" s="7"/>
      <c r="AI159" s="7"/>
      <c r="AJ159" s="7"/>
      <c r="AK159" s="7"/>
      <c r="AL159" s="7"/>
      <c r="AM159" s="7"/>
      <c r="AN159" s="7"/>
      <c r="AR159" s="92"/>
      <c r="AS159" s="7"/>
      <c r="AT159" s="83"/>
      <c r="AU159" s="83"/>
      <c r="AV159" s="83"/>
      <c r="AW159" s="83"/>
      <c r="AX159" s="83"/>
      <c r="AY159" s="83"/>
      <c r="AZ159" s="7"/>
    </row>
    <row r="160" spans="1:52" s="18" customFormat="1">
      <c r="A160" s="20">
        <f>A159-$F$141</f>
        <v>2.6965956796828432</v>
      </c>
      <c r="B160" s="26">
        <f t="shared" si="154"/>
        <v>-0.90261196799759935</v>
      </c>
      <c r="C160" s="26">
        <f t="shared" si="155"/>
        <v>-0.64083935515683577</v>
      </c>
      <c r="D160" s="26">
        <f t="shared" si="156"/>
        <v>1.4755498502487601</v>
      </c>
      <c r="E160" s="26">
        <f t="shared" si="157"/>
        <v>0.43045514891507658</v>
      </c>
      <c r="F160" s="77">
        <f t="shared" si="158"/>
        <v>0.91544142379820292</v>
      </c>
      <c r="G160" s="77">
        <f t="shared" si="159"/>
        <v>5.5013610668275655E-2</v>
      </c>
      <c r="H160" s="121">
        <f t="shared" si="160"/>
        <v>1.214627140898529</v>
      </c>
      <c r="I160" s="121">
        <f t="shared" si="161"/>
        <v>0.25299596167522076</v>
      </c>
      <c r="J160" s="77">
        <f t="shared" si="162"/>
        <v>-0.94448876678650162</v>
      </c>
      <c r="K160" s="77">
        <f t="shared" si="163"/>
        <v>1.9804777958620234</v>
      </c>
      <c r="L160" s="91">
        <f t="shared" si="164"/>
        <v>2.1941630136542694</v>
      </c>
      <c r="M160" s="45"/>
      <c r="N160" s="28"/>
      <c r="O160" s="28"/>
      <c r="P160" s="31"/>
      <c r="AF160" s="7"/>
      <c r="AG160" s="7"/>
      <c r="AH160" s="7"/>
      <c r="AI160" s="7"/>
      <c r="AJ160" s="7"/>
      <c r="AK160" s="7"/>
      <c r="AL160" s="7"/>
      <c r="AM160" s="7"/>
      <c r="AN160" s="7"/>
      <c r="AR160" s="92"/>
      <c r="AS160" s="7"/>
      <c r="AT160" s="83"/>
      <c r="AU160" s="83"/>
      <c r="AV160" s="83"/>
      <c r="AW160" s="83"/>
      <c r="AX160" s="83"/>
      <c r="AY160" s="83"/>
      <c r="AZ160" s="7"/>
    </row>
    <row r="161" spans="1:52" s="18" customFormat="1">
      <c r="A161" s="20">
        <f>A160-$F$141</f>
        <v>2.6880398450658722</v>
      </c>
      <c r="B161" s="26">
        <f t="shared" si="154"/>
        <v>-0.89889607342891897</v>
      </c>
      <c r="C161" s="26">
        <f t="shared" si="155"/>
        <v>-0.63712346058815539</v>
      </c>
      <c r="D161" s="26">
        <f t="shared" si="156"/>
        <v>1.4679600294354551</v>
      </c>
      <c r="E161" s="26">
        <f t="shared" si="157"/>
        <v>0.4381618983595808</v>
      </c>
      <c r="F161" s="77">
        <f t="shared" si="158"/>
        <v>0.88952595475866958</v>
      </c>
      <c r="G161" s="77">
        <f t="shared" si="159"/>
        <v>7.1874153833338297E-2</v>
      </c>
      <c r="H161" s="121">
        <f t="shared" si="160"/>
        <v>1.1987412458149489</v>
      </c>
      <c r="I161" s="121">
        <f t="shared" si="161"/>
        <v>0.28594705633199824</v>
      </c>
      <c r="J161" s="77">
        <f t="shared" si="162"/>
        <v>-0.9396305774824395</v>
      </c>
      <c r="K161" s="77">
        <f t="shared" si="163"/>
        <v>1.9276670101505733</v>
      </c>
      <c r="L161" s="91">
        <f t="shared" si="164"/>
        <v>2.1444826238892292</v>
      </c>
      <c r="M161" s="45"/>
      <c r="N161" s="28"/>
      <c r="O161" s="28"/>
      <c r="P161" s="89"/>
      <c r="AF161" s="7"/>
      <c r="AG161" s="7"/>
      <c r="AH161" s="7"/>
      <c r="AI161" s="7"/>
      <c r="AJ161" s="7"/>
      <c r="AK161" s="7"/>
      <c r="AL161" s="7"/>
      <c r="AM161" s="7"/>
      <c r="AN161" s="7"/>
      <c r="AR161" s="92"/>
      <c r="AS161" s="7"/>
      <c r="AT161" s="83"/>
      <c r="AU161" s="83"/>
      <c r="AV161" s="83"/>
      <c r="AW161" s="83"/>
      <c r="AX161" s="83"/>
      <c r="AY161" s="83"/>
      <c r="AZ161" s="7"/>
    </row>
    <row r="162" spans="1:52" s="18" customFormat="1">
      <c r="A162" s="20">
        <f>A161-$F$141</f>
        <v>2.6794840104489013</v>
      </c>
      <c r="B162" s="26">
        <f t="shared" si="154"/>
        <v>-0.89511437799621485</v>
      </c>
      <c r="C162" s="26">
        <f t="shared" si="155"/>
        <v>-0.63334176515545126</v>
      </c>
      <c r="D162" s="26">
        <f t="shared" si="156"/>
        <v>1.4605403065388545</v>
      </c>
      <c r="E162" s="26">
        <f t="shared" si="157"/>
        <v>0.44583657353838674</v>
      </c>
      <c r="F162" s="77">
        <f t="shared" si="158"/>
        <v>0.864632167476029</v>
      </c>
      <c r="G162" s="77">
        <f t="shared" si="159"/>
        <v>8.8069993251894588E-2</v>
      </c>
      <c r="H162" s="121">
        <f t="shared" si="160"/>
        <v>1.1835594465974948</v>
      </c>
      <c r="I162" s="121">
        <f t="shared" si="161"/>
        <v>0.31676085891772437</v>
      </c>
      <c r="J162" s="77">
        <f t="shared" si="162"/>
        <v>-0.93488126662226978</v>
      </c>
      <c r="K162" s="77">
        <f t="shared" si="163"/>
        <v>1.8769785009592881</v>
      </c>
      <c r="L162" s="91">
        <f t="shared" si="164"/>
        <v>2.0969147039745408</v>
      </c>
      <c r="M162" s="45"/>
      <c r="N162" s="28"/>
      <c r="O162" s="28"/>
      <c r="P162" s="28"/>
      <c r="AF162" s="7"/>
      <c r="AG162" s="7"/>
      <c r="AH162" s="7"/>
      <c r="AI162" s="7"/>
      <c r="AJ162" s="7"/>
      <c r="AK162" s="7"/>
      <c r="AL162" s="7"/>
      <c r="AM162" s="7"/>
      <c r="AN162" s="7"/>
      <c r="AR162" s="92"/>
      <c r="AS162" s="7"/>
      <c r="AT162" s="83"/>
      <c r="AU162" s="83"/>
      <c r="AV162" s="83"/>
      <c r="AW162" s="83"/>
      <c r="AX162" s="83"/>
      <c r="AY162" s="83"/>
      <c r="AZ162" s="7"/>
    </row>
    <row r="163" spans="1:52" s="1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AF163" s="7"/>
      <c r="AG163" s="7"/>
      <c r="AH163" s="7"/>
      <c r="AI163" s="7"/>
      <c r="AJ163" s="7"/>
      <c r="AK163" s="7"/>
      <c r="AL163" s="7"/>
      <c r="AM163" s="7"/>
      <c r="AN163" s="7"/>
      <c r="AR163" s="92"/>
      <c r="AS163" s="7"/>
      <c r="AT163" s="83"/>
      <c r="AU163" s="83"/>
      <c r="AV163" s="83"/>
      <c r="AW163" s="83"/>
      <c r="AX163" s="83"/>
      <c r="AY163" s="83"/>
      <c r="AZ163" s="7"/>
    </row>
    <row r="164" spans="1:52" s="18" customFormat="1">
      <c r="A164" s="88" t="s">
        <v>73</v>
      </c>
      <c r="B164" s="88"/>
      <c r="C164" s="23" t="str">
        <f>CONCATENATE("m",Stufengrün!Z50)</f>
        <v>m2</v>
      </c>
      <c r="D164" s="23" t="s">
        <v>30</v>
      </c>
      <c r="E164" s="28"/>
      <c r="F164" s="28"/>
      <c r="G164" s="28"/>
      <c r="H164" s="36" t="s">
        <v>57</v>
      </c>
      <c r="I164" s="36" t="s">
        <v>51</v>
      </c>
      <c r="J164" s="36" t="s">
        <v>58</v>
      </c>
      <c r="K164" s="36" t="s">
        <v>59</v>
      </c>
      <c r="L164" s="28"/>
      <c r="M164" s="28"/>
      <c r="N164" s="28"/>
      <c r="O164" s="28"/>
      <c r="P164" s="28"/>
      <c r="AF164" s="7"/>
      <c r="AG164" s="7"/>
      <c r="AH164" s="7"/>
      <c r="AI164" s="7"/>
      <c r="AJ164" s="7"/>
      <c r="AK164" s="7"/>
      <c r="AL164" s="7"/>
      <c r="AM164" s="7"/>
      <c r="AN164" s="7"/>
      <c r="AR164" s="92"/>
      <c r="AS164" s="7"/>
      <c r="AT164" s="83"/>
      <c r="AU164" s="83"/>
      <c r="AV164" s="83"/>
      <c r="AW164" s="83"/>
      <c r="AX164" s="83"/>
      <c r="AY164" s="83"/>
      <c r="AZ164" s="7"/>
    </row>
    <row r="165" spans="1:52" s="18" customFormat="1">
      <c r="A165" s="88" t="s">
        <v>69</v>
      </c>
      <c r="B165" s="88"/>
      <c r="C165" s="36">
        <f>Stufengrün!AA50</f>
        <v>0.14505155745746634</v>
      </c>
      <c r="D165" s="26">
        <f>Stufengrün!AC50</f>
        <v>0.56716007517016898</v>
      </c>
      <c r="E165" s="28"/>
      <c r="F165" s="28"/>
      <c r="G165" s="28"/>
      <c r="H165" s="78">
        <f>H154</f>
        <v>1.1833859849418729</v>
      </c>
      <c r="I165" s="78">
        <f>I154</f>
        <v>0.31710907748474176</v>
      </c>
      <c r="J165" s="78">
        <f>J154</f>
        <v>-0.93482638225879688</v>
      </c>
      <c r="K165" s="78">
        <f>K154</f>
        <v>1.8763980980276282</v>
      </c>
      <c r="L165" s="28"/>
      <c r="M165" s="28"/>
      <c r="N165" s="28"/>
      <c r="O165" s="28"/>
      <c r="P165" s="28"/>
      <c r="AF165" s="7"/>
      <c r="AG165" s="7"/>
      <c r="AH165" s="7"/>
      <c r="AI165" s="7"/>
      <c r="AJ165" s="7"/>
      <c r="AK165" s="7"/>
      <c r="AL165" s="7"/>
      <c r="AM165" s="7"/>
      <c r="AN165" s="7"/>
      <c r="AR165" s="92"/>
      <c r="AS165" s="7"/>
      <c r="AT165" s="83"/>
      <c r="AU165" s="83"/>
      <c r="AV165" s="83"/>
      <c r="AW165" s="83"/>
      <c r="AX165" s="83"/>
      <c r="AY165" s="83"/>
      <c r="AZ165" s="7"/>
    </row>
    <row r="166" spans="1:52" s="18" customFormat="1">
      <c r="A166" s="95"/>
      <c r="B166" s="95"/>
      <c r="C166" s="28"/>
      <c r="D166" s="28"/>
      <c r="E166" s="28"/>
      <c r="F166" s="28"/>
      <c r="G166" s="28"/>
      <c r="H166" s="37" t="s">
        <v>8</v>
      </c>
      <c r="I166" s="37" t="s">
        <v>8</v>
      </c>
      <c r="J166" s="37" t="s">
        <v>9</v>
      </c>
      <c r="K166" s="37" t="s">
        <v>9</v>
      </c>
      <c r="L166" s="28"/>
      <c r="M166" s="28"/>
      <c r="N166" s="28"/>
      <c r="O166" s="28"/>
      <c r="P166" s="28"/>
      <c r="AF166" s="7"/>
      <c r="AG166" s="7"/>
      <c r="AH166" s="7"/>
      <c r="AI166" s="7"/>
      <c r="AJ166" s="7"/>
      <c r="AK166" s="7"/>
      <c r="AL166" s="7"/>
      <c r="AM166" s="7"/>
      <c r="AN166" s="7"/>
      <c r="AR166" s="92"/>
      <c r="AS166" s="7"/>
      <c r="AT166" s="83"/>
      <c r="AU166" s="83"/>
      <c r="AV166" s="83"/>
      <c r="AW166" s="83"/>
      <c r="AX166" s="83"/>
      <c r="AY166" s="83"/>
      <c r="AZ166" s="7"/>
    </row>
    <row r="167" spans="1:52" s="18" customFormat="1">
      <c r="A167" s="88" t="s">
        <v>68</v>
      </c>
      <c r="B167" s="88"/>
      <c r="C167" s="115" t="s">
        <v>15</v>
      </c>
      <c r="D167" s="115" t="s">
        <v>55</v>
      </c>
      <c r="E167" s="115" t="s">
        <v>12</v>
      </c>
      <c r="F167" s="115" t="s">
        <v>10</v>
      </c>
      <c r="G167" s="115" t="s">
        <v>14</v>
      </c>
      <c r="H167" s="115" t="s">
        <v>21</v>
      </c>
      <c r="I167" s="115" t="s">
        <v>16</v>
      </c>
      <c r="J167" s="115" t="s">
        <v>17</v>
      </c>
      <c r="K167" s="115" t="s">
        <v>23</v>
      </c>
      <c r="L167" s="28"/>
      <c r="M167" s="28"/>
      <c r="N167" s="28"/>
      <c r="O167" s="28"/>
      <c r="P167" s="28"/>
      <c r="AF167" s="7"/>
      <c r="AG167" s="7"/>
      <c r="AH167" s="7"/>
      <c r="AI167" s="7"/>
      <c r="AJ167" s="7"/>
      <c r="AK167" s="7"/>
      <c r="AL167" s="7"/>
      <c r="AM167" s="7"/>
      <c r="AN167" s="7"/>
      <c r="AR167" s="92"/>
      <c r="AS167" s="7"/>
      <c r="AT167" s="83"/>
      <c r="AU167" s="83"/>
      <c r="AV167" s="83"/>
      <c r="AW167" s="83"/>
      <c r="AX167" s="83"/>
      <c r="AY167" s="83"/>
      <c r="AZ167" s="7"/>
    </row>
    <row r="168" spans="1:52" s="18" customFormat="1">
      <c r="A168" s="28"/>
      <c r="B168" s="28"/>
      <c r="C168" s="23">
        <f>Mü/TAN($C165)</f>
        <v>0.47919773462141801</v>
      </c>
      <c r="D168" s="42">
        <f>SQRT($J165*$J165+$K165*$K165)</f>
        <v>2.0963707179906828</v>
      </c>
      <c r="E168" s="20">
        <f>ATAN($J165/$K165)+PI()</f>
        <v>2.6793840104489006</v>
      </c>
      <c r="F168" s="23">
        <f>($E168-A181-0.0001)/5</f>
        <v>9.7872135538918017E-3</v>
      </c>
      <c r="G168" s="23">
        <f>COS($E168)</f>
        <v>-0.89506978986336316</v>
      </c>
      <c r="H168" s="23">
        <f>SIN($E168)</f>
        <v>0.44592608274685491</v>
      </c>
      <c r="I168" s="23">
        <f>$C168+$G168</f>
        <v>-0.41587205524194515</v>
      </c>
      <c r="J168" s="23">
        <f>POWER(TAN($E168/2),$C168)</f>
        <v>2.0003675760076525</v>
      </c>
      <c r="K168" s="23">
        <f>-$D168*$D168*SIN($E168)*SIN($E168)/(2*9.81*SIN($C165)*POWER(TAN($E168/2),2*$C168))</f>
        <v>-7.7009605862760164E-2</v>
      </c>
      <c r="L168" s="28"/>
      <c r="M168" s="28"/>
      <c r="N168" s="28"/>
      <c r="O168" s="28"/>
      <c r="P168" s="28"/>
      <c r="AF168" s="7"/>
      <c r="AG168" s="7"/>
      <c r="AH168" s="7"/>
      <c r="AI168" s="7"/>
      <c r="AJ168" s="7"/>
      <c r="AK168" s="7"/>
      <c r="AL168" s="7"/>
      <c r="AM168" s="7"/>
      <c r="AN168" s="7"/>
      <c r="AR168" s="92"/>
      <c r="AS168" s="7"/>
      <c r="AT168" s="83"/>
      <c r="AU168" s="83"/>
      <c r="AV168" s="83"/>
      <c r="AW168" s="83"/>
      <c r="AX168" s="83"/>
      <c r="AY168" s="83"/>
      <c r="AZ168" s="7"/>
    </row>
    <row r="169" spans="1:52" s="18" customFormat="1">
      <c r="A169" s="88" t="s">
        <v>70</v>
      </c>
      <c r="B169" s="8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45"/>
      <c r="N169" s="28"/>
      <c r="O169" s="28"/>
      <c r="P169" s="28"/>
      <c r="AF169" s="7"/>
      <c r="AG169" s="7"/>
      <c r="AH169" s="7"/>
      <c r="AI169" s="7"/>
      <c r="AJ169" s="7"/>
      <c r="AK169" s="7"/>
      <c r="AL169" s="7"/>
      <c r="AM169" s="7"/>
      <c r="AN169" s="7"/>
      <c r="AR169" s="92"/>
      <c r="AS169" s="7"/>
      <c r="AT169" s="83"/>
      <c r="AU169" s="83"/>
      <c r="AV169" s="83"/>
      <c r="AW169" s="83"/>
      <c r="AX169" s="83"/>
      <c r="AY169" s="83"/>
      <c r="AZ169" s="7"/>
    </row>
    <row r="170" spans="1:52" s="18" customFormat="1">
      <c r="A170" s="115" t="s">
        <v>11</v>
      </c>
      <c r="B170" s="115" t="s">
        <v>13</v>
      </c>
      <c r="C170" s="117" t="s">
        <v>22</v>
      </c>
      <c r="D170" s="117" t="s">
        <v>18</v>
      </c>
      <c r="E170" s="115" t="s">
        <v>19</v>
      </c>
      <c r="F170" s="117" t="s">
        <v>20</v>
      </c>
      <c r="G170" s="117" t="s">
        <v>2</v>
      </c>
      <c r="H170" s="117" t="s">
        <v>65</v>
      </c>
      <c r="I170" s="117" t="s">
        <v>66</v>
      </c>
      <c r="J170" s="118" t="s">
        <v>3</v>
      </c>
      <c r="K170" s="118" t="s">
        <v>4</v>
      </c>
      <c r="L170" s="116" t="s">
        <v>7</v>
      </c>
      <c r="M170" s="93"/>
      <c r="N170" s="117" t="s">
        <v>61</v>
      </c>
      <c r="O170" s="117" t="s">
        <v>62</v>
      </c>
      <c r="P170" s="115" t="s">
        <v>63</v>
      </c>
      <c r="AF170" s="7"/>
      <c r="AG170" s="7"/>
      <c r="AH170" s="7"/>
      <c r="AI170" s="7"/>
      <c r="AJ170" s="7"/>
      <c r="AK170" s="7"/>
      <c r="AL170" s="7"/>
      <c r="AM170" s="7"/>
      <c r="AN170" s="7"/>
      <c r="AR170" s="92"/>
      <c r="AS170" s="7"/>
      <c r="AT170" s="83"/>
      <c r="AU170" s="83"/>
      <c r="AV170" s="83"/>
      <c r="AW170" s="83"/>
      <c r="AX170" s="83"/>
      <c r="AY170" s="83"/>
      <c r="AZ170" s="7"/>
    </row>
    <row r="171" spans="1:52" s="18" customFormat="1">
      <c r="A171" s="19">
        <f>$E168</f>
        <v>2.6793840104489006</v>
      </c>
      <c r="B171" s="26">
        <f>COS(A171)</f>
        <v>-0.89506978986336316</v>
      </c>
      <c r="C171" s="26">
        <f>($C$168+B171)</f>
        <v>-0.41587205524194515</v>
      </c>
      <c r="D171" s="26">
        <f>POWER(TAN(A171/2),$C$168)</f>
        <v>2.0003675760076525</v>
      </c>
      <c r="E171" s="26">
        <f>SIN(A171)</f>
        <v>0.44592608274685491</v>
      </c>
      <c r="F171" s="77">
        <f>(C171*$H$168*D171/E171/$I$168/$J$168)</f>
        <v>1</v>
      </c>
      <c r="G171" s="77">
        <f>$D$168*($C$168+$G$168)/9.81/SIN($C$165)/(1-$C$168*$C$165)*(F171-1)</f>
        <v>0</v>
      </c>
      <c r="H171" s="75">
        <f>-(-$H$165+$K$168*((POWER(TAN(A171/2),2*$C$168-1)/(2*$C$168-1))+(POWER(TAN(A171/2),2*$C$168+1)/(2*$C$168+1))-(POWER(TAN($E$168/2),2*$C$168-1)/(2*$C$168-1))-(POWER(TAN($E$168/2),2*$C$168+1)/(2*$C$168+1))))</f>
        <v>1.1833859849418729</v>
      </c>
      <c r="I171" s="75">
        <f>-(-$I$165+0.5*$K$168*((POWER(TAN(A171/2),2*$C$168-2)/(2*$C$168-2))-(POWER(TAN(A171/2),2*$C$168+2)/(2*$C$168+2))-(POWER(TAN($E$168/2),2*$C$168-2)/(2*$C$168-2))+(POWER(TAN($E$168/2),2*$C$168+2)/(2*$C$168+2))))</f>
        <v>0.31710907748474176</v>
      </c>
      <c r="J171" s="77">
        <f>-$D$168*SIN(A171)*($C$168+$G$168)/($C$168+B171)*F171</f>
        <v>-0.93482638225879688</v>
      </c>
      <c r="K171" s="77">
        <f>-$D$168*COS(A171)*($C$168+$G$168)/($C$168+B171)*F171</f>
        <v>1.8763980980276282</v>
      </c>
      <c r="L171" s="91">
        <f>SQRT(J171*J171+K171*K171)</f>
        <v>2.0963707179906828</v>
      </c>
      <c r="M171" s="93"/>
      <c r="N171" s="75">
        <f>-(-$I$165+0.5*$K$168*((POWER(TAN(A171/2),2*$C$168-2)/(2*$C$168-2))-(POWER(TAN(A171/2),2*$C$168+2)/(2*$C$168+2))-(POWER(TAN($E$168/2),2*$C$168-2)/(2*$C$168-2))+(POWER(TAN($E$168/2),2*$C$168+2)/(2*$C$168+2))))-$D$165</f>
        <v>-0.25005099768542721</v>
      </c>
      <c r="O171" s="75">
        <f>-(-$I$165+0.5*$K$168*((POWER(TAN((A171+$M$9)/2),2*$C$168-2)/(2*$C$168-2))-(POWER(TAN((A171+$M$9)/2),2*$C$168+2)/(2*$C$168+2))-(POWER(TAN($E$168/2),2*$C$168-2)/(2*$C$168-2))+(POWER(TAN($E$168/2),2*$C$168+2)/(2*$C$168+2))))-$D$165</f>
        <v>-0.26895943400625194</v>
      </c>
      <c r="P171" s="75">
        <f>A171-N171/(O171-N171)*$M$9</f>
        <v>2.6397110845480896</v>
      </c>
      <c r="AF171" s="7"/>
      <c r="AG171" s="7"/>
      <c r="AH171" s="7"/>
      <c r="AI171" s="7"/>
      <c r="AJ171" s="7"/>
      <c r="AK171" s="7"/>
      <c r="AL171" s="7"/>
      <c r="AM171" s="7"/>
      <c r="AN171" s="7"/>
      <c r="AR171" s="92"/>
      <c r="AS171" s="7"/>
      <c r="AT171" s="83"/>
      <c r="AU171" s="83"/>
      <c r="AV171" s="83"/>
      <c r="AW171" s="83"/>
      <c r="AX171" s="83"/>
      <c r="AY171" s="83"/>
      <c r="AZ171" s="7"/>
    </row>
    <row r="172" spans="1:52" s="18" customFormat="1">
      <c r="A172" s="19">
        <f>$P171</f>
        <v>2.6397110845480896</v>
      </c>
      <c r="B172" s="26">
        <f>COS(A172)</f>
        <v>-0.87667893671818398</v>
      </c>
      <c r="C172" s="26">
        <f>($C$168+B172)</f>
        <v>-0.39748120209676596</v>
      </c>
      <c r="D172" s="26">
        <f>POWER(TAN(A172/2),$C$168)</f>
        <v>1.9199520045980869</v>
      </c>
      <c r="E172" s="26">
        <f>SIN(A172)</f>
        <v>0.48107592115452469</v>
      </c>
      <c r="F172" s="77">
        <f>(C172*$H$168*D172/E172/$I$168/$J$168)</f>
        <v>0.85032838594813598</v>
      </c>
      <c r="G172" s="77">
        <f>$D$168*($C$168+$G$168)/9.81/SIN($C$165)/(1-$C$168*$C$165)*(F172-1)</f>
        <v>9.8897972183033908E-2</v>
      </c>
      <c r="H172" s="75">
        <f>-(-$H$165+$K$168*((POWER(TAN(A172/2),2*$C$168-1)/(2*$C$168-1))+(POWER(TAN(A172/2),2*$C$168+1)/(2*$C$168+1))-(POWER(TAN($E$168/2),2*$C$168-1)/(2*$C$168-1))-(POWER(TAN($E$168/2),2*$C$168+1)/(2*$C$168+1))))</f>
        <v>1.0739334032143457</v>
      </c>
      <c r="I172" s="75">
        <f>-(-$I$165+0.5*$K$168*((POWER(TAN(A172/2),2*$C$168-2)/(2*$C$168-2))-(POWER(TAN(A172/2),2*$C$168+2)/(2*$C$168+2))-(POWER(TAN($E$168/2),2*$C$168-2)/(2*$C$168-2))+(POWER(TAN($E$168/2),2*$C$168+2)/(2*$C$168+2))))</f>
        <v>0.52682420477604619</v>
      </c>
      <c r="J172" s="77">
        <f>-$D$168*SIN(A172)*($C$168+$G$168)/($C$168+B172)*F172</f>
        <v>-0.89724599023499108</v>
      </c>
      <c r="K172" s="77">
        <f>-$D$168*COS(A172)*($C$168+$G$168)/($C$168+B172)*F172</f>
        <v>1.6350780118159478</v>
      </c>
      <c r="L172" s="91">
        <f>SQRT(J172*J172+K172*K172)</f>
        <v>1.8650818941045892</v>
      </c>
      <c r="M172" s="93"/>
      <c r="N172" s="75">
        <f>-(-$I$165+0.5*$K$168*((POWER(TAN(A172/2),2*$C$168-2)/(2*$C$168-2))-(POWER(TAN(A172/2),2*$C$168+2)/(2*$C$168+2))-(POWER(TAN($E$168/2),2*$C$168-2)/(2*$C$168-2))+(POWER(TAN($E$168/2),2*$C$168+2)/(2*$C$168+2))))-$D$165</f>
        <v>-4.0335870394122786E-2</v>
      </c>
      <c r="O172" s="75">
        <f t="shared" ref="O172:O181" si="165">-(-$I$165+0.5*$K$168*((POWER(TAN((A172+$M$9)/2),2*$C$168-2)/(2*$C$168-2))-(POWER(TAN((A172+$M$9)/2),2*$C$168+2)/(2*$C$168+2))-(POWER(TAN($E$168/2),2*$C$168-2)/(2*$C$168-2))+(POWER(TAN($E$168/2),2*$C$168+2)/(2*$C$168+2))))-$D$165</f>
        <v>-5.3910056634383641E-2</v>
      </c>
      <c r="P172" s="75">
        <f t="shared" ref="P172:P181" si="166">A172-N172/(O172-N172)*$M$9</f>
        <v>2.6307965456548881</v>
      </c>
      <c r="AF172" s="7"/>
      <c r="AG172" s="7"/>
      <c r="AH172" s="7"/>
      <c r="AI172" s="7"/>
      <c r="AJ172" s="7"/>
      <c r="AK172" s="7"/>
      <c r="AL172" s="7"/>
      <c r="AM172" s="7"/>
      <c r="AN172" s="7"/>
      <c r="AR172" s="92"/>
      <c r="AS172" s="7"/>
      <c r="AT172" s="83"/>
      <c r="AU172" s="83"/>
      <c r="AV172" s="83"/>
      <c r="AW172" s="83"/>
      <c r="AX172" s="83"/>
      <c r="AY172" s="83"/>
      <c r="AZ172" s="7"/>
    </row>
    <row r="173" spans="1:52" s="18" customFormat="1">
      <c r="A173" s="19">
        <f t="shared" ref="A173:A181" si="167">$P172</f>
        <v>2.6307965456548881</v>
      </c>
      <c r="B173" s="26">
        <f t="shared" ref="B173:B181" si="168">COS(A173)</f>
        <v>-0.87235558933950508</v>
      </c>
      <c r="C173" s="26">
        <f t="shared" ref="C173:C181" si="169">($C$168+B173)</f>
        <v>-0.39315785471808706</v>
      </c>
      <c r="D173" s="26">
        <f t="shared" ref="D173:D181" si="170">POWER(TAN(A173/2),$C$168)</f>
        <v>1.9031143816385856</v>
      </c>
      <c r="E173" s="26">
        <f t="shared" ref="E173:E181" si="171">SIN(A173)</f>
        <v>0.48887189093680244</v>
      </c>
      <c r="F173" s="77">
        <f t="shared" ref="F173:F181" si="172">(C173*$H$168*D173/E173/$I$168/$J$168)</f>
        <v>0.8204084242475066</v>
      </c>
      <c r="G173" s="77">
        <f t="shared" ref="G173:G181" si="173">$D$168*($C$168+$G$168)/9.81/SIN($C$165)/(1-$C$168*$C$165)*(F173-1)</f>
        <v>0.11866807728099142</v>
      </c>
      <c r="H173" s="75">
        <f t="shared" ref="H173:H181" si="174">-(-$H$165+$K$168*((POWER(TAN(A173/2),2*$C$168-1)/(2*$C$168-1))+(POWER(TAN(A173/2),2*$C$168+1)/(2*$C$168+1))-(POWER(TAN($E$168/2),2*$C$168-1)/(2*$C$168-1))-(POWER(TAN($E$168/2),2*$C$168+1)/(2*$C$168+1))))</f>
        <v>1.0526014574944982</v>
      </c>
      <c r="I173" s="75">
        <f t="shared" ref="I173:I181" si="175">-(-$I$165+0.5*$K$168*((POWER(TAN(A173/2),2*$C$168-2)/(2*$C$168-2))-(POWER(TAN(A173/2),2*$C$168+2)/(2*$C$168+2))-(POWER(TAN($E$168/2),2*$C$168-2)/(2*$C$168-2))+(POWER(TAN($E$168/2),2*$C$168+2)/(2*$C$168+2))))</f>
        <v>0.56529494745168563</v>
      </c>
      <c r="J173" s="77">
        <f t="shared" ref="J173:J181" si="176">-$D$168*SIN(A173)*($C$168+$G$168)/($C$168+B173)*F173</f>
        <v>-0.88937730932561399</v>
      </c>
      <c r="K173" s="77">
        <f t="shared" ref="K173:K181" si="177">-$D$168*COS(A173)*($C$168+$G$168)/($C$168+B173)*F173</f>
        <v>1.5870277698625661</v>
      </c>
      <c r="L173" s="91">
        <f t="shared" ref="L173:L181" si="178">SQRT(J173*J173+K173*K173)</f>
        <v>1.8192441124429177</v>
      </c>
      <c r="M173" s="93"/>
      <c r="N173" s="75">
        <f t="shared" ref="N173:N181" si="179">-(-$I$165+0.5*$K$168*((POWER(TAN(A173/2),2*$C$168-2)/(2*$C$168-2))-(POWER(TAN(A173/2),2*$C$168+2)/(2*$C$168+2))-(POWER(TAN($E$168/2),2*$C$168-2)/(2*$C$168-2))+(POWER(TAN($E$168/2),2*$C$168+2)/(2*$C$168+2))))-$D$165</f>
        <v>-1.8651277184833503E-3</v>
      </c>
      <c r="O173" s="75">
        <f t="shared" si="165"/>
        <v>-1.4509101449013517E-2</v>
      </c>
      <c r="P173" s="75">
        <f t="shared" si="166"/>
        <v>2.6303540120594615</v>
      </c>
      <c r="AF173" s="7"/>
      <c r="AG173" s="7"/>
      <c r="AH173" s="7"/>
      <c r="AI173" s="7"/>
      <c r="AJ173" s="7"/>
      <c r="AK173" s="7"/>
      <c r="AL173" s="7"/>
      <c r="AM173" s="7"/>
      <c r="AN173" s="7"/>
      <c r="AR173" s="92"/>
      <c r="AS173" s="7"/>
      <c r="AT173" s="83"/>
      <c r="AU173" s="83"/>
      <c r="AV173" s="83"/>
      <c r="AW173" s="83"/>
      <c r="AX173" s="83"/>
      <c r="AY173" s="83"/>
      <c r="AZ173" s="7"/>
    </row>
    <row r="174" spans="1:52" s="18" customFormat="1">
      <c r="A174" s="19">
        <f t="shared" si="167"/>
        <v>2.6303540120594615</v>
      </c>
      <c r="B174" s="26">
        <f t="shared" si="168"/>
        <v>-0.87213916169166117</v>
      </c>
      <c r="C174" s="26">
        <f t="shared" si="169"/>
        <v>-0.39294142707024315</v>
      </c>
      <c r="D174" s="26">
        <f t="shared" si="170"/>
        <v>1.9022893601313651</v>
      </c>
      <c r="E174" s="26">
        <f t="shared" si="171"/>
        <v>0.48925788971029011</v>
      </c>
      <c r="F174" s="77">
        <f t="shared" si="172"/>
        <v>0.81895471850459622</v>
      </c>
      <c r="G174" s="77">
        <f t="shared" si="173"/>
        <v>0.11962863717763854</v>
      </c>
      <c r="H174" s="75">
        <f t="shared" si="174"/>
        <v>1.0515698137906468</v>
      </c>
      <c r="I174" s="75">
        <f t="shared" si="175"/>
        <v>0.56713488481502483</v>
      </c>
      <c r="J174" s="77">
        <f t="shared" si="176"/>
        <v>-0.88899175425057098</v>
      </c>
      <c r="K174" s="77">
        <f t="shared" si="177"/>
        <v>1.5846949831754253</v>
      </c>
      <c r="L174" s="91">
        <f t="shared" si="178"/>
        <v>1.8170207838180799</v>
      </c>
      <c r="M174" s="93"/>
      <c r="N174" s="75">
        <f t="shared" si="179"/>
        <v>-2.5190355144144583E-5</v>
      </c>
      <c r="O174" s="75">
        <f t="shared" si="165"/>
        <v>-1.2625076158205184E-2</v>
      </c>
      <c r="P174" s="75">
        <f t="shared" si="166"/>
        <v>2.6303480143014966</v>
      </c>
      <c r="AF174" s="7"/>
      <c r="AG174" s="7"/>
      <c r="AH174" s="7"/>
      <c r="AI174" s="7"/>
      <c r="AJ174" s="7"/>
      <c r="AK174" s="7"/>
      <c r="AL174" s="7"/>
      <c r="AM174" s="7"/>
      <c r="AN174" s="7"/>
      <c r="AR174" s="92"/>
      <c r="AS174" s="7"/>
      <c r="AT174" s="83"/>
      <c r="AU174" s="83"/>
      <c r="AV174" s="83"/>
      <c r="AW174" s="83"/>
      <c r="AX174" s="83"/>
      <c r="AY174" s="83"/>
      <c r="AZ174" s="7"/>
    </row>
    <row r="175" spans="1:52" s="18" customFormat="1">
      <c r="A175" s="19">
        <f t="shared" si="167"/>
        <v>2.6303480143014966</v>
      </c>
      <c r="B175" s="26">
        <f t="shared" si="168"/>
        <v>-0.87213622722556949</v>
      </c>
      <c r="C175" s="26">
        <f t="shared" si="169"/>
        <v>-0.39293849260415148</v>
      </c>
      <c r="D175" s="26">
        <f t="shared" si="170"/>
        <v>1.902278185355111</v>
      </c>
      <c r="E175" s="26">
        <f t="shared" si="171"/>
        <v>0.48926312058109361</v>
      </c>
      <c r="F175" s="77">
        <f t="shared" si="172"/>
        <v>0.81893503618186447</v>
      </c>
      <c r="G175" s="77">
        <f t="shared" si="173"/>
        <v>0.1196416425949874</v>
      </c>
      <c r="H175" s="75">
        <f t="shared" si="174"/>
        <v>1.0515558490099419</v>
      </c>
      <c r="I175" s="75">
        <f t="shared" si="175"/>
        <v>0.56715977791700212</v>
      </c>
      <c r="J175" s="77">
        <f t="shared" si="176"/>
        <v>-0.88898653197253397</v>
      </c>
      <c r="K175" s="77">
        <f t="shared" si="177"/>
        <v>1.5846633997838038</v>
      </c>
      <c r="L175" s="91">
        <f t="shared" si="178"/>
        <v>1.8169906836973371</v>
      </c>
      <c r="M175" s="93"/>
      <c r="N175" s="75">
        <f t="shared" si="179"/>
        <v>-2.9725316685880188E-7</v>
      </c>
      <c r="O175" s="75">
        <f t="shared" si="165"/>
        <v>-1.2599586830662646E-2</v>
      </c>
      <c r="P175" s="75">
        <f t="shared" si="166"/>
        <v>2.6303479435229424</v>
      </c>
      <c r="AF175" s="7"/>
      <c r="AG175" s="7"/>
      <c r="AH175" s="7"/>
      <c r="AI175" s="7"/>
      <c r="AJ175" s="7"/>
      <c r="AK175" s="7"/>
      <c r="AL175" s="7"/>
      <c r="AM175" s="7"/>
      <c r="AN175" s="7"/>
      <c r="AR175" s="92"/>
      <c r="AS175" s="7"/>
      <c r="AT175" s="83"/>
      <c r="AU175" s="83"/>
      <c r="AV175" s="83"/>
      <c r="AW175" s="83"/>
      <c r="AX175" s="83"/>
      <c r="AY175" s="83"/>
      <c r="AZ175" s="7"/>
    </row>
    <row r="176" spans="1:52" s="18" customFormat="1">
      <c r="A176" s="19">
        <f t="shared" si="167"/>
        <v>2.6303479435229424</v>
      </c>
      <c r="B176" s="26">
        <f t="shared" si="168"/>
        <v>-0.8721361925962311</v>
      </c>
      <c r="C176" s="26">
        <f t="shared" si="169"/>
        <v>-0.39293845797481308</v>
      </c>
      <c r="D176" s="26">
        <f t="shared" si="170"/>
        <v>1.9022780534845216</v>
      </c>
      <c r="E176" s="26">
        <f t="shared" si="171"/>
        <v>0.48926318230963356</v>
      </c>
      <c r="F176" s="77">
        <f t="shared" si="172"/>
        <v>0.81893480391721774</v>
      </c>
      <c r="G176" s="77">
        <f t="shared" si="173"/>
        <v>0.11964179606765968</v>
      </c>
      <c r="H176" s="75">
        <f t="shared" si="174"/>
        <v>1.0515556842166263</v>
      </c>
      <c r="I176" s="75">
        <f t="shared" si="175"/>
        <v>0.5671600716693872</v>
      </c>
      <c r="J176" s="77">
        <f t="shared" si="176"/>
        <v>-0.88898647034580736</v>
      </c>
      <c r="K176" s="77">
        <f t="shared" si="177"/>
        <v>1.5846630270787263</v>
      </c>
      <c r="L176" s="91">
        <f t="shared" si="178"/>
        <v>1.8169903284960569</v>
      </c>
      <c r="M176" s="93"/>
      <c r="N176" s="75">
        <f t="shared" si="179"/>
        <v>-3.5007817755783321E-9</v>
      </c>
      <c r="O176" s="75">
        <f t="shared" si="165"/>
        <v>-1.259928604252647E-2</v>
      </c>
      <c r="P176" s="75">
        <f t="shared" si="166"/>
        <v>2.6303479426893754</v>
      </c>
      <c r="AF176" s="7"/>
      <c r="AG176" s="7"/>
      <c r="AH176" s="7"/>
      <c r="AI176" s="7"/>
      <c r="AJ176" s="7"/>
      <c r="AK176" s="7"/>
      <c r="AL176" s="7"/>
      <c r="AM176" s="7"/>
      <c r="AN176" s="7"/>
      <c r="AR176" s="92"/>
      <c r="AS176" s="7"/>
      <c r="AT176" s="83"/>
      <c r="AU176" s="83"/>
      <c r="AV176" s="83"/>
      <c r="AW176" s="83"/>
      <c r="AX176" s="83"/>
      <c r="AY176" s="83"/>
      <c r="AZ176" s="7"/>
    </row>
    <row r="177" spans="1:52" s="18" customFormat="1">
      <c r="A177" s="19">
        <f t="shared" si="167"/>
        <v>2.6303479426893754</v>
      </c>
      <c r="B177" s="26">
        <f t="shared" si="168"/>
        <v>-0.87213619218839744</v>
      </c>
      <c r="C177" s="26">
        <f t="shared" si="169"/>
        <v>-0.39293845756697943</v>
      </c>
      <c r="D177" s="26">
        <f t="shared" si="170"/>
        <v>1.902278051931467</v>
      </c>
      <c r="E177" s="26">
        <f t="shared" si="171"/>
        <v>0.48926318303661748</v>
      </c>
      <c r="F177" s="77">
        <f t="shared" si="172"/>
        <v>0.81893480118181139</v>
      </c>
      <c r="G177" s="77">
        <f t="shared" si="173"/>
        <v>0.11964179787512426</v>
      </c>
      <c r="H177" s="75">
        <f t="shared" si="174"/>
        <v>1.0515556822758374</v>
      </c>
      <c r="I177" s="75">
        <f t="shared" si="175"/>
        <v>0.56716007512894107</v>
      </c>
      <c r="J177" s="77">
        <f t="shared" si="176"/>
        <v>-0.88898646962002248</v>
      </c>
      <c r="K177" s="77">
        <f t="shared" si="177"/>
        <v>1.5846630226893375</v>
      </c>
      <c r="L177" s="91">
        <f t="shared" si="178"/>
        <v>1.8169903243128123</v>
      </c>
      <c r="M177" s="93"/>
      <c r="N177" s="75">
        <f t="shared" si="179"/>
        <v>-4.1227909974850263E-11</v>
      </c>
      <c r="O177" s="75">
        <f t="shared" si="165"/>
        <v>-1.2599282500111664E-2</v>
      </c>
      <c r="P177" s="75">
        <f t="shared" si="166"/>
        <v>2.6303479426795588</v>
      </c>
      <c r="AF177" s="7"/>
      <c r="AG177" s="7"/>
      <c r="AH177" s="7"/>
      <c r="AI177" s="7"/>
      <c r="AJ177" s="7"/>
      <c r="AK177" s="7"/>
      <c r="AL177" s="7"/>
      <c r="AM177" s="7"/>
      <c r="AN177" s="7"/>
      <c r="AR177" s="92"/>
      <c r="AS177" s="7"/>
      <c r="AT177" s="83"/>
      <c r="AU177" s="83"/>
      <c r="AV177" s="83"/>
      <c r="AW177" s="83"/>
      <c r="AX177" s="83"/>
      <c r="AY177" s="83"/>
      <c r="AZ177" s="7"/>
    </row>
    <row r="178" spans="1:52" s="18" customFormat="1">
      <c r="A178" s="19">
        <f>$P177</f>
        <v>2.6303479426795588</v>
      </c>
      <c r="B178" s="26">
        <f t="shared" si="168"/>
        <v>-0.87213619218359451</v>
      </c>
      <c r="C178" s="26">
        <f t="shared" si="169"/>
        <v>-0.39293845756217649</v>
      </c>
      <c r="D178" s="26">
        <f t="shared" si="170"/>
        <v>1.9022780519131772</v>
      </c>
      <c r="E178" s="26">
        <f t="shared" si="171"/>
        <v>0.48926318304517891</v>
      </c>
      <c r="F178" s="77">
        <f t="shared" si="172"/>
        <v>0.81893480114959738</v>
      </c>
      <c r="G178" s="77">
        <f t="shared" si="173"/>
        <v>0.11964179789641019</v>
      </c>
      <c r="H178" s="75">
        <f t="shared" si="174"/>
        <v>1.0515556822529817</v>
      </c>
      <c r="I178" s="75">
        <f t="shared" si="175"/>
        <v>0.56716007516968259</v>
      </c>
      <c r="J178" s="77">
        <f t="shared" si="176"/>
        <v>-0.88898646961147509</v>
      </c>
      <c r="K178" s="77">
        <f t="shared" si="177"/>
        <v>1.5846630226376452</v>
      </c>
      <c r="L178" s="91">
        <f t="shared" si="178"/>
        <v>1.8169903242635477</v>
      </c>
      <c r="M178" s="93"/>
      <c r="N178" s="75">
        <f t="shared" si="179"/>
        <v>-4.8638870708828108E-13</v>
      </c>
      <c r="O178" s="75">
        <f t="shared" si="165"/>
        <v>-1.2599282458394367E-2</v>
      </c>
      <c r="P178" s="75">
        <f t="shared" si="166"/>
        <v>2.6303479426794429</v>
      </c>
      <c r="AF178" s="7"/>
      <c r="AG178" s="7"/>
      <c r="AH178" s="7"/>
      <c r="AI178" s="7"/>
      <c r="AJ178" s="7"/>
      <c r="AK178" s="7"/>
      <c r="AL178" s="7"/>
      <c r="AM178" s="7"/>
      <c r="AN178" s="7"/>
      <c r="AR178" s="92"/>
      <c r="AS178" s="7"/>
      <c r="AT178" s="83"/>
      <c r="AU178" s="83"/>
      <c r="AV178" s="83"/>
      <c r="AW178" s="83"/>
      <c r="AX178" s="83"/>
      <c r="AY178" s="83"/>
      <c r="AZ178" s="7"/>
    </row>
    <row r="179" spans="1:52" s="18" customFormat="1">
      <c r="A179" s="19">
        <f t="shared" si="167"/>
        <v>2.6303479426794429</v>
      </c>
      <c r="B179" s="26">
        <f t="shared" si="168"/>
        <v>-0.87213619218353788</v>
      </c>
      <c r="C179" s="26">
        <f t="shared" si="169"/>
        <v>-0.39293845756211987</v>
      </c>
      <c r="D179" s="26">
        <f t="shared" si="170"/>
        <v>1.9022780519129612</v>
      </c>
      <c r="E179" s="26">
        <f t="shared" si="171"/>
        <v>0.48926318304527999</v>
      </c>
      <c r="F179" s="77">
        <f t="shared" si="172"/>
        <v>0.81893480114921724</v>
      </c>
      <c r="G179" s="77">
        <f t="shared" si="173"/>
        <v>0.11964179789666138</v>
      </c>
      <c r="H179" s="75">
        <f t="shared" si="174"/>
        <v>1.0515556822527112</v>
      </c>
      <c r="I179" s="75">
        <f t="shared" si="175"/>
        <v>0.56716007517016431</v>
      </c>
      <c r="J179" s="77">
        <f t="shared" si="176"/>
        <v>-0.88898646961137429</v>
      </c>
      <c r="K179" s="77">
        <f t="shared" si="177"/>
        <v>1.5846630226370351</v>
      </c>
      <c r="L179" s="91">
        <f t="shared" si="178"/>
        <v>1.8169903242629661</v>
      </c>
      <c r="M179" s="93"/>
      <c r="N179" s="75">
        <f t="shared" si="179"/>
        <v>-4.6629367034256575E-15</v>
      </c>
      <c r="O179" s="75">
        <f t="shared" si="165"/>
        <v>-1.2599282457901761E-2</v>
      </c>
      <c r="P179" s="75">
        <f t="shared" si="166"/>
        <v>2.6303479426794416</v>
      </c>
      <c r="AF179" s="7"/>
      <c r="AG179" s="7"/>
      <c r="AH179" s="7"/>
      <c r="AI179" s="7"/>
      <c r="AJ179" s="7"/>
      <c r="AK179" s="7"/>
      <c r="AL179" s="7"/>
      <c r="AM179" s="7"/>
      <c r="AN179" s="7"/>
      <c r="AR179" s="92"/>
      <c r="AS179" s="7"/>
      <c r="AT179" s="83"/>
      <c r="AU179" s="83"/>
      <c r="AV179" s="83"/>
      <c r="AW179" s="83"/>
      <c r="AX179" s="83"/>
      <c r="AY179" s="83"/>
      <c r="AZ179" s="7"/>
    </row>
    <row r="180" spans="1:52" s="18" customFormat="1">
      <c r="A180" s="19">
        <f t="shared" si="167"/>
        <v>2.6303479426794416</v>
      </c>
      <c r="B180" s="26">
        <f t="shared" si="168"/>
        <v>-0.87213619218353722</v>
      </c>
      <c r="C180" s="26">
        <f t="shared" si="169"/>
        <v>-0.3929384575621192</v>
      </c>
      <c r="D180" s="26">
        <f t="shared" si="170"/>
        <v>1.9022780519129587</v>
      </c>
      <c r="E180" s="26">
        <f t="shared" si="171"/>
        <v>0.48926318304528116</v>
      </c>
      <c r="F180" s="77">
        <f t="shared" si="172"/>
        <v>0.8189348011492128</v>
      </c>
      <c r="G180" s="77">
        <f t="shared" si="173"/>
        <v>0.11964179789666431</v>
      </c>
      <c r="H180" s="75">
        <f t="shared" si="174"/>
        <v>1.0515556822527083</v>
      </c>
      <c r="I180" s="75">
        <f t="shared" si="175"/>
        <v>0.56716007517016964</v>
      </c>
      <c r="J180" s="77">
        <f t="shared" si="176"/>
        <v>-0.88898646961137306</v>
      </c>
      <c r="K180" s="77">
        <f t="shared" si="177"/>
        <v>1.584663022637028</v>
      </c>
      <c r="L180" s="91">
        <f t="shared" si="178"/>
        <v>1.8169903242629593</v>
      </c>
      <c r="M180" s="93"/>
      <c r="N180" s="75">
        <f t="shared" si="179"/>
        <v>0</v>
      </c>
      <c r="O180" s="75">
        <f t="shared" si="165"/>
        <v>-1.2599282457896099E-2</v>
      </c>
      <c r="P180" s="75">
        <f t="shared" si="166"/>
        <v>2.6303479426794416</v>
      </c>
      <c r="AF180" s="7"/>
      <c r="AG180" s="7"/>
      <c r="AH180" s="7"/>
      <c r="AI180" s="7"/>
      <c r="AJ180" s="7"/>
      <c r="AK180" s="7"/>
      <c r="AL180" s="7"/>
      <c r="AM180" s="7"/>
      <c r="AN180" s="7"/>
      <c r="AR180" s="92"/>
      <c r="AS180" s="7"/>
      <c r="AT180" s="83"/>
      <c r="AU180" s="83"/>
      <c r="AV180" s="83"/>
      <c r="AW180" s="83"/>
      <c r="AX180" s="83"/>
      <c r="AY180" s="83"/>
      <c r="AZ180" s="7"/>
    </row>
    <row r="181" spans="1:52" s="18" customFormat="1">
      <c r="A181" s="19">
        <f t="shared" si="167"/>
        <v>2.6303479426794416</v>
      </c>
      <c r="B181" s="26">
        <f t="shared" si="168"/>
        <v>-0.87213619218353722</v>
      </c>
      <c r="C181" s="26">
        <f t="shared" si="169"/>
        <v>-0.3929384575621192</v>
      </c>
      <c r="D181" s="26">
        <f t="shared" si="170"/>
        <v>1.9022780519129587</v>
      </c>
      <c r="E181" s="26">
        <f t="shared" si="171"/>
        <v>0.48926318304528116</v>
      </c>
      <c r="F181" s="77">
        <f t="shared" si="172"/>
        <v>0.8189348011492128</v>
      </c>
      <c r="G181" s="77">
        <f t="shared" si="173"/>
        <v>0.11964179789666431</v>
      </c>
      <c r="H181" s="75">
        <f t="shared" si="174"/>
        <v>1.0515556822527083</v>
      </c>
      <c r="I181" s="75">
        <f t="shared" si="175"/>
        <v>0.56716007517016964</v>
      </c>
      <c r="J181" s="77">
        <f t="shared" si="176"/>
        <v>-0.88898646961137306</v>
      </c>
      <c r="K181" s="77">
        <f t="shared" si="177"/>
        <v>1.584663022637028</v>
      </c>
      <c r="L181" s="91">
        <f t="shared" si="178"/>
        <v>1.8169903242629593</v>
      </c>
      <c r="M181" s="93"/>
      <c r="N181" s="75">
        <f t="shared" si="179"/>
        <v>0</v>
      </c>
      <c r="O181" s="75">
        <f t="shared" si="165"/>
        <v>-1.2599282457896099E-2</v>
      </c>
      <c r="P181" s="75">
        <f t="shared" si="166"/>
        <v>2.6303479426794416</v>
      </c>
      <c r="AF181" s="7"/>
      <c r="AG181" s="7"/>
      <c r="AH181" s="7"/>
      <c r="AI181" s="7"/>
      <c r="AJ181" s="7"/>
      <c r="AK181" s="7"/>
      <c r="AL181" s="7"/>
      <c r="AM181" s="7"/>
      <c r="AN181" s="7"/>
      <c r="AR181" s="92"/>
      <c r="AS181" s="7"/>
      <c r="AT181" s="83"/>
      <c r="AU181" s="83"/>
      <c r="AV181" s="83"/>
      <c r="AW181" s="83"/>
      <c r="AX181" s="83"/>
      <c r="AY181" s="83"/>
      <c r="AZ181" s="7"/>
    </row>
    <row r="182" spans="1:52" s="18" customFormat="1">
      <c r="A182" s="88" t="s">
        <v>60</v>
      </c>
      <c r="B182" s="8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AF182" s="7"/>
      <c r="AG182" s="7"/>
      <c r="AH182" s="7"/>
      <c r="AI182" s="7"/>
      <c r="AJ182" s="7"/>
      <c r="AK182" s="7"/>
      <c r="AL182" s="7"/>
      <c r="AM182" s="7"/>
      <c r="AN182" s="7"/>
      <c r="AR182" s="92"/>
      <c r="AS182" s="7"/>
      <c r="AT182" s="83"/>
      <c r="AU182" s="83"/>
      <c r="AV182" s="83"/>
      <c r="AW182" s="83"/>
      <c r="AX182" s="83"/>
      <c r="AY182" s="83"/>
      <c r="AZ182" s="7"/>
    </row>
    <row r="183" spans="1:52" s="18" customFormat="1">
      <c r="A183" s="26" t="s">
        <v>11</v>
      </c>
      <c r="B183" s="26" t="s">
        <v>13</v>
      </c>
      <c r="C183" s="26" t="s">
        <v>22</v>
      </c>
      <c r="D183" s="26" t="s">
        <v>18</v>
      </c>
      <c r="E183" s="26" t="s">
        <v>19</v>
      </c>
      <c r="F183" s="26" t="s">
        <v>20</v>
      </c>
      <c r="G183" s="26" t="s">
        <v>2</v>
      </c>
      <c r="H183" s="26" t="s">
        <v>1</v>
      </c>
      <c r="I183" s="26" t="s">
        <v>0</v>
      </c>
      <c r="J183" s="76" t="s">
        <v>3</v>
      </c>
      <c r="K183" s="76" t="s">
        <v>4</v>
      </c>
      <c r="L183" s="44" t="s">
        <v>7</v>
      </c>
      <c r="M183" s="28"/>
      <c r="N183" s="28"/>
      <c r="O183" s="28"/>
      <c r="P183" s="31"/>
      <c r="AF183" s="7"/>
      <c r="AG183" s="7"/>
      <c r="AH183" s="7"/>
      <c r="AI183" s="7"/>
      <c r="AJ183" s="7"/>
      <c r="AK183" s="7"/>
      <c r="AL183" s="7"/>
      <c r="AM183" s="7"/>
      <c r="AN183" s="7"/>
      <c r="AR183" s="92"/>
      <c r="AS183" s="7"/>
      <c r="AT183" s="83"/>
      <c r="AU183" s="83"/>
      <c r="AV183" s="83"/>
      <c r="AW183" s="83"/>
      <c r="AX183" s="83"/>
      <c r="AY183" s="83"/>
      <c r="AZ183" s="7"/>
    </row>
    <row r="184" spans="1:52" s="18" customFormat="1">
      <c r="A184" s="19">
        <f>$E168</f>
        <v>2.6793840104489006</v>
      </c>
      <c r="B184" s="26">
        <f t="shared" ref="B184:B189" si="180">COS(A184)</f>
        <v>-0.89506978986336316</v>
      </c>
      <c r="C184" s="26">
        <f t="shared" ref="C184:C189" si="181">($C$168+B184)</f>
        <v>-0.41587205524194515</v>
      </c>
      <c r="D184" s="26">
        <f t="shared" ref="D184:D189" si="182">POWER(TAN(A184/2),$C$168)</f>
        <v>2.0003675760076525</v>
      </c>
      <c r="E184" s="26">
        <f t="shared" ref="E184:E189" si="183">SIN(A184)</f>
        <v>0.44592608274685491</v>
      </c>
      <c r="F184" s="77">
        <f t="shared" ref="F184:F189" si="184">(C184*$H$168*D184/E184/$I$168/$J$168)</f>
        <v>1</v>
      </c>
      <c r="G184" s="77">
        <f t="shared" ref="G184:G189" si="185">$D$168*($C$168+$G$168)/9.81/SIN($C$165)/(1-$C$168*$C$165)*(F184-1)</f>
        <v>0</v>
      </c>
      <c r="H184" s="99">
        <f t="shared" ref="H184:H189" si="186">-(-$H$165+$K$168*((POWER(TAN(A184/2),2*$C$168-1)/(2*$C$168-1))+(POWER(TAN(A184/2),2*$C$168+1)/(2*$C$168+1))-(POWER(TAN($E$168/2),2*$C$168-1)/(2*$C$168-1))-(POWER(TAN($E$168/2),2*$C$168+1)/(2*$C$168+1))))</f>
        <v>1.1833859849418729</v>
      </c>
      <c r="I184" s="99">
        <f t="shared" ref="I184:I189" si="187">-(-$I$165+0.5*$K$168*((POWER(TAN(A184/2),2*$C$168-2)/(2*$C$168-2))-(POWER(TAN(A184/2),2*$C$168+2)/(2*$C$168+2))-(POWER(TAN($E$168/2),2*$C$168-2)/(2*$C$168-2))+(POWER(TAN($E$168/2),2*$C$168+2)/(2*$C$168+2))))</f>
        <v>0.31710907748474176</v>
      </c>
      <c r="J184" s="77">
        <f t="shared" ref="J184:J189" si="188">-$D$168*SIN(A184)*($C$168+$G$168)/($C$168+B184)*F184</f>
        <v>-0.93482638225879688</v>
      </c>
      <c r="K184" s="77">
        <f t="shared" ref="K184:K189" si="189">-$D$168*COS(A184)*($C$168+$G$168)/($C$168+B184)*F184</f>
        <v>1.8763980980276282</v>
      </c>
      <c r="L184" s="91">
        <f t="shared" ref="L184:L189" si="190">SQRT(J184*J184+K184*K184)</f>
        <v>2.0963707179906828</v>
      </c>
      <c r="M184" s="28"/>
      <c r="N184" s="28"/>
      <c r="O184" s="28"/>
      <c r="P184" s="31"/>
      <c r="AF184" s="7"/>
      <c r="AG184" s="7"/>
      <c r="AH184" s="7"/>
      <c r="AI184" s="7"/>
      <c r="AJ184" s="7"/>
      <c r="AK184" s="7"/>
      <c r="AL184" s="7"/>
      <c r="AM184" s="7"/>
      <c r="AN184" s="7"/>
      <c r="AR184" s="92"/>
      <c r="AS184" s="7"/>
      <c r="AT184" s="83"/>
      <c r="AU184" s="83"/>
      <c r="AV184" s="83"/>
      <c r="AW184" s="83"/>
      <c r="AX184" s="83"/>
      <c r="AY184" s="83"/>
      <c r="AZ184" s="7"/>
    </row>
    <row r="185" spans="1:52" s="18" customFormat="1">
      <c r="A185" s="20">
        <f>A184-$F$168</f>
        <v>2.6695967968950089</v>
      </c>
      <c r="B185" s="26">
        <f t="shared" si="180"/>
        <v>-0.89066261691522164</v>
      </c>
      <c r="C185" s="26">
        <f t="shared" si="181"/>
        <v>-0.41146488229380362</v>
      </c>
      <c r="D185" s="26">
        <f t="shared" si="182"/>
        <v>1.9796405752944084</v>
      </c>
      <c r="E185" s="26">
        <f t="shared" si="183"/>
        <v>0.45466482471126918</v>
      </c>
      <c r="F185" s="77">
        <f t="shared" si="184"/>
        <v>0.96033132607632898</v>
      </c>
      <c r="G185" s="77">
        <f t="shared" si="185"/>
        <v>2.6211726485969568E-2</v>
      </c>
      <c r="H185" s="99">
        <f t="shared" si="186"/>
        <v>1.1539423494616767</v>
      </c>
      <c r="I185" s="99">
        <f t="shared" si="187"/>
        <v>0.37550061333480028</v>
      </c>
      <c r="J185" s="77">
        <f t="shared" si="188"/>
        <v>-0.92514008893739219</v>
      </c>
      <c r="K185" s="77">
        <f t="shared" si="189"/>
        <v>1.8122969885550844</v>
      </c>
      <c r="L185" s="91">
        <f t="shared" si="190"/>
        <v>2.0347738348241342</v>
      </c>
      <c r="M185" s="28"/>
      <c r="N185" s="28"/>
      <c r="O185" s="28"/>
      <c r="P185" s="31"/>
      <c r="AF185" s="7"/>
      <c r="AG185" s="7"/>
      <c r="AH185" s="7"/>
      <c r="AI185" s="7"/>
      <c r="AJ185" s="7"/>
      <c r="AK185" s="7"/>
      <c r="AL185" s="7"/>
      <c r="AM185" s="7"/>
      <c r="AN185" s="7"/>
      <c r="AR185" s="92"/>
      <c r="AS185" s="7"/>
      <c r="AT185" s="83"/>
      <c r="AU185" s="83"/>
      <c r="AV185" s="83"/>
      <c r="AW185" s="83"/>
      <c r="AX185" s="83"/>
      <c r="AY185" s="83"/>
      <c r="AZ185" s="7"/>
    </row>
    <row r="186" spans="1:52" s="18" customFormat="1">
      <c r="A186" s="20">
        <f>A185-$F$168</f>
        <v>2.6598095833411173</v>
      </c>
      <c r="B186" s="26">
        <f t="shared" si="180"/>
        <v>-0.88617012847759247</v>
      </c>
      <c r="C186" s="26">
        <f t="shared" si="181"/>
        <v>-0.40697239385617445</v>
      </c>
      <c r="D186" s="26">
        <f t="shared" si="182"/>
        <v>1.9595159238990749</v>
      </c>
      <c r="E186" s="26">
        <f t="shared" si="183"/>
        <v>0.46336001488476236</v>
      </c>
      <c r="F186" s="77">
        <f t="shared" si="184"/>
        <v>0.9225470491770007</v>
      </c>
      <c r="G186" s="77">
        <f t="shared" si="185"/>
        <v>5.1178306751823804E-2</v>
      </c>
      <c r="H186" s="99">
        <f t="shared" si="186"/>
        <v>1.1261852661861482</v>
      </c>
      <c r="I186" s="99">
        <f t="shared" si="187"/>
        <v>0.42923261969236226</v>
      </c>
      <c r="J186" s="77">
        <f t="shared" si="188"/>
        <v>-0.91573528989757447</v>
      </c>
      <c r="K186" s="77">
        <f t="shared" si="189"/>
        <v>1.7513320818193998</v>
      </c>
      <c r="L186" s="91">
        <f t="shared" si="190"/>
        <v>1.9762932935102693</v>
      </c>
      <c r="M186" s="45"/>
      <c r="N186" s="28"/>
      <c r="O186" s="28"/>
      <c r="P186" s="31"/>
      <c r="AF186" s="7"/>
      <c r="AG186" s="7"/>
      <c r="AH186" s="7"/>
      <c r="AI186" s="7"/>
      <c r="AJ186" s="7"/>
      <c r="AK186" s="7"/>
      <c r="AL186" s="7"/>
      <c r="AM186" s="7"/>
      <c r="AN186" s="7"/>
      <c r="AR186" s="92"/>
      <c r="AS186" s="7"/>
      <c r="AT186" s="83"/>
      <c r="AU186" s="83"/>
      <c r="AV186" s="83"/>
      <c r="AW186" s="83"/>
      <c r="AX186" s="83"/>
      <c r="AY186" s="83"/>
      <c r="AZ186" s="7"/>
    </row>
    <row r="187" spans="1:52" s="18" customFormat="1">
      <c r="A187" s="20">
        <f>A186-$F$168</f>
        <v>2.6500223697872256</v>
      </c>
      <c r="B187" s="26">
        <f t="shared" si="180"/>
        <v>-0.8815927548804825</v>
      </c>
      <c r="C187" s="26">
        <f t="shared" si="181"/>
        <v>-0.40239502025906448</v>
      </c>
      <c r="D187" s="26">
        <f t="shared" si="182"/>
        <v>1.939963441687381</v>
      </c>
      <c r="E187" s="26">
        <f t="shared" si="183"/>
        <v>0.47201082036563674</v>
      </c>
      <c r="F187" s="77">
        <f t="shared" si="184"/>
        <v>0.88651792084187298</v>
      </c>
      <c r="G187" s="77">
        <f t="shared" si="185"/>
        <v>7.4985143836053425E-2</v>
      </c>
      <c r="H187" s="99">
        <f t="shared" si="186"/>
        <v>1.0999841635886038</v>
      </c>
      <c r="I187" s="99">
        <f t="shared" si="187"/>
        <v>0.47875762012609335</v>
      </c>
      <c r="J187" s="77">
        <f t="shared" si="188"/>
        <v>-0.90659788113862183</v>
      </c>
      <c r="K187" s="77">
        <f t="shared" si="189"/>
        <v>1.6932877152745727</v>
      </c>
      <c r="L187" s="91">
        <f t="shared" si="190"/>
        <v>1.9207141913321777</v>
      </c>
      <c r="M187" s="45"/>
      <c r="N187" s="28"/>
      <c r="O187" s="28"/>
      <c r="P187" s="31"/>
      <c r="AF187" s="7"/>
      <c r="AG187" s="7"/>
      <c r="AH187" s="7"/>
      <c r="AI187" s="7"/>
      <c r="AJ187" s="7"/>
      <c r="AK187" s="7"/>
      <c r="AL187" s="7"/>
      <c r="AM187" s="7"/>
      <c r="AN187" s="7"/>
      <c r="AR187" s="92"/>
      <c r="AS187" s="7"/>
      <c r="AT187" s="83"/>
      <c r="AU187" s="83"/>
      <c r="AV187" s="83"/>
      <c r="AW187" s="83"/>
      <c r="AX187" s="83"/>
      <c r="AY187" s="83"/>
      <c r="AZ187" s="7"/>
    </row>
    <row r="188" spans="1:52" s="18" customFormat="1">
      <c r="A188" s="20">
        <f>A187-$F$168</f>
        <v>2.6402351562333339</v>
      </c>
      <c r="B188" s="26">
        <f t="shared" si="180"/>
        <v>-0.87693093458494498</v>
      </c>
      <c r="C188" s="26">
        <f t="shared" si="181"/>
        <v>-0.39773319996352696</v>
      </c>
      <c r="D188" s="26">
        <f t="shared" si="182"/>
        <v>1.9209550096141574</v>
      </c>
      <c r="E188" s="26">
        <f t="shared" si="183"/>
        <v>0.48061641250375015</v>
      </c>
      <c r="F188" s="77">
        <f t="shared" si="184"/>
        <v>0.85212590992725956</v>
      </c>
      <c r="G188" s="77">
        <f t="shared" si="185"/>
        <v>9.7710228751443071E-2</v>
      </c>
      <c r="H188" s="99">
        <f t="shared" si="186"/>
        <v>1.0752209439450278</v>
      </c>
      <c r="I188" s="99">
        <f t="shared" si="187"/>
        <v>0.52447642163292174</v>
      </c>
      <c r="J188" s="77">
        <f t="shared" si="188"/>
        <v>-0.89771472186302081</v>
      </c>
      <c r="K188" s="77">
        <f t="shared" si="189"/>
        <v>1.6379669723157033</v>
      </c>
      <c r="L188" s="91">
        <f t="shared" si="190"/>
        <v>1.8678403369256893</v>
      </c>
      <c r="M188" s="45"/>
      <c r="N188" s="28"/>
      <c r="O188" s="28"/>
      <c r="P188" s="89"/>
      <c r="AF188" s="7"/>
      <c r="AG188" s="7"/>
      <c r="AH188" s="7"/>
      <c r="AI188" s="7"/>
      <c r="AJ188" s="7"/>
      <c r="AK188" s="7"/>
      <c r="AL188" s="7"/>
      <c r="AM188" s="7"/>
      <c r="AN188" s="7"/>
      <c r="AR188" s="92"/>
      <c r="AS188" s="7"/>
      <c r="AT188" s="83"/>
      <c r="AU188" s="83"/>
      <c r="AV188" s="83"/>
      <c r="AW188" s="83"/>
      <c r="AX188" s="83"/>
      <c r="AY188" s="83"/>
      <c r="AZ188" s="7"/>
    </row>
    <row r="189" spans="1:52" s="18" customFormat="1">
      <c r="A189" s="20">
        <f>A188-$F$168</f>
        <v>2.6304479426794423</v>
      </c>
      <c r="B189" s="26">
        <f t="shared" si="180"/>
        <v>-0.87218511414107958</v>
      </c>
      <c r="C189" s="26">
        <f t="shared" si="181"/>
        <v>-0.39298737951966156</v>
      </c>
      <c r="D189" s="26">
        <f t="shared" si="182"/>
        <v>1.9024643919589124</v>
      </c>
      <c r="E189" s="26">
        <f t="shared" si="183"/>
        <v>0.48917596697989163</v>
      </c>
      <c r="F189" s="77">
        <f t="shared" si="184"/>
        <v>0.8192630324898269</v>
      </c>
      <c r="G189" s="77">
        <f t="shared" si="185"/>
        <v>0.1194249136584653</v>
      </c>
      <c r="H189" s="99">
        <f t="shared" si="186"/>
        <v>1.0517885759754571</v>
      </c>
      <c r="I189" s="99">
        <f t="shared" si="187"/>
        <v>0.56674488175881954</v>
      </c>
      <c r="J189" s="77">
        <f t="shared" si="188"/>
        <v>-0.88907355140229916</v>
      </c>
      <c r="K189" s="77">
        <f t="shared" si="189"/>
        <v>1.5851897256872081</v>
      </c>
      <c r="L189" s="91">
        <f t="shared" si="190"/>
        <v>1.8174922960572302</v>
      </c>
      <c r="M189" s="45"/>
      <c r="N189" s="28"/>
      <c r="O189" s="28"/>
      <c r="P189" s="28"/>
      <c r="AF189" s="7"/>
      <c r="AG189" s="7"/>
      <c r="AH189" s="7"/>
      <c r="AI189" s="7"/>
      <c r="AJ189" s="7"/>
      <c r="AK189" s="7"/>
      <c r="AL189" s="7"/>
      <c r="AM189" s="7"/>
      <c r="AN189" s="7"/>
      <c r="AR189" s="92"/>
      <c r="AS189" s="7"/>
      <c r="AT189" s="83"/>
      <c r="AU189" s="83"/>
      <c r="AV189" s="83"/>
      <c r="AW189" s="83"/>
      <c r="AX189" s="83"/>
      <c r="AY189" s="83"/>
      <c r="AZ189" s="7"/>
    </row>
    <row r="190" spans="1:52" s="1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AF190" s="7"/>
      <c r="AG190" s="7"/>
      <c r="AH190" s="7"/>
      <c r="AI190" s="7"/>
      <c r="AJ190" s="7"/>
      <c r="AK190" s="7"/>
      <c r="AL190" s="7"/>
      <c r="AM190" s="7"/>
      <c r="AN190" s="7"/>
      <c r="AR190" s="92"/>
      <c r="AS190" s="7"/>
      <c r="AT190" s="83"/>
      <c r="AU190" s="83"/>
      <c r="AV190" s="83"/>
      <c r="AW190" s="83"/>
      <c r="AX190" s="83"/>
      <c r="AY190" s="83"/>
      <c r="AZ190" s="7"/>
    </row>
    <row r="191" spans="1:52" s="18" customFormat="1">
      <c r="A191" s="88" t="s">
        <v>73</v>
      </c>
      <c r="B191" s="88"/>
      <c r="C191" s="23" t="str">
        <f>CONCATENATE("m",Stufengrün!Z51)</f>
        <v>m3</v>
      </c>
      <c r="D191" s="23" t="s">
        <v>30</v>
      </c>
      <c r="E191" s="28"/>
      <c r="F191" s="28"/>
      <c r="G191" s="28"/>
      <c r="H191" s="36" t="s">
        <v>57</v>
      </c>
      <c r="I191" s="36" t="s">
        <v>51</v>
      </c>
      <c r="J191" s="36" t="s">
        <v>58</v>
      </c>
      <c r="K191" s="36" t="s">
        <v>59</v>
      </c>
      <c r="L191" s="28"/>
      <c r="M191" s="28"/>
      <c r="N191" s="28"/>
      <c r="O191" s="28"/>
      <c r="P191" s="28"/>
      <c r="AF191" s="7"/>
      <c r="AG191" s="7"/>
      <c r="AH191" s="7"/>
      <c r="AI191" s="7"/>
      <c r="AJ191" s="7"/>
      <c r="AK191" s="7"/>
      <c r="AL191" s="7"/>
      <c r="AM191" s="7"/>
      <c r="AN191" s="7"/>
      <c r="AR191" s="92"/>
      <c r="AS191" s="7"/>
      <c r="AT191" s="83"/>
      <c r="AU191" s="83"/>
      <c r="AV191" s="83"/>
      <c r="AW191" s="83"/>
      <c r="AX191" s="83"/>
      <c r="AY191" s="83"/>
      <c r="AZ191" s="7"/>
    </row>
    <row r="192" spans="1:52" s="18" customFormat="1">
      <c r="A192" s="88" t="s">
        <v>69</v>
      </c>
      <c r="B192" s="88"/>
      <c r="C192" s="36">
        <f>Stufengrün!AA51</f>
        <v>5.9398558365054185E-2</v>
      </c>
      <c r="D192" s="26">
        <f>Stufengrün!AC51</f>
        <v>1.142674178769717</v>
      </c>
      <c r="E192" s="28"/>
      <c r="F192" s="28"/>
      <c r="G192" s="28"/>
      <c r="H192" s="78">
        <f>H181</f>
        <v>1.0515556822527083</v>
      </c>
      <c r="I192" s="78">
        <f>I181</f>
        <v>0.56716007517016964</v>
      </c>
      <c r="J192" s="78">
        <f>J181</f>
        <v>-0.88898646961137306</v>
      </c>
      <c r="K192" s="78">
        <f>K181</f>
        <v>1.584663022637028</v>
      </c>
      <c r="L192" s="28"/>
      <c r="M192" s="28"/>
      <c r="N192" s="28"/>
      <c r="O192" s="28"/>
      <c r="P192" s="28"/>
      <c r="AF192" s="7"/>
      <c r="AG192" s="7"/>
      <c r="AH192" s="7"/>
      <c r="AI192" s="7"/>
      <c r="AJ192" s="7"/>
      <c r="AK192" s="7"/>
      <c r="AL192" s="7"/>
      <c r="AM192" s="7"/>
      <c r="AN192" s="7"/>
      <c r="AR192" s="92"/>
      <c r="AS192" s="7"/>
      <c r="AT192" s="83"/>
      <c r="AU192" s="83"/>
      <c r="AV192" s="83"/>
      <c r="AW192" s="83"/>
      <c r="AX192" s="83"/>
      <c r="AY192" s="83"/>
      <c r="AZ192" s="7"/>
    </row>
    <row r="193" spans="1:52" s="18" customFormat="1">
      <c r="A193" s="95"/>
      <c r="B193" s="95"/>
      <c r="C193" s="28"/>
      <c r="D193" s="28"/>
      <c r="E193" s="28"/>
      <c r="F193" s="28"/>
      <c r="G193" s="28"/>
      <c r="H193" s="37" t="s">
        <v>8</v>
      </c>
      <c r="I193" s="37" t="s">
        <v>8</v>
      </c>
      <c r="J193" s="37" t="s">
        <v>9</v>
      </c>
      <c r="K193" s="37" t="s">
        <v>9</v>
      </c>
      <c r="L193" s="28"/>
      <c r="M193" s="28"/>
      <c r="N193" s="28"/>
      <c r="O193" s="28"/>
      <c r="P193" s="28"/>
      <c r="AF193" s="7"/>
      <c r="AG193" s="7"/>
      <c r="AH193" s="7"/>
      <c r="AI193" s="7"/>
      <c r="AJ193" s="7"/>
      <c r="AK193" s="7"/>
      <c r="AL193" s="7"/>
      <c r="AM193" s="7"/>
      <c r="AN193" s="7"/>
      <c r="AR193" s="92"/>
      <c r="AS193" s="7"/>
      <c r="AT193" s="83"/>
      <c r="AU193" s="83"/>
      <c r="AV193" s="83"/>
      <c r="AW193" s="83"/>
      <c r="AX193" s="83"/>
      <c r="AY193" s="83"/>
      <c r="AZ193" s="7"/>
    </row>
    <row r="194" spans="1:52" s="18" customFormat="1">
      <c r="A194" s="88" t="s">
        <v>68</v>
      </c>
      <c r="B194" s="88"/>
      <c r="C194" s="115" t="s">
        <v>15</v>
      </c>
      <c r="D194" s="115" t="s">
        <v>55</v>
      </c>
      <c r="E194" s="115" t="s">
        <v>12</v>
      </c>
      <c r="F194" s="115" t="s">
        <v>10</v>
      </c>
      <c r="G194" s="115" t="s">
        <v>14</v>
      </c>
      <c r="H194" s="115" t="s">
        <v>21</v>
      </c>
      <c r="I194" s="115" t="s">
        <v>16</v>
      </c>
      <c r="J194" s="115" t="s">
        <v>17</v>
      </c>
      <c r="K194" s="115" t="s">
        <v>23</v>
      </c>
      <c r="L194" s="28"/>
      <c r="M194" s="28"/>
      <c r="N194" s="28"/>
      <c r="O194" s="28"/>
      <c r="P194" s="28"/>
      <c r="AF194" s="7"/>
      <c r="AG194" s="7"/>
      <c r="AH194" s="7"/>
      <c r="AI194" s="7"/>
      <c r="AJ194" s="7"/>
      <c r="AK194" s="7"/>
      <c r="AL194" s="7"/>
      <c r="AM194" s="7"/>
      <c r="AN194" s="7"/>
      <c r="AR194" s="92"/>
      <c r="AS194" s="7"/>
      <c r="AT194" s="83"/>
      <c r="AU194" s="83"/>
      <c r="AV194" s="83"/>
      <c r="AW194" s="83"/>
      <c r="AX194" s="83"/>
      <c r="AY194" s="83"/>
      <c r="AZ194" s="7"/>
    </row>
    <row r="195" spans="1:52" s="18" customFormat="1">
      <c r="A195" s="28"/>
      <c r="B195" s="28"/>
      <c r="C195" s="23">
        <f>Mü/TAN($C192)</f>
        <v>1.1770934876266894</v>
      </c>
      <c r="D195" s="42">
        <f>SQRT($J192*$J192+$K192*$K192)</f>
        <v>1.8169903242629593</v>
      </c>
      <c r="E195" s="20">
        <f>ATAN($J192/$K192)+PI()</f>
        <v>2.6303479426794416</v>
      </c>
      <c r="F195" s="23">
        <f>($E195-A208-0.0001)/5</f>
        <v>1.7070545814282266E-2</v>
      </c>
      <c r="G195" s="23">
        <f>COS($E195)</f>
        <v>-0.87213619218353722</v>
      </c>
      <c r="H195" s="23">
        <f>SIN($E195)</f>
        <v>0.48926318304528116</v>
      </c>
      <c r="I195" s="23">
        <f>$C195+$G195</f>
        <v>0.3049572954431522</v>
      </c>
      <c r="J195" s="23">
        <f>POWER(TAN($E195/2),$C195)</f>
        <v>4.8529306441610567</v>
      </c>
      <c r="K195" s="23">
        <f>-$D195*$D195*SIN($E195)*SIN($E195)/(2*9.81*SIN($C192)*POWER(TAN($E195/2),2*$C195))</f>
        <v>-2.8811285372972846E-2</v>
      </c>
      <c r="L195" s="28"/>
      <c r="M195" s="28"/>
      <c r="N195" s="28"/>
      <c r="O195" s="28"/>
      <c r="P195" s="28"/>
      <c r="AF195" s="7"/>
      <c r="AG195" s="7"/>
      <c r="AH195" s="7"/>
      <c r="AI195" s="7"/>
      <c r="AJ195" s="7"/>
      <c r="AK195" s="7"/>
      <c r="AL195" s="7"/>
      <c r="AM195" s="7"/>
      <c r="AN195" s="7"/>
      <c r="AR195" s="92"/>
      <c r="AS195" s="7"/>
      <c r="AT195" s="83"/>
      <c r="AU195" s="83"/>
      <c r="AV195" s="83"/>
      <c r="AW195" s="83"/>
      <c r="AX195" s="83"/>
      <c r="AY195" s="83"/>
      <c r="AZ195" s="7"/>
    </row>
    <row r="196" spans="1:52" s="18" customFormat="1">
      <c r="A196" s="88" t="s">
        <v>70</v>
      </c>
      <c r="B196" s="8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45"/>
      <c r="N196" s="28"/>
      <c r="O196" s="28"/>
      <c r="P196" s="28"/>
      <c r="AF196" s="7"/>
      <c r="AG196" s="7"/>
      <c r="AH196" s="7"/>
      <c r="AI196" s="7"/>
      <c r="AJ196" s="7"/>
      <c r="AK196" s="7"/>
      <c r="AL196" s="7"/>
      <c r="AM196" s="7"/>
      <c r="AN196" s="7"/>
      <c r="AR196" s="92"/>
      <c r="AS196" s="7"/>
      <c r="AT196" s="83"/>
      <c r="AU196" s="83"/>
      <c r="AV196" s="83"/>
      <c r="AW196" s="83"/>
      <c r="AX196" s="83"/>
      <c r="AY196" s="83"/>
      <c r="AZ196" s="7"/>
    </row>
    <row r="197" spans="1:52" s="18" customFormat="1">
      <c r="A197" s="115" t="s">
        <v>11</v>
      </c>
      <c r="B197" s="115" t="s">
        <v>13</v>
      </c>
      <c r="C197" s="117" t="s">
        <v>22</v>
      </c>
      <c r="D197" s="117" t="s">
        <v>18</v>
      </c>
      <c r="E197" s="115" t="s">
        <v>19</v>
      </c>
      <c r="F197" s="117" t="s">
        <v>20</v>
      </c>
      <c r="G197" s="117" t="s">
        <v>2</v>
      </c>
      <c r="H197" s="117" t="s">
        <v>65</v>
      </c>
      <c r="I197" s="117" t="s">
        <v>66</v>
      </c>
      <c r="J197" s="118" t="s">
        <v>3</v>
      </c>
      <c r="K197" s="118" t="s">
        <v>4</v>
      </c>
      <c r="L197" s="116" t="s">
        <v>7</v>
      </c>
      <c r="M197" s="93"/>
      <c r="N197" s="117" t="s">
        <v>61</v>
      </c>
      <c r="O197" s="117" t="s">
        <v>62</v>
      </c>
      <c r="P197" s="115" t="s">
        <v>63</v>
      </c>
      <c r="AF197" s="7"/>
      <c r="AG197" s="7"/>
      <c r="AH197" s="7"/>
      <c r="AI197" s="7"/>
      <c r="AJ197" s="7"/>
      <c r="AK197" s="7"/>
      <c r="AL197" s="7"/>
      <c r="AM197" s="7"/>
      <c r="AN197" s="7"/>
      <c r="AR197" s="92"/>
      <c r="AS197" s="7"/>
      <c r="AT197" s="83"/>
      <c r="AU197" s="83"/>
      <c r="AV197" s="83"/>
      <c r="AW197" s="83"/>
      <c r="AX197" s="83"/>
      <c r="AY197" s="83"/>
      <c r="AZ197" s="7"/>
    </row>
    <row r="198" spans="1:52" s="18" customFormat="1">
      <c r="A198" s="19">
        <f>$E195</f>
        <v>2.6303479426794416</v>
      </c>
      <c r="B198" s="26">
        <f>COS(A198)</f>
        <v>-0.87213619218353722</v>
      </c>
      <c r="C198" s="26">
        <f>($C$195+B198)</f>
        <v>0.3049572954431522</v>
      </c>
      <c r="D198" s="26">
        <f>POWER(TAN(A198/2),$C$195)</f>
        <v>4.8529306441610567</v>
      </c>
      <c r="E198" s="26">
        <f>SIN(A198)</f>
        <v>0.48926318304528116</v>
      </c>
      <c r="F198" s="77">
        <f>(C198*$H$195*D198/E198/$I$195/$J$195)</f>
        <v>1</v>
      </c>
      <c r="G198" s="77">
        <f>$D$195*($C$195+$G$195)/9.81/SIN($C$192)/(1-$C$195*$C$192)*(F198-1)</f>
        <v>0</v>
      </c>
      <c r="H198" s="75">
        <f>-(-$H$192+$K$195*((POWER(TAN(A198/2),2*$C$195-1)/(2*$C$195-1))+(POWER(TAN(A198/2),2*$C$195+1)/(2*$C$195+1))-(POWER(TAN($E$195/2),2*$C$195-1)/(2*$C$195-1))-(POWER(TAN($E$195/2),2*$C$195+1)/(2*$C$195+1))))</f>
        <v>1.0515556822527083</v>
      </c>
      <c r="I198" s="75">
        <f>-(-$I$192+0.5*$K$195*((POWER(TAN(A198/2),2*$C$195-2)/(2*$C$195-2))-(POWER(TAN(A198/2),2*$C$195+2)/(2*$C$195+2))-(POWER(TAN($E$195/2),2*$C$195-2)/(2*$C$195-2))+(POWER(TAN($E$195/2),2*$C$195+2)/(2*$C$195+2))))</f>
        <v>0.56716007517016964</v>
      </c>
      <c r="J198" s="77">
        <f>-$D$195*SIN(A198)*($C$195+$G$195)/($C$195+B198)*F198</f>
        <v>-0.88898646961137284</v>
      </c>
      <c r="K198" s="77">
        <f>-$D$195*COS(A198)*($C$195+$G$195)/($C$195+B198)*F198</f>
        <v>1.5846630226370277</v>
      </c>
      <c r="L198" s="91">
        <f>SQRT(J198*J198+K198*K198)</f>
        <v>1.816990324262959</v>
      </c>
      <c r="M198" s="93"/>
      <c r="N198" s="75">
        <f>-(-$I$192+0.5*$K$195*((POWER(TAN(A198/2),2*$C$195-2)/(2*$C$195-2))-(POWER(TAN(A198/2),2*$C$195+2)/(2*$C$195+2))-(POWER(TAN($E$195/2),2*$C$195-2)/(2*$C$195-2))+(POWER(TAN($E$195/2),2*$C$195+2)/(2*$C$195+2))))-$D$192</f>
        <v>-0.57551410359954736</v>
      </c>
      <c r="O198" s="75">
        <f>-(-$I$192+0.5*$K$195*((POWER(TAN((A198+$M$9)/2),2*$C$195-2)/(2*$C$195-2))-(POWER(TAN((A198+$M$9)/2),2*$C$195+2)/(2*$C$195+2))-(POWER(TAN($E$195/2),2*$C$195-2)/(2*$C$195-2))+(POWER(TAN($E$195/2),2*$C$195+2)/(2*$C$195+2))))-$D$192</f>
        <v>-0.60632428029035734</v>
      </c>
      <c r="P198" s="75">
        <f>A198-N198/(O198-N198)*$M$9</f>
        <v>2.5743098897943497</v>
      </c>
      <c r="AF198" s="7"/>
      <c r="AG198" s="7"/>
      <c r="AH198" s="7"/>
      <c r="AI198" s="7"/>
      <c r="AJ198" s="7"/>
      <c r="AK198" s="7"/>
      <c r="AL198" s="7"/>
      <c r="AM198" s="7"/>
      <c r="AN198" s="7"/>
      <c r="AR198" s="92"/>
      <c r="AS198" s="7"/>
      <c r="AT198" s="83"/>
      <c r="AU198" s="83"/>
      <c r="AV198" s="83"/>
      <c r="AW198" s="83"/>
      <c r="AX198" s="83"/>
      <c r="AY198" s="83"/>
      <c r="AZ198" s="7"/>
    </row>
    <row r="199" spans="1:52" s="18" customFormat="1">
      <c r="A199" s="19">
        <f>$P198</f>
        <v>2.5743098897943497</v>
      </c>
      <c r="B199" s="26">
        <f>COS(A199)</f>
        <v>-0.84336417306546563</v>
      </c>
      <c r="C199" s="26">
        <f>($C$195+B199)</f>
        <v>0.33372931456122379</v>
      </c>
      <c r="D199" s="26">
        <f>POWER(TAN(A199/2),$C$195)</f>
        <v>4.2674534458307312</v>
      </c>
      <c r="E199" s="26">
        <f>SIN(A199)</f>
        <v>0.53734241558768037</v>
      </c>
      <c r="F199" s="77">
        <f>(C199*$H$195*D199/E199/$I$195/$J$195)</f>
        <v>0.87621654538969906</v>
      </c>
      <c r="G199" s="77">
        <f>$D$195*($C$195+$G$195)/9.81/SIN($C$192)/(1-$C$195*$C$192)*(F199-1)</f>
        <v>-0.1266319626371212</v>
      </c>
      <c r="H199" s="75">
        <f>-(-$H$192+$K$195*((POWER(TAN(A199/2),2*$C$195-1)/(2*$C$195-1))+(POWER(TAN(A199/2),2*$C$195+1)/(2*$C$195+1))-(POWER(TAN($E$195/2),2*$C$195-1)/(2*$C$195-1))-(POWER(TAN($E$195/2),2*$C$195+1)/(2*$C$195+1))))</f>
        <v>0.79611250959886859</v>
      </c>
      <c r="I199" s="75">
        <f>-(-$I$192+0.5*$K$195*((POWER(TAN(A199/2),2*$C$195-2)/(2*$C$195-2))-(POWER(TAN(A199/2),2*$C$195+2)/(2*$C$195+2))-(POWER(TAN($E$195/2),2*$C$195-2)/(2*$C$195-2))+(POWER(TAN($E$195/2),2*$C$195+2)/(2*$C$195+2))))</f>
        <v>0.99645408209712338</v>
      </c>
      <c r="J199" s="77">
        <f>-$D$195*SIN(A199)*($C$195+$G$195)/($C$195+B199)*F199</f>
        <v>-0.78173554316183347</v>
      </c>
      <c r="K199" s="77">
        <f>-$D$195*COS(A199)*($C$195+$G$195)/($C$195+B199)*F199</f>
        <v>1.2269415754077644</v>
      </c>
      <c r="L199" s="91">
        <f>SQRT(J199*J199+K199*K199)</f>
        <v>1.4548182322567358</v>
      </c>
      <c r="M199" s="93"/>
      <c r="N199" s="75">
        <f>-(-$I$192+0.5*$K$195*((POWER(TAN(A199/2),2*$C$195-2)/(2*$C$195-2))-(POWER(TAN(A199/2),2*$C$195+2)/(2*$C$195+2))-(POWER(TAN($E$195/2),2*$C$195-2)/(2*$C$195-2))+(POWER(TAN($E$195/2),2*$C$195+2)/(2*$C$195+2))))-$D$192</f>
        <v>-0.14622009667259361</v>
      </c>
      <c r="O199" s="75">
        <f t="shared" ref="O199:O208" si="191">-(-$I$192+0.5*$K$195*((POWER(TAN((A199+$M$9)/2),2*$C$195-2)/(2*$C$195-2))-(POWER(TAN((A199+$M$9)/2),2*$C$195+2)/(2*$C$195+2))-(POWER(TAN($E$195/2),2*$C$195-2)/(2*$C$195-2))+(POWER(TAN($E$195/2),2*$C$195+2)/(2*$C$195+2))))-$D$192</f>
        <v>-0.16358512757409061</v>
      </c>
      <c r="P199" s="75">
        <f t="shared" ref="P199:P208" si="192">A199-N199/(O199-N199)*$M$9</f>
        <v>2.5490487605452237</v>
      </c>
      <c r="AF199" s="7"/>
      <c r="AG199" s="7"/>
      <c r="AH199" s="7"/>
      <c r="AI199" s="7"/>
      <c r="AJ199" s="7"/>
      <c r="AK199" s="7"/>
      <c r="AL199" s="7"/>
      <c r="AM199" s="7"/>
      <c r="AN199" s="7"/>
      <c r="AR199" s="92"/>
      <c r="AS199" s="7"/>
      <c r="AT199" s="83"/>
      <c r="AU199" s="83"/>
      <c r="AV199" s="83"/>
      <c r="AW199" s="83"/>
      <c r="AX199" s="83"/>
      <c r="AY199" s="83"/>
      <c r="AZ199" s="7"/>
    </row>
    <row r="200" spans="1:52" s="18" customFormat="1">
      <c r="A200" s="19">
        <f t="shared" ref="A200:A208" si="193">$P199</f>
        <v>2.5490487605452237</v>
      </c>
      <c r="B200" s="26">
        <f t="shared" ref="B200:B208" si="194">COS(A200)</f>
        <v>-0.82952266902031602</v>
      </c>
      <c r="C200" s="26">
        <f t="shared" ref="C200:C208" si="195">($C$195+B200)</f>
        <v>0.3475708186063734</v>
      </c>
      <c r="D200" s="26">
        <f t="shared" ref="D200:D208" si="196">POWER(TAN(A200/2),$C$195)</f>
        <v>4.0420171679752688</v>
      </c>
      <c r="E200" s="26">
        <f t="shared" ref="E200:E208" si="197">SIN(A200)</f>
        <v>0.5584730446327838</v>
      </c>
      <c r="F200" s="77">
        <f t="shared" ref="F200:F208" si="198">(C200*$H$195*D200/E200/$I$195/$J$195)</f>
        <v>0.83164631738105632</v>
      </c>
      <c r="G200" s="77">
        <f t="shared" ref="G200:G208" si="199">$D$195*($C$195+$G$195)/9.81/SIN($C$192)/(1-$C$195*$C$192)*(F200-1)</f>
        <v>-0.17222784187386647</v>
      </c>
      <c r="H200" s="75">
        <f t="shared" ref="H200:H208" si="200">-(-$H$192+$K$195*((POWER(TAN(A200/2),2*$C$195-1)/(2*$C$195-1))+(POWER(TAN(A200/2),2*$C$195+1)/(2*$C$195+1))-(POWER(TAN($E$195/2),2*$C$195-1)/(2*$C$195-1))-(POWER(TAN($E$195/2),2*$C$195+1)/(2*$C$195+1))))</f>
        <v>0.71238320570022173</v>
      </c>
      <c r="I200" s="75">
        <f t="shared" ref="I200:I208" si="201">-(-$I$192+0.5*$K$195*((POWER(TAN(A200/2),2*$C$195-2)/(2*$C$195-2))-(POWER(TAN(A200/2),2*$C$195+2)/(2*$C$195+2))-(POWER(TAN($E$195/2),2*$C$195-2)/(2*$C$195-2))+(POWER(TAN($E$195/2),2*$C$195+2)/(2*$C$195+2))))</f>
        <v>1.1244080524871625</v>
      </c>
      <c r="J200" s="77">
        <f t="shared" ref="J200:J208" si="202">-$D$195*SIN(A200)*($C$195+$G$195)/($C$195+B200)*F200</f>
        <v>-0.74043888852816708</v>
      </c>
      <c r="K200" s="77">
        <f t="shared" ref="K200:K208" si="203">-$D$195*COS(A200)*($C$195+$G$195)/($C$195+B200)*F200</f>
        <v>1.0998039188483792</v>
      </c>
      <c r="L200" s="91">
        <f t="shared" ref="L200:L208" si="204">SQRT(J200*J200+K200*K200)</f>
        <v>1.3258274426029504</v>
      </c>
      <c r="M200" s="93"/>
      <c r="N200" s="75">
        <f t="shared" ref="N200:N208" si="205">-(-$I$192+0.5*$K$195*((POWER(TAN(A200/2),2*$C$195-2)/(2*$C$195-2))-(POWER(TAN(A200/2),2*$C$195+2)/(2*$C$195+2))-(POWER(TAN($E$195/2),2*$C$195-2)/(2*$C$195-2))+(POWER(TAN($E$195/2),2*$C$195+2)/(2*$C$195+2))))-$D$192</f>
        <v>-1.8266126282554529E-2</v>
      </c>
      <c r="O200" s="75">
        <f t="shared" si="191"/>
        <v>-3.1907026133693561E-2</v>
      </c>
      <c r="P200" s="75">
        <f t="shared" si="192"/>
        <v>2.5450315491115449</v>
      </c>
      <c r="AF200" s="7"/>
      <c r="AG200" s="7"/>
      <c r="AH200" s="7"/>
      <c r="AI200" s="7"/>
      <c r="AJ200" s="7"/>
      <c r="AK200" s="7"/>
      <c r="AL200" s="7"/>
      <c r="AM200" s="7"/>
      <c r="AN200" s="7"/>
      <c r="AR200" s="92"/>
      <c r="AS200" s="7"/>
      <c r="AT200" s="83"/>
      <c r="AU200" s="83"/>
      <c r="AV200" s="83"/>
      <c r="AW200" s="83"/>
      <c r="AX200" s="83"/>
      <c r="AY200" s="83"/>
      <c r="AZ200" s="7"/>
    </row>
    <row r="201" spans="1:52" s="18" customFormat="1">
      <c r="A201" s="19">
        <f t="shared" si="193"/>
        <v>2.5450315491115449</v>
      </c>
      <c r="B201" s="26">
        <f t="shared" si="194"/>
        <v>-0.82727247734997067</v>
      </c>
      <c r="C201" s="26">
        <f t="shared" si="195"/>
        <v>0.34982101027671875</v>
      </c>
      <c r="D201" s="26">
        <f t="shared" si="196"/>
        <v>4.0080383394351795</v>
      </c>
      <c r="E201" s="26">
        <f t="shared" si="197"/>
        <v>0.56180089731081984</v>
      </c>
      <c r="F201" s="77">
        <f t="shared" si="198"/>
        <v>0.8250775166642248</v>
      </c>
      <c r="G201" s="77">
        <f t="shared" si="199"/>
        <v>-0.17894780400098004</v>
      </c>
      <c r="H201" s="75">
        <f t="shared" si="200"/>
        <v>0.70043038742543473</v>
      </c>
      <c r="I201" s="75">
        <f t="shared" si="201"/>
        <v>1.1420857529453614</v>
      </c>
      <c r="J201" s="77">
        <f t="shared" si="202"/>
        <v>-0.73421446023106607</v>
      </c>
      <c r="K201" s="77">
        <f t="shared" si="203"/>
        <v>1.081157787979609</v>
      </c>
      <c r="L201" s="91">
        <f t="shared" si="204"/>
        <v>1.3068944242444975</v>
      </c>
      <c r="M201" s="93"/>
      <c r="N201" s="75">
        <f t="shared" si="205"/>
        <v>-5.8842582435558732E-4</v>
      </c>
      <c r="O201" s="75">
        <f t="shared" si="191"/>
        <v>-1.3727124023022563E-2</v>
      </c>
      <c r="P201" s="75">
        <f t="shared" si="192"/>
        <v>2.5448971920050512</v>
      </c>
      <c r="AF201" s="7"/>
      <c r="AG201" s="7"/>
      <c r="AH201" s="7"/>
      <c r="AI201" s="7"/>
      <c r="AJ201" s="7"/>
      <c r="AK201" s="7"/>
      <c r="AL201" s="7"/>
      <c r="AM201" s="7"/>
      <c r="AN201" s="7"/>
      <c r="AR201" s="92"/>
      <c r="AS201" s="7"/>
      <c r="AT201" s="83"/>
      <c r="AU201" s="83"/>
      <c r="AV201" s="83"/>
      <c r="AW201" s="83"/>
      <c r="AX201" s="83"/>
      <c r="AY201" s="83"/>
      <c r="AZ201" s="7"/>
    </row>
    <row r="202" spans="1:52" s="18" customFormat="1">
      <c r="A202" s="19">
        <f t="shared" si="193"/>
        <v>2.5448971920050512</v>
      </c>
      <c r="B202" s="26">
        <f t="shared" si="194"/>
        <v>-0.82719698794031749</v>
      </c>
      <c r="C202" s="26">
        <f t="shared" si="195"/>
        <v>0.34989649968637193</v>
      </c>
      <c r="D202" s="26">
        <f t="shared" si="196"/>
        <v>4.00691031901885</v>
      </c>
      <c r="E202" s="26">
        <f t="shared" si="197"/>
        <v>0.56191204217605639</v>
      </c>
      <c r="F202" s="77">
        <f t="shared" si="198"/>
        <v>0.82486011657635627</v>
      </c>
      <c r="G202" s="77">
        <f t="shared" si="199"/>
        <v>-0.17917020690523688</v>
      </c>
      <c r="H202" s="75">
        <f t="shared" si="200"/>
        <v>0.70003652549775275</v>
      </c>
      <c r="I202" s="75">
        <f t="shared" si="201"/>
        <v>1.1426656453076758</v>
      </c>
      <c r="J202" s="77">
        <f t="shared" si="202"/>
        <v>-0.73400782326031733</v>
      </c>
      <c r="K202" s="77">
        <f t="shared" si="203"/>
        <v>1.0805411077759521</v>
      </c>
      <c r="L202" s="91">
        <f t="shared" si="204"/>
        <v>1.3062681846393684</v>
      </c>
      <c r="M202" s="93"/>
      <c r="N202" s="75">
        <f t="shared" si="205"/>
        <v>-8.5334620412158557E-6</v>
      </c>
      <c r="O202" s="75">
        <f t="shared" si="191"/>
        <v>-1.3130811292172639E-2</v>
      </c>
      <c r="P202" s="75">
        <f t="shared" si="192"/>
        <v>2.5448952410948165</v>
      </c>
      <c r="AF202" s="7"/>
      <c r="AG202" s="7"/>
      <c r="AH202" s="7"/>
      <c r="AI202" s="7"/>
      <c r="AJ202" s="7"/>
      <c r="AK202" s="7"/>
      <c r="AL202" s="7"/>
      <c r="AM202" s="7"/>
      <c r="AN202" s="7"/>
      <c r="AR202" s="92"/>
      <c r="AS202" s="7"/>
      <c r="AT202" s="83"/>
      <c r="AU202" s="83"/>
      <c r="AV202" s="83"/>
      <c r="AW202" s="83"/>
      <c r="AX202" s="83"/>
      <c r="AY202" s="83"/>
      <c r="AZ202" s="7"/>
    </row>
    <row r="203" spans="1:52" s="18" customFormat="1">
      <c r="A203" s="19">
        <f t="shared" si="193"/>
        <v>2.5448952410948165</v>
      </c>
      <c r="B203" s="26">
        <f t="shared" si="194"/>
        <v>-0.82719589169878927</v>
      </c>
      <c r="C203" s="26">
        <f t="shared" si="195"/>
        <v>0.34989759592790015</v>
      </c>
      <c r="D203" s="26">
        <f t="shared" si="196"/>
        <v>4.0068939437659532</v>
      </c>
      <c r="E203" s="26">
        <f t="shared" si="197"/>
        <v>0.56191365596205689</v>
      </c>
      <c r="F203" s="77">
        <f t="shared" si="198"/>
        <v>0.82485696093826399</v>
      </c>
      <c r="G203" s="77">
        <f t="shared" si="199"/>
        <v>-0.17917343516095374</v>
      </c>
      <c r="H203" s="75">
        <f t="shared" si="200"/>
        <v>0.70003080927083672</v>
      </c>
      <c r="I203" s="75">
        <f t="shared" si="201"/>
        <v>1.14267406021145</v>
      </c>
      <c r="J203" s="77">
        <f t="shared" si="202"/>
        <v>-0.73400482355162022</v>
      </c>
      <c r="K203" s="77">
        <f t="shared" si="203"/>
        <v>1.0805321566521844</v>
      </c>
      <c r="L203" s="91">
        <f t="shared" si="204"/>
        <v>1.3062590947267949</v>
      </c>
      <c r="M203" s="93"/>
      <c r="N203" s="75">
        <f t="shared" si="205"/>
        <v>-1.1855826698159433E-7</v>
      </c>
      <c r="O203" s="75">
        <f t="shared" si="191"/>
        <v>-1.3122158135289164E-2</v>
      </c>
      <c r="P203" s="75">
        <f t="shared" si="192"/>
        <v>2.5448952139896703</v>
      </c>
      <c r="AF203" s="7"/>
      <c r="AG203" s="7"/>
      <c r="AH203" s="7"/>
      <c r="AI203" s="7"/>
      <c r="AJ203" s="7"/>
      <c r="AK203" s="7"/>
      <c r="AL203" s="7"/>
      <c r="AM203" s="7"/>
      <c r="AN203" s="7"/>
      <c r="AR203" s="92"/>
      <c r="AS203" s="7"/>
      <c r="AT203" s="83"/>
      <c r="AU203" s="83"/>
      <c r="AV203" s="83"/>
      <c r="AW203" s="83"/>
      <c r="AX203" s="83"/>
      <c r="AY203" s="83"/>
      <c r="AZ203" s="7"/>
    </row>
    <row r="204" spans="1:52" s="18" customFormat="1">
      <c r="A204" s="19">
        <f t="shared" si="193"/>
        <v>2.5448952139896703</v>
      </c>
      <c r="B204" s="26">
        <f t="shared" si="194"/>
        <v>-0.82719587646803716</v>
      </c>
      <c r="C204" s="26">
        <f t="shared" si="195"/>
        <v>0.34989761115865226</v>
      </c>
      <c r="D204" s="26">
        <f t="shared" si="196"/>
        <v>4.0068937162557123</v>
      </c>
      <c r="E204" s="26">
        <f t="shared" si="197"/>
        <v>0.56191367838332229</v>
      </c>
      <c r="F204" s="77">
        <f t="shared" si="198"/>
        <v>0.82485691709534192</v>
      </c>
      <c r="G204" s="77">
        <f t="shared" si="199"/>
        <v>-0.17917348001279024</v>
      </c>
      <c r="H204" s="75">
        <f t="shared" si="200"/>
        <v>0.70003072985248604</v>
      </c>
      <c r="I204" s="75">
        <f t="shared" si="201"/>
        <v>1.1426741771235958</v>
      </c>
      <c r="J204" s="77">
        <f t="shared" si="202"/>
        <v>-0.73400478187504559</v>
      </c>
      <c r="K204" s="77">
        <f t="shared" si="203"/>
        <v>1.080532032289605</v>
      </c>
      <c r="L204" s="91">
        <f t="shared" si="204"/>
        <v>1.3062589684359442</v>
      </c>
      <c r="M204" s="93"/>
      <c r="N204" s="75">
        <f t="shared" si="205"/>
        <v>-1.6461212393181768E-9</v>
      </c>
      <c r="O204" s="75">
        <f t="shared" si="191"/>
        <v>-1.312203791298816E-2</v>
      </c>
      <c r="P204" s="75">
        <f t="shared" si="192"/>
        <v>2.5448952136133292</v>
      </c>
      <c r="AF204" s="7"/>
      <c r="AG204" s="7"/>
      <c r="AH204" s="7"/>
      <c r="AI204" s="7"/>
      <c r="AJ204" s="7"/>
      <c r="AK204" s="7"/>
      <c r="AL204" s="7"/>
      <c r="AM204" s="7"/>
      <c r="AN204" s="7"/>
      <c r="AR204" s="92"/>
      <c r="AS204" s="7"/>
      <c r="AT204" s="83"/>
      <c r="AU204" s="83"/>
      <c r="AV204" s="83"/>
      <c r="AW204" s="83"/>
      <c r="AX204" s="83"/>
      <c r="AY204" s="83"/>
      <c r="AZ204" s="7"/>
    </row>
    <row r="205" spans="1:52" s="18" customFormat="1">
      <c r="A205" s="19">
        <f t="shared" si="193"/>
        <v>2.5448952136133292</v>
      </c>
      <c r="B205" s="26">
        <f t="shared" si="194"/>
        <v>-0.82719587625656599</v>
      </c>
      <c r="C205" s="26">
        <f t="shared" si="195"/>
        <v>0.34989761137012343</v>
      </c>
      <c r="D205" s="26">
        <f t="shared" si="196"/>
        <v>4.0068937130968489</v>
      </c>
      <c r="E205" s="26">
        <f t="shared" si="197"/>
        <v>0.56191367869463016</v>
      </c>
      <c r="F205" s="77">
        <f t="shared" si="198"/>
        <v>0.8248569164866052</v>
      </c>
      <c r="G205" s="77">
        <f t="shared" si="199"/>
        <v>-0.17917348063553523</v>
      </c>
      <c r="H205" s="75">
        <f t="shared" si="200"/>
        <v>0.7000307287498031</v>
      </c>
      <c r="I205" s="75">
        <f t="shared" si="201"/>
        <v>1.1426741787468611</v>
      </c>
      <c r="J205" s="77">
        <f t="shared" si="202"/>
        <v>-0.73400478129638758</v>
      </c>
      <c r="K205" s="77">
        <f t="shared" si="203"/>
        <v>1.0805320305628943</v>
      </c>
      <c r="L205" s="91">
        <f t="shared" si="204"/>
        <v>1.3062589666824604</v>
      </c>
      <c r="M205" s="93"/>
      <c r="N205" s="75">
        <f t="shared" si="205"/>
        <v>-2.2855939363353173E-11</v>
      </c>
      <c r="O205" s="75">
        <f t="shared" si="191"/>
        <v>-1.3122036243762958E-2</v>
      </c>
      <c r="P205" s="75">
        <f t="shared" si="192"/>
        <v>2.5448952136081036</v>
      </c>
      <c r="AF205" s="7"/>
      <c r="AG205" s="7"/>
      <c r="AH205" s="7"/>
      <c r="AI205" s="7"/>
      <c r="AJ205" s="7"/>
      <c r="AK205" s="7"/>
      <c r="AL205" s="7"/>
      <c r="AM205" s="7"/>
      <c r="AN205" s="7"/>
      <c r="AR205" s="92"/>
      <c r="AS205" s="7"/>
      <c r="AT205" s="83"/>
      <c r="AU205" s="83"/>
      <c r="AV205" s="83"/>
      <c r="AW205" s="83"/>
      <c r="AX205" s="83"/>
      <c r="AY205" s="83"/>
      <c r="AZ205" s="7"/>
    </row>
    <row r="206" spans="1:52" s="18" customFormat="1">
      <c r="A206" s="19">
        <f>$P205</f>
        <v>2.5448952136081036</v>
      </c>
      <c r="B206" s="26">
        <f t="shared" si="194"/>
        <v>-0.82719587625362967</v>
      </c>
      <c r="C206" s="26">
        <f t="shared" si="195"/>
        <v>0.34989761137305975</v>
      </c>
      <c r="D206" s="26">
        <f t="shared" si="196"/>
        <v>4.0068937130529871</v>
      </c>
      <c r="E206" s="26">
        <f t="shared" si="197"/>
        <v>0.5619136786989527</v>
      </c>
      <c r="F206" s="77">
        <f t="shared" si="198"/>
        <v>0.82485691647815262</v>
      </c>
      <c r="G206" s="77">
        <f t="shared" si="199"/>
        <v>-0.17917348064418231</v>
      </c>
      <c r="H206" s="75">
        <f t="shared" si="200"/>
        <v>0.70003072873449179</v>
      </c>
      <c r="I206" s="75">
        <f t="shared" si="201"/>
        <v>1.1426741787694008</v>
      </c>
      <c r="J206" s="77">
        <f t="shared" si="202"/>
        <v>-0.73400478128835278</v>
      </c>
      <c r="K206" s="77">
        <f t="shared" si="203"/>
        <v>1.0805320305389186</v>
      </c>
      <c r="L206" s="91">
        <f t="shared" si="204"/>
        <v>1.3062589666581128</v>
      </c>
      <c r="M206" s="93"/>
      <c r="N206" s="75">
        <f t="shared" si="205"/>
        <v>-3.1619151741324458E-13</v>
      </c>
      <c r="O206" s="75">
        <f t="shared" si="191"/>
        <v>-1.3122036220585054E-2</v>
      </c>
      <c r="P206" s="75">
        <f t="shared" si="192"/>
        <v>2.5448952136080312</v>
      </c>
      <c r="AF206" s="7"/>
      <c r="AG206" s="7"/>
      <c r="AH206" s="7"/>
      <c r="AI206" s="7"/>
      <c r="AJ206" s="7"/>
      <c r="AK206" s="7"/>
      <c r="AL206" s="7"/>
      <c r="AM206" s="7"/>
      <c r="AN206" s="7"/>
      <c r="AR206" s="92"/>
      <c r="AS206" s="7"/>
      <c r="AT206" s="83"/>
      <c r="AU206" s="83"/>
      <c r="AV206" s="83"/>
      <c r="AW206" s="83"/>
      <c r="AX206" s="83"/>
      <c r="AY206" s="83"/>
      <c r="AZ206" s="7"/>
    </row>
    <row r="207" spans="1:52" s="18" customFormat="1">
      <c r="A207" s="19">
        <f t="shared" si="193"/>
        <v>2.5448952136080312</v>
      </c>
      <c r="B207" s="26">
        <f t="shared" si="194"/>
        <v>-0.82719587625358892</v>
      </c>
      <c r="C207" s="26">
        <f t="shared" si="195"/>
        <v>0.34989761137310049</v>
      </c>
      <c r="D207" s="26">
        <f t="shared" si="196"/>
        <v>4.0068937130523796</v>
      </c>
      <c r="E207" s="26">
        <f t="shared" si="197"/>
        <v>0.56191367869901265</v>
      </c>
      <c r="F207" s="77">
        <f t="shared" si="198"/>
        <v>0.82485691647803572</v>
      </c>
      <c r="G207" s="77">
        <f t="shared" si="199"/>
        <v>-0.17917348064430191</v>
      </c>
      <c r="H207" s="75">
        <f t="shared" si="200"/>
        <v>0.70003072873427996</v>
      </c>
      <c r="I207" s="75">
        <f t="shared" si="201"/>
        <v>1.1426741787697128</v>
      </c>
      <c r="J207" s="77">
        <f t="shared" si="202"/>
        <v>-0.73400478128824143</v>
      </c>
      <c r="K207" s="77">
        <f t="shared" si="203"/>
        <v>1.0805320305385859</v>
      </c>
      <c r="L207" s="91">
        <f t="shared" si="204"/>
        <v>1.3062589666577753</v>
      </c>
      <c r="M207" s="93"/>
      <c r="N207" s="75">
        <f t="shared" si="205"/>
        <v>-4.2188474935755949E-15</v>
      </c>
      <c r="O207" s="75">
        <f t="shared" si="191"/>
        <v>-1.3122036220263755E-2</v>
      </c>
      <c r="P207" s="75">
        <f t="shared" si="192"/>
        <v>2.5448952136080303</v>
      </c>
      <c r="AF207" s="7"/>
      <c r="AG207" s="7"/>
      <c r="AH207" s="7"/>
      <c r="AI207" s="7"/>
      <c r="AJ207" s="7"/>
      <c r="AK207" s="7"/>
      <c r="AL207" s="7"/>
      <c r="AM207" s="7"/>
      <c r="AN207" s="7"/>
      <c r="AR207" s="92"/>
      <c r="AS207" s="7"/>
      <c r="AT207" s="83"/>
      <c r="AU207" s="83"/>
      <c r="AV207" s="83"/>
      <c r="AW207" s="83"/>
      <c r="AX207" s="83"/>
      <c r="AY207" s="83"/>
      <c r="AZ207" s="7"/>
    </row>
    <row r="208" spans="1:52" s="18" customFormat="1">
      <c r="A208" s="19">
        <f t="shared" si="193"/>
        <v>2.5448952136080303</v>
      </c>
      <c r="B208" s="26">
        <f t="shared" si="194"/>
        <v>-0.82719587625358848</v>
      </c>
      <c r="C208" s="26">
        <f t="shared" si="195"/>
        <v>0.34989761137310094</v>
      </c>
      <c r="D208" s="26">
        <f t="shared" si="196"/>
        <v>4.0068937130523725</v>
      </c>
      <c r="E208" s="26">
        <f t="shared" si="197"/>
        <v>0.56191367869901332</v>
      </c>
      <c r="F208" s="77">
        <f t="shared" si="198"/>
        <v>0.82485691647803405</v>
      </c>
      <c r="G208" s="77">
        <f t="shared" si="199"/>
        <v>-0.17917348064430363</v>
      </c>
      <c r="H208" s="75">
        <f t="shared" si="200"/>
        <v>0.7000307287342773</v>
      </c>
      <c r="I208" s="75">
        <f t="shared" si="201"/>
        <v>1.1426741787697163</v>
      </c>
      <c r="J208" s="77">
        <f t="shared" si="202"/>
        <v>-0.73400478128823998</v>
      </c>
      <c r="K208" s="77">
        <f t="shared" si="203"/>
        <v>1.0805320305385819</v>
      </c>
      <c r="L208" s="91">
        <f t="shared" si="204"/>
        <v>1.3062589666577711</v>
      </c>
      <c r="M208" s="93"/>
      <c r="N208" s="75">
        <f t="shared" si="205"/>
        <v>0</v>
      </c>
      <c r="O208" s="75">
        <f t="shared" si="191"/>
        <v>-1.3122036220260203E-2</v>
      </c>
      <c r="P208" s="75">
        <f t="shared" si="192"/>
        <v>2.5448952136080303</v>
      </c>
      <c r="AF208" s="7"/>
      <c r="AG208" s="7"/>
      <c r="AH208" s="7"/>
      <c r="AI208" s="7"/>
      <c r="AJ208" s="7"/>
      <c r="AK208" s="7"/>
      <c r="AL208" s="7"/>
      <c r="AM208" s="7"/>
      <c r="AN208" s="7"/>
      <c r="AR208" s="92"/>
      <c r="AS208" s="7"/>
      <c r="AT208" s="83"/>
      <c r="AU208" s="83"/>
      <c r="AV208" s="83"/>
      <c r="AW208" s="83"/>
      <c r="AX208" s="83"/>
      <c r="AY208" s="83"/>
      <c r="AZ208" s="7"/>
    </row>
    <row r="209" spans="1:60" s="18" customFormat="1">
      <c r="A209" s="88" t="s">
        <v>60</v>
      </c>
      <c r="B209" s="8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AF209" s="7"/>
      <c r="AG209" s="7"/>
      <c r="AH209" s="7"/>
      <c r="AI209" s="7"/>
      <c r="AJ209" s="7"/>
      <c r="AK209" s="7"/>
      <c r="AL209" s="7"/>
      <c r="AM209" s="7"/>
      <c r="AN209" s="7"/>
      <c r="AR209" s="92"/>
      <c r="AS209" s="7"/>
      <c r="AT209" s="83"/>
      <c r="AU209" s="83"/>
      <c r="AV209" s="83"/>
      <c r="AW209" s="83"/>
      <c r="AX209" s="83"/>
      <c r="AY209" s="83"/>
      <c r="AZ209" s="7"/>
    </row>
    <row r="210" spans="1:60" s="18" customFormat="1">
      <c r="A210" s="26" t="s">
        <v>11</v>
      </c>
      <c r="B210" s="26" t="s">
        <v>13</v>
      </c>
      <c r="C210" s="26" t="s">
        <v>22</v>
      </c>
      <c r="D210" s="26" t="s">
        <v>18</v>
      </c>
      <c r="E210" s="26" t="s">
        <v>19</v>
      </c>
      <c r="F210" s="26" t="s">
        <v>20</v>
      </c>
      <c r="G210" s="26" t="s">
        <v>2</v>
      </c>
      <c r="H210" s="26" t="s">
        <v>1</v>
      </c>
      <c r="I210" s="26" t="s">
        <v>0</v>
      </c>
      <c r="J210" s="76" t="s">
        <v>3</v>
      </c>
      <c r="K210" s="76" t="s">
        <v>4</v>
      </c>
      <c r="L210" s="44" t="s">
        <v>7</v>
      </c>
      <c r="M210" s="28"/>
      <c r="N210" s="28"/>
      <c r="O210" s="28"/>
      <c r="P210" s="31"/>
      <c r="AF210" s="7"/>
      <c r="AG210" s="7"/>
      <c r="AH210" s="7"/>
      <c r="AI210" s="7"/>
      <c r="AJ210" s="7"/>
      <c r="AK210" s="7"/>
      <c r="AL210" s="7"/>
      <c r="AM210" s="7"/>
      <c r="AN210" s="7"/>
      <c r="AR210" s="92"/>
      <c r="AS210" s="7"/>
      <c r="AT210" s="83"/>
      <c r="AU210" s="83"/>
      <c r="AV210" s="83"/>
      <c r="AW210" s="83"/>
      <c r="AX210" s="83"/>
      <c r="AY210" s="83"/>
      <c r="AZ210" s="7"/>
    </row>
    <row r="211" spans="1:60" s="18" customFormat="1">
      <c r="A211" s="19">
        <f>$E195</f>
        <v>2.6303479426794416</v>
      </c>
      <c r="B211" s="26">
        <f t="shared" ref="B211:B216" si="206">COS(A211)</f>
        <v>-0.87213619218353722</v>
      </c>
      <c r="C211" s="26">
        <f t="shared" ref="C211:C216" si="207">($C$195+B211)</f>
        <v>0.3049572954431522</v>
      </c>
      <c r="D211" s="26">
        <f t="shared" ref="D211:D216" si="208">POWER(TAN(A211/2),$C$195)</f>
        <v>4.8529306441610567</v>
      </c>
      <c r="E211" s="26">
        <f t="shared" ref="E211:E216" si="209">SIN(A211)</f>
        <v>0.48926318304528116</v>
      </c>
      <c r="F211" s="77">
        <f t="shared" ref="F211:F216" si="210">(C211*$H$195*D211/E211/$I$195/$J$195)</f>
        <v>1</v>
      </c>
      <c r="G211" s="77">
        <f t="shared" ref="G211:G216" si="211">$D$195*($C$195+$G$195)/9.81/SIN($C$192)/(1-$C$195*$C$192)*(F211-1)</f>
        <v>0</v>
      </c>
      <c r="H211" s="108">
        <f t="shared" ref="H211:H216" si="212">-(-$H$192+$K$195*((POWER(TAN(A211/2),2*$C$195-1)/(2*$C$195-1))+(POWER(TAN(A211/2),2*$C$195+1)/(2*$C$195+1))-(POWER(TAN($E$195/2),2*$C$195-1)/(2*$C$195-1))-(POWER(TAN($E$195/2),2*$C$195+1)/(2*$C$195+1))))</f>
        <v>1.0515556822527083</v>
      </c>
      <c r="I211" s="108">
        <f t="shared" ref="I211:I216" si="213">-(-$I$192+0.5*$K$195*((POWER(TAN(A211/2),2*$C$195-2)/(2*$C$195-2))-(POWER(TAN(A211/2),2*$C$195+2)/(2*$C$195+2))-(POWER(TAN($E$195/2),2*$C$195-2)/(2*$C$195-2))+(POWER(TAN($E$195/2),2*$C$195+2)/(2*$C$195+2))))</f>
        <v>0.56716007517016964</v>
      </c>
      <c r="J211" s="77">
        <f t="shared" ref="J211:J216" si="214">-$D$195*SIN(A211)*($C$195+$G$195)/($C$195+B211)*F211</f>
        <v>-0.88898646961137284</v>
      </c>
      <c r="K211" s="77">
        <f t="shared" ref="K211:K216" si="215">-$D$195*COS(A211)*($C$195+$G$195)/($C$195+B211)*F211</f>
        <v>1.5846630226370277</v>
      </c>
      <c r="L211" s="91">
        <f t="shared" ref="L211:L216" si="216">SQRT(J211*J211+K211*K211)</f>
        <v>1.816990324262959</v>
      </c>
      <c r="M211" s="28"/>
      <c r="N211" s="28"/>
      <c r="O211" s="28"/>
      <c r="P211" s="31"/>
      <c r="AF211" s="7"/>
      <c r="AG211" s="7"/>
      <c r="AH211" s="7"/>
      <c r="AI211" s="7"/>
      <c r="AJ211" s="7"/>
      <c r="AK211" s="7"/>
      <c r="AL211" s="7"/>
      <c r="AM211" s="7"/>
      <c r="AN211" s="7"/>
      <c r="AR211" s="92"/>
      <c r="AS211" s="7"/>
      <c r="AT211" s="83"/>
      <c r="AU211" s="83"/>
      <c r="AV211" s="83"/>
      <c r="AW211" s="83"/>
      <c r="AX211" s="83"/>
      <c r="AY211" s="83"/>
      <c r="AZ211" s="7"/>
    </row>
    <row r="212" spans="1:60" s="18" customFormat="1">
      <c r="A212" s="20">
        <f>A211-$F$195</f>
        <v>2.6132773968651595</v>
      </c>
      <c r="B212" s="26">
        <f t="shared" si="206"/>
        <v>-0.86365753953071978</v>
      </c>
      <c r="C212" s="26">
        <f t="shared" si="207"/>
        <v>0.31343594809596964</v>
      </c>
      <c r="D212" s="26">
        <f t="shared" si="208"/>
        <v>4.6605065896336315</v>
      </c>
      <c r="E212" s="26">
        <f t="shared" si="209"/>
        <v>0.50407901603988947</v>
      </c>
      <c r="F212" s="77">
        <f t="shared" si="210"/>
        <v>0.95803800193638344</v>
      </c>
      <c r="G212" s="77">
        <f t="shared" si="211"/>
        <v>-4.2927628637443517E-2</v>
      </c>
      <c r="H212" s="108">
        <f t="shared" si="212"/>
        <v>0.96131116468951872</v>
      </c>
      <c r="I212" s="108">
        <f t="shared" si="213"/>
        <v>0.72494453934039249</v>
      </c>
      <c r="J212" s="77">
        <f t="shared" si="214"/>
        <v>-0.85373717522706916</v>
      </c>
      <c r="K212" s="77">
        <f t="shared" si="215"/>
        <v>1.4627400163472977</v>
      </c>
      <c r="L212" s="91">
        <f t="shared" si="216"/>
        <v>1.6936574387367678</v>
      </c>
      <c r="M212" s="28"/>
      <c r="N212" s="28"/>
      <c r="O212" s="28"/>
      <c r="P212" s="31"/>
      <c r="AF212" s="7"/>
      <c r="AG212" s="7"/>
      <c r="AH212" s="7"/>
      <c r="AI212" s="7"/>
      <c r="AJ212" s="7"/>
      <c r="AK212" s="7"/>
      <c r="AL212" s="7"/>
      <c r="AM212" s="7"/>
      <c r="AN212" s="7"/>
      <c r="AR212" s="92"/>
      <c r="AS212" s="7"/>
      <c r="AT212" s="83"/>
      <c r="AU212" s="83"/>
      <c r="AV212" s="83"/>
      <c r="AW212" s="83"/>
      <c r="AX212" s="83"/>
      <c r="AY212" s="83"/>
      <c r="AZ212" s="7"/>
    </row>
    <row r="213" spans="1:60" s="18" customFormat="1">
      <c r="A213" s="20">
        <f>A212-$F$195</f>
        <v>2.5962068510508773</v>
      </c>
      <c r="B213" s="26">
        <f t="shared" si="206"/>
        <v>-0.85492722012984479</v>
      </c>
      <c r="C213" s="26">
        <f t="shared" si="207"/>
        <v>0.32216626749684463</v>
      </c>
      <c r="D213" s="26">
        <f t="shared" si="208"/>
        <v>4.4809363734085164</v>
      </c>
      <c r="E213" s="26">
        <f t="shared" si="209"/>
        <v>0.51874796219460551</v>
      </c>
      <c r="F213" s="77">
        <f t="shared" si="210"/>
        <v>0.92000855019882255</v>
      </c>
      <c r="G213" s="77">
        <f t="shared" si="211"/>
        <v>-8.1832215092088004E-2</v>
      </c>
      <c r="H213" s="108">
        <f t="shared" si="212"/>
        <v>0.88272263934546225</v>
      </c>
      <c r="I213" s="108">
        <f t="shared" si="213"/>
        <v>0.85706172784072288</v>
      </c>
      <c r="J213" s="77">
        <f t="shared" si="214"/>
        <v>-0.82084251748837145</v>
      </c>
      <c r="K213" s="77">
        <f t="shared" si="215"/>
        <v>1.3527968547035085</v>
      </c>
      <c r="L213" s="91">
        <f t="shared" si="216"/>
        <v>1.5823532376218505</v>
      </c>
      <c r="M213" s="45"/>
      <c r="N213" s="28"/>
      <c r="O213" s="28"/>
      <c r="P213" s="31"/>
      <c r="AF213" s="7"/>
      <c r="AG213" s="7"/>
      <c r="AH213" s="7"/>
      <c r="AI213" s="7"/>
      <c r="AJ213" s="7"/>
      <c r="AK213" s="7"/>
      <c r="AL213" s="7"/>
      <c r="AM213" s="7"/>
      <c r="AN213" s="7"/>
      <c r="AR213" s="92"/>
      <c r="AS213" s="7"/>
      <c r="AT213" s="83"/>
      <c r="AU213" s="83"/>
      <c r="AV213" s="83"/>
      <c r="AW213" s="83"/>
      <c r="AX213" s="83"/>
      <c r="AY213" s="83"/>
      <c r="AZ213" s="7"/>
    </row>
    <row r="214" spans="1:60" s="18" customFormat="1">
      <c r="A214" s="20">
        <f>A213-$F$195</f>
        <v>2.5791363052365952</v>
      </c>
      <c r="B214" s="26">
        <f t="shared" si="206"/>
        <v>-0.84594777796506404</v>
      </c>
      <c r="C214" s="26">
        <f t="shared" si="207"/>
        <v>0.33114570966162538</v>
      </c>
      <c r="D214" s="26">
        <f t="shared" si="208"/>
        <v>4.3129849255398884</v>
      </c>
      <c r="E214" s="26">
        <f t="shared" si="209"/>
        <v>0.53326574703047525</v>
      </c>
      <c r="F214" s="77">
        <f t="shared" si="210"/>
        <v>0.88542709671765363</v>
      </c>
      <c r="G214" s="77">
        <f t="shared" si="211"/>
        <v>-0.11720945786618255</v>
      </c>
      <c r="H214" s="108">
        <f t="shared" si="212"/>
        <v>0.81397662718324471</v>
      </c>
      <c r="I214" s="108">
        <f t="shared" si="213"/>
        <v>0.96826519703478686</v>
      </c>
      <c r="J214" s="77">
        <f t="shared" si="214"/>
        <v>-0.79007624950420152</v>
      </c>
      <c r="K214" s="77">
        <f t="shared" si="215"/>
        <v>1.2533399180668825</v>
      </c>
      <c r="L214" s="91">
        <f t="shared" si="216"/>
        <v>1.4815807201264888</v>
      </c>
      <c r="M214" s="45"/>
      <c r="N214" s="28"/>
      <c r="O214" s="28"/>
      <c r="P214" s="31"/>
      <c r="AF214" s="7"/>
      <c r="AG214" s="7"/>
      <c r="AH214" s="7"/>
      <c r="AI214" s="7"/>
      <c r="AJ214" s="7"/>
      <c r="AK214" s="7"/>
      <c r="AL214" s="7"/>
      <c r="AM214" s="7"/>
      <c r="AN214" s="7"/>
      <c r="AR214" s="92"/>
      <c r="AS214" s="7"/>
      <c r="AT214" s="83"/>
      <c r="AU214" s="83"/>
      <c r="AV214" s="83"/>
      <c r="AW214" s="83"/>
      <c r="AX214" s="83"/>
      <c r="AY214" s="83"/>
      <c r="AZ214" s="7"/>
    </row>
    <row r="215" spans="1:60" s="18" customFormat="1">
      <c r="A215" s="20">
        <f>A214-$F$195</f>
        <v>2.5620657594223131</v>
      </c>
      <c r="B215" s="26">
        <f t="shared" si="206"/>
        <v>-0.8367218296140202</v>
      </c>
      <c r="C215" s="26">
        <f t="shared" si="207"/>
        <v>0.34037165801266922</v>
      </c>
      <c r="D215" s="26">
        <f t="shared" si="208"/>
        <v>4.1555686864714083</v>
      </c>
      <c r="E215" s="26">
        <f t="shared" si="209"/>
        <v>0.54762814011641747</v>
      </c>
      <c r="F215" s="77">
        <f t="shared" si="210"/>
        <v>0.85388134051788334</v>
      </c>
      <c r="G215" s="77">
        <f t="shared" si="211"/>
        <v>-0.14948114581531349</v>
      </c>
      <c r="H215" s="108">
        <f t="shared" si="212"/>
        <v>0.75358600853273394</v>
      </c>
      <c r="I215" s="108">
        <f t="shared" si="213"/>
        <v>1.0623229474010185</v>
      </c>
      <c r="J215" s="77">
        <f t="shared" si="214"/>
        <v>-0.76123987888815658</v>
      </c>
      <c r="K215" s="77">
        <f t="shared" si="215"/>
        <v>1.1630995151254435</v>
      </c>
      <c r="L215" s="91">
        <f t="shared" si="216"/>
        <v>1.390067133376909</v>
      </c>
      <c r="M215" s="45"/>
      <c r="N215" s="28"/>
      <c r="O215" s="28"/>
      <c r="P215" s="89"/>
      <c r="AF215" s="7"/>
      <c r="AG215" s="7"/>
      <c r="AH215" s="7"/>
      <c r="AI215" s="7"/>
      <c r="AJ215" s="7"/>
      <c r="AK215" s="7"/>
      <c r="AL215" s="7"/>
      <c r="AM215" s="7"/>
      <c r="AN215" s="7"/>
      <c r="AR215" s="92"/>
      <c r="AS215" s="7"/>
      <c r="AT215" s="83"/>
      <c r="AU215" s="83"/>
      <c r="AV215" s="83"/>
      <c r="AW215" s="83"/>
      <c r="AX215" s="83"/>
      <c r="AY215" s="83"/>
      <c r="AZ215" s="7"/>
    </row>
    <row r="216" spans="1:60" s="18" customFormat="1">
      <c r="A216" s="20">
        <f>A215-$F$195</f>
        <v>2.5449952136080309</v>
      </c>
      <c r="B216" s="26">
        <f t="shared" si="206"/>
        <v>-0.82725206348538571</v>
      </c>
      <c r="C216" s="26">
        <f t="shared" si="207"/>
        <v>0.3498414241413037</v>
      </c>
      <c r="D216" s="26">
        <f t="shared" si="208"/>
        <v>4.0077332245263211</v>
      </c>
      <c r="E216" s="26">
        <f t="shared" si="209"/>
        <v>0.5618309563019569</v>
      </c>
      <c r="F216" s="77">
        <f t="shared" si="210"/>
        <v>0.82501870851391934</v>
      </c>
      <c r="G216" s="77">
        <f t="shared" si="211"/>
        <v>-0.17900796544594605</v>
      </c>
      <c r="H216" s="108">
        <f t="shared" si="212"/>
        <v>0.70032383425117595</v>
      </c>
      <c r="I216" s="108">
        <f t="shared" si="213"/>
        <v>1.1422426502792233</v>
      </c>
      <c r="J216" s="77">
        <f t="shared" si="214"/>
        <v>-0.7341585676075072</v>
      </c>
      <c r="K216" s="77">
        <f t="shared" si="215"/>
        <v>1.0809909691988786</v>
      </c>
      <c r="L216" s="91">
        <f t="shared" si="216"/>
        <v>1.30672501999504</v>
      </c>
      <c r="M216" s="45"/>
      <c r="N216" s="28"/>
      <c r="O216" s="28"/>
      <c r="P216" s="28"/>
      <c r="W216"/>
      <c r="X216"/>
      <c r="Y216"/>
      <c r="Z216"/>
      <c r="AA216"/>
      <c r="AB216"/>
      <c r="AC216"/>
      <c r="AD216"/>
      <c r="AE216"/>
      <c r="AF216" s="7"/>
      <c r="AG216" s="7"/>
      <c r="AH216" s="7"/>
      <c r="AI216" s="7"/>
      <c r="AJ216" s="7"/>
      <c r="AK216" s="7"/>
      <c r="AL216" s="7"/>
      <c r="AM216" s="7"/>
      <c r="AN216" s="7"/>
      <c r="AR216" s="92"/>
      <c r="AS216" s="7"/>
      <c r="AT216" s="83"/>
      <c r="AU216" s="83"/>
      <c r="AV216" s="83"/>
      <c r="AW216" s="83"/>
      <c r="AX216" s="83"/>
      <c r="AY216" s="83"/>
      <c r="AZ216" s="7"/>
    </row>
    <row r="217" spans="1:60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18"/>
      <c r="R217" s="18"/>
      <c r="T217" s="18"/>
      <c r="U217" s="18"/>
      <c r="AI217" s="9"/>
      <c r="AJ217" s="10"/>
      <c r="AK217" s="10"/>
      <c r="AL217" s="10"/>
      <c r="AM217" s="7"/>
      <c r="AN217" s="7"/>
      <c r="AR217" s="28"/>
      <c r="AS217" s="7"/>
      <c r="AT217" s="83"/>
      <c r="AU217" s="83"/>
      <c r="AV217" s="83"/>
      <c r="AW217" s="83"/>
      <c r="AX217" s="83"/>
      <c r="AY217" s="83"/>
      <c r="AZ217" s="7"/>
      <c r="BA217" s="7"/>
      <c r="BB217" s="7"/>
      <c r="BC217" s="7"/>
      <c r="BD217" s="7"/>
      <c r="BE217" s="7"/>
      <c r="BF217" s="7"/>
      <c r="BG217" s="7"/>
      <c r="BH217" s="7"/>
    </row>
    <row r="218" spans="1:60">
      <c r="A218" s="88" t="s">
        <v>73</v>
      </c>
      <c r="B218" s="88"/>
      <c r="C218" s="23" t="str">
        <f>CONCATENATE("m",Stufengrün!Z52)</f>
        <v>m4</v>
      </c>
      <c r="D218" s="23" t="s">
        <v>30</v>
      </c>
      <c r="E218" s="28"/>
      <c r="F218" s="28"/>
      <c r="G218" s="28"/>
      <c r="H218" s="36" t="s">
        <v>57</v>
      </c>
      <c r="I218" s="36" t="s">
        <v>51</v>
      </c>
      <c r="J218" s="36" t="s">
        <v>58</v>
      </c>
      <c r="K218" s="36" t="s">
        <v>59</v>
      </c>
      <c r="L218" s="28"/>
      <c r="M218" s="28"/>
      <c r="N218" s="28"/>
      <c r="O218" s="28"/>
      <c r="P218" s="28"/>
      <c r="T218" s="18"/>
      <c r="U218" s="18"/>
      <c r="AI218" s="9"/>
      <c r="AJ218" s="10"/>
      <c r="AK218" s="10"/>
      <c r="AL218" s="10"/>
      <c r="AM218" s="10"/>
      <c r="AN218" s="10"/>
      <c r="AO218" s="10"/>
      <c r="AP218" s="7"/>
      <c r="AQ218" s="7"/>
      <c r="BA218" s="7"/>
      <c r="BB218" s="7"/>
      <c r="BC218" s="7"/>
      <c r="BD218" s="7"/>
      <c r="BE218" s="7"/>
      <c r="BF218" s="7"/>
      <c r="BG218" s="7"/>
      <c r="BH218" s="7"/>
    </row>
    <row r="219" spans="1:60">
      <c r="A219" s="88" t="s">
        <v>69</v>
      </c>
      <c r="B219" s="88"/>
      <c r="C219" s="90">
        <f>Stufengrün!AA52</f>
        <v>1.0323563876231049E-2</v>
      </c>
      <c r="D219" s="26"/>
      <c r="E219" s="28"/>
      <c r="F219" s="28"/>
      <c r="G219" s="28"/>
      <c r="H219" s="78">
        <f>H208</f>
        <v>0.7000307287342773</v>
      </c>
      <c r="I219" s="78">
        <f>I208</f>
        <v>1.1426741787697163</v>
      </c>
      <c r="J219" s="78">
        <f>J208</f>
        <v>-0.73400478128823998</v>
      </c>
      <c r="K219" s="78">
        <f>K208</f>
        <v>1.0805320305385819</v>
      </c>
      <c r="L219" s="28"/>
      <c r="M219" s="28"/>
      <c r="N219" s="28"/>
      <c r="O219" s="28"/>
      <c r="P219" s="28"/>
      <c r="T219" s="18"/>
      <c r="U219" s="18"/>
      <c r="AI219" s="9"/>
      <c r="AJ219" s="10"/>
      <c r="AK219" s="10"/>
      <c r="AL219" s="10"/>
      <c r="AM219" s="10"/>
      <c r="AN219" s="10"/>
      <c r="AO219" s="10"/>
      <c r="AP219" s="7"/>
      <c r="AQ219" s="7"/>
      <c r="BA219" s="7"/>
      <c r="BB219" s="15"/>
      <c r="BC219" s="15"/>
      <c r="BD219" s="15"/>
      <c r="BE219" s="15"/>
      <c r="BF219" s="15"/>
      <c r="BG219" s="15"/>
      <c r="BH219" s="7"/>
    </row>
    <row r="220" spans="1:60">
      <c r="A220" s="95"/>
      <c r="B220" s="95"/>
      <c r="C220" s="28"/>
      <c r="D220" s="28"/>
      <c r="E220" s="28"/>
      <c r="F220" s="28"/>
      <c r="G220" s="28"/>
      <c r="H220" s="37" t="s">
        <v>8</v>
      </c>
      <c r="I220" s="37" t="s">
        <v>8</v>
      </c>
      <c r="J220" s="37" t="s">
        <v>9</v>
      </c>
      <c r="K220" s="37" t="s">
        <v>9</v>
      </c>
      <c r="L220" s="28"/>
      <c r="M220" s="28"/>
      <c r="N220" s="28"/>
      <c r="O220" s="28"/>
      <c r="P220" s="28"/>
      <c r="T220" s="18"/>
      <c r="U220" s="18"/>
      <c r="AI220" s="9"/>
      <c r="AJ220" s="11"/>
      <c r="AK220" s="12"/>
      <c r="AL220" s="12"/>
      <c r="AM220" s="10"/>
      <c r="AN220" s="10"/>
      <c r="AO220" s="10"/>
      <c r="AP220" s="7"/>
      <c r="AQ220" s="7"/>
      <c r="BA220" s="7"/>
      <c r="BB220" s="16"/>
      <c r="BC220" s="16"/>
      <c r="BD220" s="16"/>
      <c r="BE220" s="16"/>
      <c r="BF220" s="16"/>
      <c r="BG220" s="16"/>
      <c r="BH220" s="7"/>
    </row>
    <row r="221" spans="1:60">
      <c r="A221" s="88" t="s">
        <v>68</v>
      </c>
      <c r="B221" s="88"/>
      <c r="C221" s="26" t="s">
        <v>15</v>
      </c>
      <c r="D221" s="26" t="s">
        <v>55</v>
      </c>
      <c r="E221" s="26" t="s">
        <v>12</v>
      </c>
      <c r="F221" s="26" t="s">
        <v>10</v>
      </c>
      <c r="G221" s="26" t="s">
        <v>14</v>
      </c>
      <c r="H221" s="26" t="s">
        <v>21</v>
      </c>
      <c r="I221" s="26" t="s">
        <v>16</v>
      </c>
      <c r="J221" s="26" t="s">
        <v>17</v>
      </c>
      <c r="K221" s="26" t="s">
        <v>23</v>
      </c>
      <c r="L221" s="28"/>
      <c r="M221" s="28"/>
      <c r="N221" s="28"/>
      <c r="O221" s="28"/>
      <c r="P221" s="28"/>
      <c r="T221" s="18"/>
      <c r="U221" s="18"/>
      <c r="AI221" s="9"/>
      <c r="AJ221" s="11"/>
      <c r="AK221" s="12"/>
      <c r="AL221" s="12"/>
      <c r="AM221" s="12"/>
      <c r="AN221" s="11"/>
      <c r="AO221" s="10"/>
      <c r="AP221" s="7"/>
      <c r="AQ221" s="7"/>
    </row>
    <row r="222" spans="1:60">
      <c r="A222" s="28"/>
      <c r="B222" s="28"/>
      <c r="C222" s="23">
        <f>Mü/TAN($C219)</f>
        <v>6.7803632591293521</v>
      </c>
      <c r="D222" s="42">
        <f>SQRT($J219*$J219+$K219*$K219)</f>
        <v>1.3062589666577711</v>
      </c>
      <c r="E222" s="20">
        <f>ATAN($J219/$K219)+PI()</f>
        <v>2.5448952136080303</v>
      </c>
      <c r="F222" s="23">
        <f>($E222-0.0001)/100</f>
        <v>2.5447952136080299E-2</v>
      </c>
      <c r="G222" s="23">
        <f>COS($E222)</f>
        <v>-0.82719587625358848</v>
      </c>
      <c r="H222" s="23">
        <f>SIN($E222)</f>
        <v>0.56191367869901332</v>
      </c>
      <c r="I222" s="23">
        <f>$C222+$G222</f>
        <v>5.9531673828757636</v>
      </c>
      <c r="J222" s="23">
        <f>POWER(TAN($E222/2),$C222)</f>
        <v>2967.0791732025764</v>
      </c>
      <c r="K222" s="23">
        <f>-$D222*$D222*SIN($E222)*SIN($E222)/(2*9.81*SIN($C219)*POWER(TAN($E222/2),2*$C222))</f>
        <v>-3.0214719685146625E-7</v>
      </c>
      <c r="L222" s="28"/>
      <c r="M222" s="28"/>
      <c r="N222" s="28"/>
      <c r="O222" s="28"/>
      <c r="P222" s="28"/>
      <c r="T222" s="18"/>
      <c r="U222" s="18"/>
      <c r="AI222" s="9"/>
      <c r="AJ222" s="11"/>
      <c r="AK222" s="12"/>
      <c r="AL222" s="12"/>
      <c r="AM222" s="12"/>
      <c r="AN222" s="11"/>
      <c r="AO222" s="10"/>
      <c r="AP222" s="7"/>
      <c r="AQ222" s="7"/>
    </row>
    <row r="223" spans="1:60">
      <c r="A223" s="88" t="s">
        <v>70</v>
      </c>
      <c r="B223" s="88"/>
      <c r="C223" s="28"/>
      <c r="D223" s="102" t="s">
        <v>75</v>
      </c>
      <c r="E223" s="102"/>
      <c r="F223" s="102"/>
      <c r="G223" s="102"/>
      <c r="H223" s="28"/>
      <c r="I223" s="28"/>
      <c r="J223" s="28"/>
      <c r="K223" s="28"/>
      <c r="L223" s="28"/>
      <c r="M223" s="45"/>
      <c r="N223" s="28"/>
      <c r="O223" s="28"/>
      <c r="P223" s="28"/>
      <c r="T223" s="18"/>
      <c r="U223" s="18"/>
      <c r="AI223" s="9"/>
      <c r="AJ223" s="11"/>
      <c r="AK223" s="12"/>
      <c r="AL223" s="12"/>
      <c r="AM223" s="12"/>
      <c r="AN223" s="11"/>
      <c r="AO223" s="10"/>
      <c r="AP223" s="7"/>
      <c r="AQ223" s="13"/>
    </row>
    <row r="224" spans="1:60">
      <c r="A224" s="26" t="s">
        <v>11</v>
      </c>
      <c r="B224" s="26" t="s">
        <v>13</v>
      </c>
      <c r="C224" s="26" t="s">
        <v>22</v>
      </c>
      <c r="D224" s="26" t="s">
        <v>18</v>
      </c>
      <c r="E224" s="26" t="s">
        <v>19</v>
      </c>
      <c r="F224" s="26" t="s">
        <v>20</v>
      </c>
      <c r="G224" s="26" t="s">
        <v>2</v>
      </c>
      <c r="H224" s="26" t="s">
        <v>65</v>
      </c>
      <c r="I224" s="26" t="s">
        <v>66</v>
      </c>
      <c r="J224" s="76" t="s">
        <v>3</v>
      </c>
      <c r="K224" s="76" t="s">
        <v>4</v>
      </c>
      <c r="L224" s="44" t="s">
        <v>7</v>
      </c>
      <c r="M224" s="93"/>
      <c r="N224" s="28"/>
      <c r="O224" s="28"/>
      <c r="P224" s="28"/>
      <c r="T224" s="18"/>
      <c r="U224" s="18"/>
      <c r="AI224" s="9"/>
      <c r="AJ224" s="11"/>
      <c r="AK224" s="12"/>
      <c r="AL224" s="12"/>
      <c r="AM224" s="12"/>
      <c r="AN224" s="11"/>
      <c r="AO224" s="10"/>
      <c r="AP224" s="7"/>
      <c r="AQ224" s="7"/>
    </row>
    <row r="225" spans="1:43">
      <c r="A225" s="88" t="s">
        <v>60</v>
      </c>
      <c r="B225" s="8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T225" s="18"/>
      <c r="U225" s="18"/>
      <c r="AI225" s="9"/>
      <c r="AJ225" s="10"/>
      <c r="AK225" s="10"/>
      <c r="AL225" s="10"/>
      <c r="AM225" s="12"/>
      <c r="AN225" s="11"/>
      <c r="AO225" s="10"/>
      <c r="AP225" s="7"/>
      <c r="AQ225" s="7"/>
    </row>
    <row r="226" spans="1:43">
      <c r="A226" s="26" t="s">
        <v>11</v>
      </c>
      <c r="B226" s="26" t="s">
        <v>13</v>
      </c>
      <c r="C226" s="26" t="s">
        <v>22</v>
      </c>
      <c r="D226" s="26" t="s">
        <v>18</v>
      </c>
      <c r="E226" s="26" t="s">
        <v>19</v>
      </c>
      <c r="F226" s="26" t="s">
        <v>20</v>
      </c>
      <c r="G226" s="26" t="s">
        <v>2</v>
      </c>
      <c r="H226" s="26" t="s">
        <v>1</v>
      </c>
      <c r="I226" s="26" t="s">
        <v>0</v>
      </c>
      <c r="J226" s="76" t="s">
        <v>3</v>
      </c>
      <c r="K226" s="76" t="s">
        <v>4</v>
      </c>
      <c r="L226" s="44" t="s">
        <v>7</v>
      </c>
      <c r="M226" s="28"/>
      <c r="N226" s="28"/>
      <c r="O226" s="28"/>
      <c r="P226" s="28"/>
      <c r="T226" s="18"/>
      <c r="U226" s="18"/>
      <c r="AI226" s="9"/>
      <c r="AJ226" s="10"/>
      <c r="AK226" s="10"/>
      <c r="AL226" s="10"/>
      <c r="AM226" s="10"/>
      <c r="AN226" s="10"/>
      <c r="AO226" s="10"/>
      <c r="AP226" s="7"/>
      <c r="AQ226" s="7"/>
    </row>
    <row r="227" spans="1:43">
      <c r="A227" s="19">
        <f>$E222</f>
        <v>2.5448952136080303</v>
      </c>
      <c r="B227" s="26">
        <f>COS(A227)</f>
        <v>-0.82719587625358848</v>
      </c>
      <c r="C227" s="26">
        <f>($C$222+B227)</f>
        <v>5.9531673828757636</v>
      </c>
      <c r="D227" s="26">
        <f>POWER(TAN(A227/2),$C$222)</f>
        <v>2967.0791732025764</v>
      </c>
      <c r="E227" s="26">
        <f>SIN(A227)</f>
        <v>0.56191367869901332</v>
      </c>
      <c r="F227" s="77">
        <f>(C227*$H$222*D227/E227/$I$222/$J$222)</f>
        <v>0.99999999999999989</v>
      </c>
      <c r="G227" s="77">
        <f>$D$222*($C$222+$G$222)/9.81/SIN($C$219)/(1-$C$222*$C$222)*(F227-1)</f>
        <v>1.8955779987670673E-16</v>
      </c>
      <c r="H227" s="81">
        <f>-(-$H$219+$K$222*((POWER(TAN(A227/2),2*$C$222-1)/(2*$C$222-1))+(POWER(TAN(A227/2),2*$C$222+1)/(2*$C$222+1))-(POWER(TAN($E$222/2),2*$C$222-1)/(2*$C$222-1))-(POWER(TAN($E$222/2),2*$C$222+1)/(2*$C$222+1))))</f>
        <v>0.7000307287342773</v>
      </c>
      <c r="I227" s="81">
        <f>-(-$I$219+0.5*$K$222*((POWER(TAN(A227/2),2*$C$222-2)/(2*$C$222-2))-(POWER(TAN(A227/2),2*$C$222+2)/(2*$C$222+2))-(POWER(TAN($E$222/2),2*$C$222-2)/(2*$C$222-2))+(POWER(TAN($E$222/2),2*$C$222+2)/(2*$C$222+2))))</f>
        <v>1.1426741787697163</v>
      </c>
      <c r="J227" s="77">
        <f>-$D$222*SIN(A227)*($C$222+$G$222)/($C$222+B227)*F227</f>
        <v>-0.73400478128823976</v>
      </c>
      <c r="K227" s="77">
        <f>-$D$222*COS(A227)*($C$222+$G$222)/($C$222+B227)*F227</f>
        <v>1.0805320305385817</v>
      </c>
      <c r="L227" s="91">
        <f>SQRT(J227*J227+K227*K227)</f>
        <v>1.3062589666577709</v>
      </c>
      <c r="M227" s="28"/>
      <c r="N227" s="28"/>
      <c r="O227" s="28"/>
      <c r="P227" s="28"/>
      <c r="T227" s="18"/>
      <c r="U227" s="18"/>
      <c r="AI227" s="7"/>
      <c r="AJ227" s="7"/>
      <c r="AK227" s="7"/>
      <c r="AL227" s="7"/>
      <c r="AM227" s="10"/>
      <c r="AN227" s="10"/>
      <c r="AO227" s="10"/>
      <c r="AP227" s="7"/>
      <c r="AQ227" s="7"/>
    </row>
    <row r="228" spans="1:43">
      <c r="A228" s="20">
        <f>A227-$F$222</f>
        <v>2.5194472614719499</v>
      </c>
      <c r="B228" s="26">
        <f t="shared" ref="B228:B257" si="217">COS(A228)</f>
        <v>-0.81263003634372211</v>
      </c>
      <c r="C228" s="26">
        <f t="shared" ref="C228:C257" si="218">($C$222+B228)</f>
        <v>5.9677332227856299</v>
      </c>
      <c r="D228" s="26">
        <f t="shared" ref="D228:D257" si="219">POWER(TAN(A228/2),$C$222)</f>
        <v>2194.7962155950522</v>
      </c>
      <c r="E228" s="26">
        <f t="shared" ref="E228:E257" si="220">SIN(A228)</f>
        <v>0.58277991045677002</v>
      </c>
      <c r="F228" s="77">
        <f t="shared" ref="F228:F257" si="221">(C228*$H$222*D228/E228/$I$222/$J$222)</f>
        <v>0.71497590534374456</v>
      </c>
      <c r="G228" s="77">
        <f t="shared" ref="G228:G257" si="222">$D$222*($C$222+$G$222)/9.81/SIN($C$219)/(1-$C$222*$C$222)*(F228-1)</f>
        <v>0.48664582787887672</v>
      </c>
      <c r="H228" s="81">
        <f t="shared" ref="H228:H257" si="223">-(-$H$219+$K$222*((POWER(TAN(A228/2),2*$C$222-1)/(2*$C$222-1))+(POWER(TAN(A228/2),2*$C$222+1)/(2*$C$222+1))-(POWER(TAN($E$222/2),2*$C$222-1)/(2*$C$222-1))-(POWER(TAN($E$222/2),2*$C$222+1)/(2*$C$222+1))))</f>
        <v>0.3890354970224848</v>
      </c>
      <c r="I228" s="81">
        <f t="shared" ref="I228:I257" si="224">-(-$I$219+0.5*$K$222*((POWER(TAN(A228/2),2*$C$222-2)/(2*$C$222-2))-(POWER(TAN(A228/2),2*$C$222+2)/(2*$C$222+2))-(POWER(TAN($E$222/2),2*$C$222-2)/(2*$C$222-2))+(POWER(TAN($E$222/2),2*$C$222+2)/(2*$C$222+2))))</f>
        <v>1.5896153506995181</v>
      </c>
      <c r="J228" s="77">
        <f t="shared" ref="J228:J257" si="225">-$D$222*SIN(A228)*($C$222+$G$222)/($C$222+B228)*F228</f>
        <v>-0.54295514954568869</v>
      </c>
      <c r="K228" s="77">
        <f t="shared" ref="K228:K257" si="226">-$D$222*COS(A228)*($C$222+$G$222)/($C$222+B228)*F228</f>
        <v>0.75709827156276577</v>
      </c>
      <c r="L228" s="91">
        <f t="shared" ref="L228:L257" si="227">SQRT(J228*J228+K228*K228)</f>
        <v>0.93166414937009812</v>
      </c>
      <c r="M228" s="28"/>
      <c r="N228" s="28"/>
      <c r="O228" s="28"/>
      <c r="P228" s="28"/>
      <c r="T228" s="18"/>
      <c r="U228" s="18"/>
      <c r="AI228" s="7"/>
      <c r="AJ228" s="7"/>
      <c r="AK228" s="7"/>
      <c r="AL228" s="7"/>
      <c r="AM228" s="7"/>
      <c r="AN228" s="7"/>
      <c r="AO228" s="7"/>
      <c r="AP228" s="7"/>
      <c r="AQ228" s="7"/>
    </row>
    <row r="229" spans="1:43">
      <c r="A229" s="20">
        <f t="shared" ref="A229:A257" si="228">A228-$F$222</f>
        <v>2.4939993093358694</v>
      </c>
      <c r="B229" s="26">
        <f t="shared" si="217"/>
        <v>-0.79753796702955004</v>
      </c>
      <c r="C229" s="26">
        <f t="shared" si="218"/>
        <v>5.9828252920998022</v>
      </c>
      <c r="D229" s="26">
        <f t="shared" si="219"/>
        <v>1640.6884798192591</v>
      </c>
      <c r="E229" s="26">
        <f t="shared" si="220"/>
        <v>0.60326875532085389</v>
      </c>
      <c r="F229" s="77">
        <f t="shared" si="221"/>
        <v>0.51762350880549568</v>
      </c>
      <c r="G229" s="77">
        <f t="shared" si="222"/>
        <v>0.82360232453247884</v>
      </c>
      <c r="H229" s="81">
        <f t="shared" si="223"/>
        <v>0.22904507305454291</v>
      </c>
      <c r="I229" s="81">
        <f t="shared" si="224"/>
        <v>1.807474809580647</v>
      </c>
      <c r="J229" s="77">
        <f t="shared" si="225"/>
        <v>-0.40587834651274701</v>
      </c>
      <c r="K229" s="77">
        <f t="shared" si="226"/>
        <v>0.53658239132064278</v>
      </c>
      <c r="L229" s="91">
        <f t="shared" si="227"/>
        <v>0.67279855443015102</v>
      </c>
      <c r="M229" s="45"/>
      <c r="N229" s="28"/>
      <c r="O229" s="28"/>
      <c r="P229" s="31"/>
      <c r="T229" s="18"/>
      <c r="U229" s="18"/>
      <c r="AI229" s="7"/>
      <c r="AJ229" s="7"/>
      <c r="AK229" s="7"/>
      <c r="AL229" s="7"/>
      <c r="AM229" s="7"/>
      <c r="AN229" s="7"/>
      <c r="AO229" s="7"/>
      <c r="AP229" s="7"/>
      <c r="AQ229" s="7"/>
    </row>
    <row r="230" spans="1:43">
      <c r="A230" s="20">
        <f t="shared" si="228"/>
        <v>2.468551357199789</v>
      </c>
      <c r="B230" s="26">
        <f t="shared" si="217"/>
        <v>-0.78192944138158382</v>
      </c>
      <c r="C230" s="26">
        <f t="shared" si="218"/>
        <v>5.9984338177477685</v>
      </c>
      <c r="D230" s="26">
        <f t="shared" si="219"/>
        <v>1238.3418596787808</v>
      </c>
      <c r="E230" s="26">
        <f t="shared" si="220"/>
        <v>0.62336694546686078</v>
      </c>
      <c r="F230" s="77">
        <f t="shared" si="221"/>
        <v>0.37907664735178231</v>
      </c>
      <c r="G230" s="77">
        <f t="shared" si="222"/>
        <v>1.0601551400882165</v>
      </c>
      <c r="H230" s="81">
        <f t="shared" si="223"/>
        <v>0.14474176188125309</v>
      </c>
      <c r="I230" s="81">
        <f t="shared" si="224"/>
        <v>1.9163399125423721</v>
      </c>
      <c r="J230" s="77">
        <f t="shared" si="225"/>
        <v>-0.30634465506779979</v>
      </c>
      <c r="K230" s="77">
        <f t="shared" si="226"/>
        <v>0.38426789670087347</v>
      </c>
      <c r="L230" s="91">
        <f t="shared" si="227"/>
        <v>0.49143551369790361</v>
      </c>
      <c r="M230" s="45"/>
      <c r="N230" s="28"/>
      <c r="O230" s="28"/>
      <c r="P230" s="31"/>
      <c r="T230" s="18"/>
      <c r="U230" s="18"/>
      <c r="AI230" s="7"/>
      <c r="AJ230" s="7"/>
      <c r="AK230" s="7"/>
      <c r="AL230" s="7"/>
      <c r="AM230" s="7"/>
      <c r="AN230" s="7"/>
      <c r="AO230" s="7"/>
      <c r="AP230" s="7"/>
      <c r="AQ230" s="7"/>
    </row>
    <row r="231" spans="1:43">
      <c r="A231" s="20">
        <f t="shared" si="228"/>
        <v>2.4431034050637086</v>
      </c>
      <c r="B231" s="26">
        <f t="shared" si="217"/>
        <v>-0.76581456690851302</v>
      </c>
      <c r="C231" s="26">
        <f t="shared" si="218"/>
        <v>6.0145486922208393</v>
      </c>
      <c r="D231" s="26">
        <f t="shared" si="219"/>
        <v>942.96429217071432</v>
      </c>
      <c r="E231" s="26">
        <f t="shared" si="220"/>
        <v>0.6430614660440529</v>
      </c>
      <c r="F231" s="77">
        <f t="shared" si="221"/>
        <v>0.28056802934473696</v>
      </c>
      <c r="G231" s="77">
        <f t="shared" si="222"/>
        <v>1.2283472644103997</v>
      </c>
      <c r="H231" s="81">
        <f t="shared" si="223"/>
        <v>9.9330239214305394E-2</v>
      </c>
      <c r="I231" s="81">
        <f t="shared" si="224"/>
        <v>1.9719914448072531</v>
      </c>
      <c r="J231" s="77">
        <f t="shared" si="225"/>
        <v>-0.23327328279221801</v>
      </c>
      <c r="K231" s="77">
        <f t="shared" si="226"/>
        <v>0.27780249239908827</v>
      </c>
      <c r="L231" s="91">
        <f t="shared" si="227"/>
        <v>0.36275425462398592</v>
      </c>
      <c r="M231" s="45"/>
      <c r="N231" s="28"/>
      <c r="O231" s="28"/>
      <c r="P231" s="89"/>
      <c r="T231" s="18"/>
      <c r="U231" s="18"/>
      <c r="AI231" s="7"/>
      <c r="AJ231" s="7"/>
      <c r="AK231" s="7"/>
      <c r="AL231" s="7"/>
      <c r="AM231" s="7"/>
      <c r="AN231" s="7"/>
      <c r="AO231" s="7"/>
      <c r="AP231" s="7"/>
      <c r="AQ231" s="7"/>
    </row>
    <row r="232" spans="1:43">
      <c r="A232" s="20">
        <f t="shared" si="228"/>
        <v>2.4176554529276282</v>
      </c>
      <c r="B232" s="26">
        <f t="shared" si="217"/>
        <v>-0.74920377901195367</v>
      </c>
      <c r="C232" s="26">
        <f t="shared" si="218"/>
        <v>6.0311594801173989</v>
      </c>
      <c r="D232" s="26">
        <f t="shared" si="219"/>
        <v>723.90910238198808</v>
      </c>
      <c r="E232" s="26">
        <f t="shared" si="220"/>
        <v>0.66233956360329838</v>
      </c>
      <c r="F232" s="77">
        <f t="shared" si="221"/>
        <v>0.20969908136445142</v>
      </c>
      <c r="G232" s="77">
        <f t="shared" si="222"/>
        <v>1.3493478342126277</v>
      </c>
      <c r="H232" s="81">
        <f t="shared" si="223"/>
        <v>7.4366477115366481E-2</v>
      </c>
      <c r="I232" s="81">
        <f t="shared" si="224"/>
        <v>2.0010401948171754</v>
      </c>
      <c r="J232" s="77">
        <f t="shared" si="225"/>
        <v>-0.17908276501868034</v>
      </c>
      <c r="K232" s="77">
        <f t="shared" si="226"/>
        <v>0.20256903208074775</v>
      </c>
      <c r="L232" s="91">
        <f t="shared" si="227"/>
        <v>0.27037908477703465</v>
      </c>
      <c r="M232" s="45"/>
      <c r="N232" s="28"/>
      <c r="O232" s="28"/>
      <c r="P232" s="28"/>
      <c r="T232" s="18"/>
      <c r="U232" s="18"/>
      <c r="AI232" s="7"/>
      <c r="AJ232" s="7"/>
      <c r="AK232" s="7"/>
      <c r="AL232" s="7"/>
      <c r="AM232" s="7"/>
      <c r="AN232" s="7"/>
      <c r="AO232" s="7"/>
      <c r="AP232" s="7"/>
      <c r="AQ232" s="7"/>
    </row>
    <row r="233" spans="1:43">
      <c r="A233" s="20">
        <f t="shared" si="228"/>
        <v>2.3922075007915478</v>
      </c>
      <c r="B233" s="26">
        <f t="shared" si="217"/>
        <v>-0.73210783422886461</v>
      </c>
      <c r="C233" s="26">
        <f t="shared" si="218"/>
        <v>6.0482554249004874</v>
      </c>
      <c r="D233" s="26">
        <f t="shared" si="219"/>
        <v>559.9274844123704</v>
      </c>
      <c r="E233" s="26">
        <f t="shared" si="220"/>
        <v>0.68118875435573756</v>
      </c>
      <c r="F233" s="77">
        <f t="shared" si="221"/>
        <v>0.15815641613133727</v>
      </c>
      <c r="G233" s="77">
        <f t="shared" si="222"/>
        <v>1.4373510011859438</v>
      </c>
      <c r="H233" s="81">
        <f t="shared" si="223"/>
        <v>6.0383275637802769E-2</v>
      </c>
      <c r="I233" s="81">
        <f t="shared" si="224"/>
        <v>2.0164965483402972</v>
      </c>
      <c r="J233" s="77">
        <f t="shared" si="225"/>
        <v>-0.13851650958466558</v>
      </c>
      <c r="K233" s="77">
        <f t="shared" si="226"/>
        <v>0.14887066351070793</v>
      </c>
      <c r="L233" s="91">
        <f t="shared" si="227"/>
        <v>0.20334526766472139</v>
      </c>
      <c r="T233" s="18"/>
      <c r="U233" s="18"/>
      <c r="AM233" s="7"/>
      <c r="AN233" s="7"/>
      <c r="AO233" s="7"/>
      <c r="AP233" s="7"/>
      <c r="AQ233" s="7"/>
    </row>
    <row r="234" spans="1:43">
      <c r="A234" s="20">
        <f t="shared" si="228"/>
        <v>2.3667595486554673</v>
      </c>
      <c r="B234" s="26">
        <f t="shared" si="217"/>
        <v>-0.71453780326600891</v>
      </c>
      <c r="C234" s="26">
        <f t="shared" si="218"/>
        <v>6.0658254558633429</v>
      </c>
      <c r="D234" s="26">
        <f t="shared" si="219"/>
        <v>436.1041319396241</v>
      </c>
      <c r="E234" s="26">
        <f t="shared" si="220"/>
        <v>0.69959683225682656</v>
      </c>
      <c r="F234" s="77">
        <f t="shared" si="221"/>
        <v>0.1202886503272898</v>
      </c>
      <c r="G234" s="77">
        <f t="shared" si="222"/>
        <v>1.502005851723611</v>
      </c>
      <c r="H234" s="81">
        <f t="shared" si="223"/>
        <v>5.2413366031251019E-2</v>
      </c>
      <c r="I234" s="81">
        <f t="shared" si="224"/>
        <v>2.0248670838411491</v>
      </c>
      <c r="J234" s="77">
        <f t="shared" si="225"/>
        <v>-0.10788472409980635</v>
      </c>
      <c r="K234" s="77">
        <f t="shared" si="226"/>
        <v>0.11018876903081185</v>
      </c>
      <c r="L234" s="91">
        <f t="shared" si="227"/>
        <v>0.15420985219698816</v>
      </c>
      <c r="T234" s="18"/>
      <c r="U234" s="18"/>
    </row>
    <row r="235" spans="1:43">
      <c r="A235" s="20">
        <f t="shared" si="228"/>
        <v>2.3413115965193869</v>
      </c>
      <c r="B235" s="26">
        <f t="shared" si="217"/>
        <v>-0.69650506383097033</v>
      </c>
      <c r="C235" s="26">
        <f t="shared" si="218"/>
        <v>6.0838581952983821</v>
      </c>
      <c r="D235" s="26">
        <f t="shared" si="219"/>
        <v>341.84901358317097</v>
      </c>
      <c r="E235" s="26">
        <f t="shared" si="220"/>
        <v>0.71755187691052413</v>
      </c>
      <c r="F235" s="77">
        <f t="shared" si="221"/>
        <v>9.2204578028150491E-2</v>
      </c>
      <c r="G235" s="77">
        <f t="shared" si="222"/>
        <v>1.5499561719613</v>
      </c>
      <c r="H235" s="81">
        <f t="shared" si="223"/>
        <v>4.7796933635082195E-2</v>
      </c>
      <c r="I235" s="81">
        <f t="shared" si="224"/>
        <v>2.0294745640786633</v>
      </c>
      <c r="J235" s="77">
        <f t="shared" si="225"/>
        <v>-8.4567615422908235E-2</v>
      </c>
      <c r="K235" s="77">
        <f t="shared" si="226"/>
        <v>8.2087127458674969E-2</v>
      </c>
      <c r="L235" s="91">
        <f t="shared" si="227"/>
        <v>0.11785575112286059</v>
      </c>
      <c r="T235" s="18"/>
      <c r="U235" s="18"/>
    </row>
    <row r="236" spans="1:43">
      <c r="A236" s="20">
        <f t="shared" si="228"/>
        <v>2.3158636443833065</v>
      </c>
      <c r="B236" s="26">
        <f t="shared" si="217"/>
        <v>-0.67802129326436689</v>
      </c>
      <c r="C236" s="26">
        <f t="shared" si="218"/>
        <v>6.1023419658649853</v>
      </c>
      <c r="D236" s="26">
        <f t="shared" si="219"/>
        <v>269.5625734066827</v>
      </c>
      <c r="E236" s="26">
        <f t="shared" si="220"/>
        <v>0.73504226128850259</v>
      </c>
      <c r="F236" s="77">
        <f t="shared" si="221"/>
        <v>7.1192820801321707E-2</v>
      </c>
      <c r="G236" s="77">
        <f t="shared" si="222"/>
        <v>1.5858313284219212</v>
      </c>
      <c r="H236" s="81">
        <f t="shared" si="223"/>
        <v>4.508253944477747E-2</v>
      </c>
      <c r="I236" s="81">
        <f t="shared" si="224"/>
        <v>2.0320490286943196</v>
      </c>
      <c r="J236" s="77">
        <f t="shared" si="225"/>
        <v>-6.6685183032477988E-2</v>
      </c>
      <c r="K236" s="77">
        <f t="shared" si="226"/>
        <v>6.151207409760804E-2</v>
      </c>
      <c r="L236" s="91">
        <f t="shared" si="227"/>
        <v>9.0722923761664076E-2</v>
      </c>
      <c r="T236" s="18"/>
      <c r="U236" s="18"/>
    </row>
    <row r="237" spans="1:43">
      <c r="A237" s="20">
        <f t="shared" si="228"/>
        <v>2.2904156922472261</v>
      </c>
      <c r="B237" s="26">
        <f t="shared" si="217"/>
        <v>-0.65909846097803382</v>
      </c>
      <c r="C237" s="26">
        <f t="shared" si="218"/>
        <v>6.1212647981513184</v>
      </c>
      <c r="D237" s="26">
        <f t="shared" si="219"/>
        <v>213.73678222229486</v>
      </c>
      <c r="E237" s="26">
        <f t="shared" si="220"/>
        <v>0.75205665925938536</v>
      </c>
      <c r="F237" s="77">
        <f t="shared" si="221"/>
        <v>5.5342942749775373E-2</v>
      </c>
      <c r="G237" s="77">
        <f t="shared" si="222"/>
        <v>1.6128931704583862</v>
      </c>
      <c r="H237" s="81">
        <f t="shared" si="223"/>
        <v>4.346407073631986E-2</v>
      </c>
      <c r="I237" s="81">
        <f t="shared" si="224"/>
        <v>2.0335075652861656</v>
      </c>
      <c r="J237" s="77">
        <f t="shared" si="225"/>
        <v>-5.2874834451752097E-2</v>
      </c>
      <c r="K237" s="77">
        <f t="shared" si="226"/>
        <v>4.6339224023277233E-2</v>
      </c>
      <c r="L237" s="91">
        <f t="shared" si="227"/>
        <v>7.0306982593336093E-2</v>
      </c>
      <c r="T237" s="18"/>
      <c r="U237" s="18"/>
    </row>
    <row r="238" spans="1:43">
      <c r="A238" s="20">
        <f t="shared" si="228"/>
        <v>2.2649677401111457</v>
      </c>
      <c r="B238" s="26">
        <f t="shared" si="217"/>
        <v>-0.63974882070407113</v>
      </c>
      <c r="C238" s="26">
        <f t="shared" si="218"/>
        <v>6.1406144384252812</v>
      </c>
      <c r="D238" s="26">
        <f t="shared" si="219"/>
        <v>170.3422341243712</v>
      </c>
      <c r="E238" s="26">
        <f t="shared" si="220"/>
        <v>0.7685840529231337</v>
      </c>
      <c r="F238" s="77">
        <f t="shared" si="221"/>
        <v>4.329474386791652E-2</v>
      </c>
      <c r="G238" s="77">
        <f t="shared" si="222"/>
        <v>1.6334640829855629</v>
      </c>
      <c r="H238" s="81">
        <f t="shared" si="223"/>
        <v>4.2486402809077894E-2</v>
      </c>
      <c r="I238" s="81">
        <f t="shared" si="224"/>
        <v>2.0343444908220416</v>
      </c>
      <c r="J238" s="77">
        <f t="shared" si="225"/>
        <v>-4.2139763384761122E-2</v>
      </c>
      <c r="K238" s="77">
        <f t="shared" si="226"/>
        <v>3.50760126073624E-2</v>
      </c>
      <c r="L238" s="91">
        <f t="shared" si="227"/>
        <v>5.4827787832042799E-2</v>
      </c>
      <c r="T238" s="18"/>
      <c r="U238" s="18"/>
    </row>
    <row r="239" spans="1:43">
      <c r="A239" s="20">
        <f t="shared" si="228"/>
        <v>2.2395197879750652</v>
      </c>
      <c r="B239" s="26">
        <f t="shared" si="217"/>
        <v>-0.61998490255977623</v>
      </c>
      <c r="C239" s="26">
        <f t="shared" si="218"/>
        <v>6.1603783565695762</v>
      </c>
      <c r="D239" s="26">
        <f t="shared" si="219"/>
        <v>136.40543292593082</v>
      </c>
      <c r="E239" s="26">
        <f t="shared" si="220"/>
        <v>0.78461373974583493</v>
      </c>
      <c r="F239" s="77">
        <f t="shared" si="221"/>
        <v>3.407026575733961E-2</v>
      </c>
      <c r="G239" s="77">
        <f t="shared" si="222"/>
        <v>1.649213817380075</v>
      </c>
      <c r="H239" s="81">
        <f t="shared" si="223"/>
        <v>4.1888598152490686E-2</v>
      </c>
      <c r="I239" s="81">
        <f t="shared" si="224"/>
        <v>2.0348304060209439</v>
      </c>
      <c r="J239" s="77">
        <f t="shared" si="225"/>
        <v>-3.3744377590455933E-2</v>
      </c>
      <c r="K239" s="77">
        <f t="shared" si="226"/>
        <v>2.6664081435963886E-2</v>
      </c>
      <c r="L239" s="91">
        <f t="shared" si="227"/>
        <v>4.3007630227565187E-2</v>
      </c>
      <c r="T239" s="18"/>
      <c r="U239" s="18"/>
    </row>
    <row r="240" spans="1:43">
      <c r="A240" s="20">
        <f t="shared" si="228"/>
        <v>2.2140718358389848</v>
      </c>
      <c r="B240" s="26">
        <f t="shared" si="217"/>
        <v>-0.59981950493360003</v>
      </c>
      <c r="C240" s="26">
        <f t="shared" si="218"/>
        <v>6.1805437541957522</v>
      </c>
      <c r="D240" s="26">
        <f t="shared" si="219"/>
        <v>109.71408752193345</v>
      </c>
      <c r="E240" s="26">
        <f t="shared" si="220"/>
        <v>0.80013533949027082</v>
      </c>
      <c r="F240" s="77">
        <f t="shared" si="221"/>
        <v>2.6959883057163288E-2</v>
      </c>
      <c r="G240" s="77">
        <f t="shared" si="222"/>
        <v>1.6613539772491417</v>
      </c>
      <c r="H240" s="75">
        <f t="shared" si="223"/>
        <v>4.1518885966492225E-2</v>
      </c>
      <c r="I240" s="75">
        <f t="shared" si="224"/>
        <v>2.0351155942154264</v>
      </c>
      <c r="J240" s="77">
        <f t="shared" si="225"/>
        <v>-2.7141393982032903E-2</v>
      </c>
      <c r="K240" s="77">
        <f t="shared" si="226"/>
        <v>2.0346479774136665E-2</v>
      </c>
      <c r="L240" s="91">
        <f t="shared" si="227"/>
        <v>3.3921003913317246E-2</v>
      </c>
      <c r="T240" s="18"/>
      <c r="U240" s="18"/>
    </row>
    <row r="241" spans="1:12">
      <c r="A241" s="20">
        <f t="shared" si="228"/>
        <v>2.1886238837029044</v>
      </c>
      <c r="B241" s="26">
        <f t="shared" si="217"/>
        <v>-0.57926568619737917</v>
      </c>
      <c r="C241" s="26">
        <f t="shared" si="218"/>
        <v>6.2010975729319728</v>
      </c>
      <c r="D241" s="26">
        <f t="shared" si="219"/>
        <v>88.60955766284664</v>
      </c>
      <c r="E241" s="26">
        <f t="shared" si="220"/>
        <v>0.81513880093777857</v>
      </c>
      <c r="F241" s="77">
        <f t="shared" si="221"/>
        <v>2.1444204630616644E-2</v>
      </c>
      <c r="G241" s="77">
        <f t="shared" si="222"/>
        <v>1.670771363163261</v>
      </c>
      <c r="H241" s="75">
        <f t="shared" si="223"/>
        <v>4.128779258102877E-2</v>
      </c>
      <c r="I241" s="75">
        <f t="shared" si="224"/>
        <v>2.0352846449266666</v>
      </c>
      <c r="J241" s="77">
        <f t="shared" si="225"/>
        <v>-2.192049325133558E-2</v>
      </c>
      <c r="K241" s="77">
        <f t="shared" si="226"/>
        <v>1.5577456931766365E-2</v>
      </c>
      <c r="L241" s="91">
        <f t="shared" si="227"/>
        <v>2.6891730863648117E-2</v>
      </c>
    </row>
    <row r="242" spans="1:12">
      <c r="A242" s="20">
        <f t="shared" si="228"/>
        <v>2.163175931566824</v>
      </c>
      <c r="B242" s="26">
        <f t="shared" si="217"/>
        <v>-0.55833675625021439</v>
      </c>
      <c r="C242" s="26">
        <f t="shared" si="218"/>
        <v>6.2220265028791379</v>
      </c>
      <c r="D242" s="26">
        <f t="shared" si="219"/>
        <v>71.839276029530311</v>
      </c>
      <c r="E242" s="26">
        <f t="shared" si="220"/>
        <v>0.82961440839705081</v>
      </c>
      <c r="F242" s="77">
        <f t="shared" si="221"/>
        <v>1.713996351487837E-2</v>
      </c>
      <c r="G242" s="77">
        <f t="shared" si="222"/>
        <v>1.6781203593373737</v>
      </c>
      <c r="H242" s="75">
        <f t="shared" si="223"/>
        <v>4.1141898611506078E-2</v>
      </c>
      <c r="I242" s="75">
        <f t="shared" si="224"/>
        <v>2.0353857687863495</v>
      </c>
      <c r="J242" s="77">
        <f t="shared" si="225"/>
        <v>-1.7771811607253246E-2</v>
      </c>
      <c r="K242" s="77">
        <f t="shared" si="226"/>
        <v>1.1960563299106462E-2</v>
      </c>
      <c r="L242" s="91">
        <f t="shared" si="227"/>
        <v>2.1421773088043709E-2</v>
      </c>
    </row>
    <row r="243" spans="1:12">
      <c r="A243" s="20">
        <f t="shared" si="228"/>
        <v>2.1377279794307436</v>
      </c>
      <c r="B243" s="26">
        <f t="shared" si="217"/>
        <v>-0.5370462678994673</v>
      </c>
      <c r="C243" s="26">
        <f t="shared" si="218"/>
        <v>6.2433169912298849</v>
      </c>
      <c r="D243" s="26">
        <f t="shared" si="219"/>
        <v>58.450866921558706</v>
      </c>
      <c r="E243" s="26">
        <f t="shared" si="220"/>
        <v>0.84355278799566158</v>
      </c>
      <c r="F243" s="77">
        <f t="shared" si="221"/>
        <v>1.376215526047366E-2</v>
      </c>
      <c r="G243" s="77">
        <f t="shared" si="222"/>
        <v>1.6838875780574729</v>
      </c>
      <c r="H243" s="75">
        <f t="shared" si="223"/>
        <v>4.1048928893362091E-2</v>
      </c>
      <c r="I243" s="75">
        <f t="shared" si="224"/>
        <v>2.0354467637852625</v>
      </c>
      <c r="J243" s="77">
        <f t="shared" si="225"/>
        <v>-1.4459747545111264E-2</v>
      </c>
      <c r="K243" s="77">
        <f t="shared" si="226"/>
        <v>9.2057705983308626E-3</v>
      </c>
      <c r="L243" s="91">
        <f t="shared" si="227"/>
        <v>1.7141485098364266E-2</v>
      </c>
    </row>
    <row r="244" spans="1:12">
      <c r="A244" s="20">
        <f t="shared" si="228"/>
        <v>2.1122800272946631</v>
      </c>
      <c r="B244" s="26">
        <f t="shared" si="217"/>
        <v>-0.51540800808445963</v>
      </c>
      <c r="C244" s="26">
        <f t="shared" si="218"/>
        <v>6.264955251044892</v>
      </c>
      <c r="D244" s="26">
        <f t="shared" si="219"/>
        <v>47.715532393566676</v>
      </c>
      <c r="E244" s="26">
        <f t="shared" si="220"/>
        <v>0.85694491375024195</v>
      </c>
      <c r="F244" s="77">
        <f t="shared" si="221"/>
        <v>1.1097297203002669E-2</v>
      </c>
      <c r="G244" s="77">
        <f t="shared" si="222"/>
        <v>1.6884375163955692</v>
      </c>
      <c r="H244" s="75">
        <f t="shared" si="223"/>
        <v>4.0989163812735874E-2</v>
      </c>
      <c r="I244" s="75">
        <f t="shared" si="224"/>
        <v>2.0354838321903426</v>
      </c>
      <c r="J244" s="77">
        <f t="shared" si="225"/>
        <v>-1.1804008883520491E-2</v>
      </c>
      <c r="K244" s="77">
        <f t="shared" si="226"/>
        <v>7.0995003394578957E-3</v>
      </c>
      <c r="L244" s="91">
        <f t="shared" si="227"/>
        <v>1.3774524702950496E-2</v>
      </c>
    </row>
    <row r="245" spans="1:12">
      <c r="A245" s="20">
        <f t="shared" si="228"/>
        <v>2.0868320751585827</v>
      </c>
      <c r="B245" s="26">
        <f t="shared" si="217"/>
        <v>-0.49343598894855734</v>
      </c>
      <c r="C245" s="26">
        <f t="shared" si="218"/>
        <v>6.2869272701807946</v>
      </c>
      <c r="D245" s="26">
        <f t="shared" si="219"/>
        <v>39.072168611153877</v>
      </c>
      <c r="E245" s="26">
        <f t="shared" si="220"/>
        <v>0.86978211341137568</v>
      </c>
      <c r="F245" s="77">
        <f t="shared" si="221"/>
        <v>8.9843746922579695E-3</v>
      </c>
      <c r="G245" s="77">
        <f t="shared" si="222"/>
        <v>1.6920450883298834</v>
      </c>
      <c r="H245" s="75">
        <f t="shared" si="223"/>
        <v>4.0950427345247564E-2</v>
      </c>
      <c r="I245" s="75">
        <f t="shared" si="224"/>
        <v>2.0355065128916259</v>
      </c>
      <c r="J245" s="77">
        <f t="shared" si="225"/>
        <v>-9.6657881039729117E-3</v>
      </c>
      <c r="K245" s="77">
        <f t="shared" si="226"/>
        <v>5.4834971178526594E-3</v>
      </c>
      <c r="L245" s="91">
        <f t="shared" si="227"/>
        <v>1.1112884428104285E-2</v>
      </c>
    </row>
    <row r="246" spans="1:12">
      <c r="A246" s="20">
        <f t="shared" si="228"/>
        <v>2.0613841230225023</v>
      </c>
      <c r="B246" s="26">
        <f t="shared" si="217"/>
        <v>-0.47114443876542023</v>
      </c>
      <c r="C246" s="26">
        <f t="shared" si="218"/>
        <v>6.3092188203639319</v>
      </c>
      <c r="D246" s="26">
        <f t="shared" si="219"/>
        <v>32.086291956700897</v>
      </c>
      <c r="E246" s="26">
        <f t="shared" si="220"/>
        <v>0.88205607407943021</v>
      </c>
      <c r="F246" s="77">
        <f t="shared" si="221"/>
        <v>7.301150514196407E-3</v>
      </c>
      <c r="G246" s="77">
        <f t="shared" si="222"/>
        <v>1.6949189998306862</v>
      </c>
      <c r="H246" s="75">
        <f t="shared" si="223"/>
        <v>4.0925126258904432E-2</v>
      </c>
      <c r="I246" s="75">
        <f t="shared" si="224"/>
        <v>2.0355204743475692</v>
      </c>
      <c r="J246" s="77">
        <f t="shared" si="225"/>
        <v>-7.9376013699722359E-3</v>
      </c>
      <c r="K246" s="77">
        <f t="shared" si="226"/>
        <v>4.2398174588868937E-3</v>
      </c>
      <c r="L246" s="91">
        <f t="shared" si="227"/>
        <v>8.9989759191403118E-3</v>
      </c>
    </row>
    <row r="247" spans="1:12">
      <c r="A247" s="20">
        <f t="shared" si="228"/>
        <v>2.0359361708864219</v>
      </c>
      <c r="B247" s="26">
        <f t="shared" si="217"/>
        <v>-0.44854779272529388</v>
      </c>
      <c r="C247" s="26">
        <f t="shared" si="218"/>
        <v>6.3318154664040582</v>
      </c>
      <c r="D247" s="26">
        <f t="shared" si="219"/>
        <v>26.41963163913255</v>
      </c>
      <c r="E247" s="26">
        <f t="shared" si="220"/>
        <v>0.89375884758768498</v>
      </c>
      <c r="F247" s="77">
        <f t="shared" si="221"/>
        <v>5.954249500868097E-3</v>
      </c>
      <c r="G247" s="77">
        <f t="shared" si="222"/>
        <v>1.6972186782473218</v>
      </c>
      <c r="H247" s="75">
        <f t="shared" si="223"/>
        <v>4.0908480675380665E-2</v>
      </c>
      <c r="I247" s="75">
        <f t="shared" si="224"/>
        <v>2.0355291141977192</v>
      </c>
      <c r="J247" s="77">
        <f t="shared" si="225"/>
        <v>-6.535766257314282E-3</v>
      </c>
      <c r="K247" s="77">
        <f t="shared" si="226"/>
        <v>3.2800833652157626E-3</v>
      </c>
      <c r="L247" s="91">
        <f t="shared" si="227"/>
        <v>7.312673071662174E-3</v>
      </c>
    </row>
    <row r="248" spans="1:12">
      <c r="A248" s="20">
        <f t="shared" si="228"/>
        <v>2.0104882187503414</v>
      </c>
      <c r="B248" s="26">
        <f t="shared" si="217"/>
        <v>-0.42566068358731002</v>
      </c>
      <c r="C248" s="26">
        <f t="shared" si="218"/>
        <v>6.3547025755420421</v>
      </c>
      <c r="D248" s="26">
        <f t="shared" si="219"/>
        <v>21.807464196727874</v>
      </c>
      <c r="E248" s="26">
        <f t="shared" si="220"/>
        <v>0.90488285564927351</v>
      </c>
      <c r="F248" s="77">
        <f t="shared" si="221"/>
        <v>4.8719229632271724E-3</v>
      </c>
      <c r="G248" s="77">
        <f t="shared" si="222"/>
        <v>1.6990666262061804</v>
      </c>
      <c r="H248" s="75">
        <f t="shared" si="223"/>
        <v>4.0897454975776681E-2</v>
      </c>
      <c r="I248" s="75">
        <f t="shared" si="224"/>
        <v>2.0355344852445074</v>
      </c>
      <c r="J248" s="77">
        <f t="shared" si="225"/>
        <v>-5.3947946966622822E-3</v>
      </c>
      <c r="K248" s="77">
        <f t="shared" si="226"/>
        <v>2.5377340106049178E-3</v>
      </c>
      <c r="L248" s="91">
        <f t="shared" si="227"/>
        <v>5.9618708244741775E-3</v>
      </c>
    </row>
    <row r="249" spans="1:12">
      <c r="A249" s="20">
        <f t="shared" si="228"/>
        <v>1.9850402666142613</v>
      </c>
      <c r="B249" s="26">
        <f t="shared" si="217"/>
        <v>-0.40249793220384855</v>
      </c>
      <c r="C249" s="26">
        <f t="shared" si="218"/>
        <v>6.3778653269255035</v>
      </c>
      <c r="D249" s="26">
        <f t="shared" si="219"/>
        <v>18.041608516208214</v>
      </c>
      <c r="E249" s="26">
        <f t="shared" si="220"/>
        <v>0.91542089476460287</v>
      </c>
      <c r="F249" s="77">
        <f t="shared" si="221"/>
        <v>3.9987306713771724E-3</v>
      </c>
      <c r="G249" s="77">
        <f t="shared" si="222"/>
        <v>1.7005575015171863</v>
      </c>
      <c r="H249" s="75">
        <f t="shared" si="223"/>
        <v>4.0890105126400789E-2</v>
      </c>
      <c r="I249" s="75">
        <f t="shared" si="224"/>
        <v>2.0355378368734498</v>
      </c>
      <c r="J249" s="77">
        <f t="shared" si="225"/>
        <v>-4.46318623130429E-3</v>
      </c>
      <c r="K249" s="77">
        <f t="shared" si="226"/>
        <v>1.9624013821561369E-3</v>
      </c>
      <c r="L249" s="91">
        <f t="shared" si="227"/>
        <v>4.8755564318334488E-3</v>
      </c>
    </row>
    <row r="250" spans="1:12">
      <c r="A250" s="20">
        <f t="shared" si="228"/>
        <v>1.9595923144781811</v>
      </c>
      <c r="B250" s="26">
        <f t="shared" si="217"/>
        <v>-0.37907453792309659</v>
      </c>
      <c r="C250" s="26">
        <f t="shared" si="218"/>
        <v>6.4012887212062557</v>
      </c>
      <c r="D250" s="26">
        <f t="shared" si="219"/>
        <v>14.957588524184091</v>
      </c>
      <c r="E250" s="26">
        <f t="shared" si="220"/>
        <v>0.92536614088607694</v>
      </c>
      <c r="F250" s="77">
        <f t="shared" si="221"/>
        <v>3.2916054188050826E-3</v>
      </c>
      <c r="G250" s="77">
        <f t="shared" si="222"/>
        <v>1.7017648364772955</v>
      </c>
      <c r="H250" s="75">
        <f t="shared" si="223"/>
        <v>4.0885176295139325E-2</v>
      </c>
      <c r="I250" s="75">
        <f t="shared" si="224"/>
        <v>2.0355399346006262</v>
      </c>
      <c r="J250" s="77">
        <f t="shared" si="225"/>
        <v>-3.700252285968794E-3</v>
      </c>
      <c r="K250" s="77">
        <f t="shared" si="226"/>
        <v>1.51580154441288E-3</v>
      </c>
      <c r="L250" s="91">
        <f t="shared" si="227"/>
        <v>3.9986899482032561E-3</v>
      </c>
    </row>
    <row r="251" spans="1:12">
      <c r="A251" s="20">
        <f t="shared" si="228"/>
        <v>1.9341443623421009</v>
      </c>
      <c r="B251" s="26">
        <f t="shared" si="217"/>
        <v>-0.35540566887602143</v>
      </c>
      <c r="C251" s="26">
        <f t="shared" si="218"/>
        <v>6.4249575902533307</v>
      </c>
      <c r="D251" s="26">
        <f t="shared" si="219"/>
        <v>12.424884859516336</v>
      </c>
      <c r="E251" s="26">
        <f t="shared" si="220"/>
        <v>0.9347121538370986</v>
      </c>
      <c r="F251" s="77">
        <f t="shared" si="221"/>
        <v>2.7169217091268134E-3</v>
      </c>
      <c r="G251" s="77">
        <f t="shared" si="222"/>
        <v>1.7027460427504078</v>
      </c>
      <c r="H251" s="75">
        <f t="shared" si="223"/>
        <v>4.0881852456111201E-2</v>
      </c>
      <c r="I251" s="75">
        <f t="shared" si="224"/>
        <v>2.0355412503307564</v>
      </c>
      <c r="J251" s="77">
        <f t="shared" si="225"/>
        <v>-3.0737045968332148E-3</v>
      </c>
      <c r="K251" s="77">
        <f t="shared" si="226"/>
        <v>1.1687149179352553E-3</v>
      </c>
      <c r="L251" s="91">
        <f t="shared" si="227"/>
        <v>3.288396951099129E-3</v>
      </c>
    </row>
    <row r="252" spans="1:12">
      <c r="A252" s="20">
        <f t="shared" si="228"/>
        <v>1.9086964102060207</v>
      </c>
      <c r="B252" s="26">
        <f t="shared" si="217"/>
        <v>-0.3315066521540449</v>
      </c>
      <c r="C252" s="26">
        <f t="shared" si="218"/>
        <v>6.4488566069753075</v>
      </c>
      <c r="D252" s="26">
        <f t="shared" si="219"/>
        <v>10.339490565213033</v>
      </c>
      <c r="E252" s="26">
        <f t="shared" si="220"/>
        <v>0.94345288148249196</v>
      </c>
      <c r="F252" s="77">
        <f t="shared" si="221"/>
        <v>2.2482987648015404E-3</v>
      </c>
      <c r="G252" s="77">
        <f t="shared" si="222"/>
        <v>1.7035461624770549</v>
      </c>
      <c r="H252" s="75">
        <f t="shared" si="223"/>
        <v>4.0879599191696148E-2</v>
      </c>
      <c r="I252" s="75">
        <f t="shared" si="224"/>
        <v>2.0355420765678911</v>
      </c>
      <c r="J252" s="77">
        <f t="shared" si="225"/>
        <v>-2.5578136166684827E-3</v>
      </c>
      <c r="K252" s="77">
        <f t="shared" si="226"/>
        <v>8.9875418851167468E-4</v>
      </c>
      <c r="L252" s="91">
        <f t="shared" si="227"/>
        <v>2.7111196190839648E-3</v>
      </c>
    </row>
    <row r="253" spans="1:12">
      <c r="A253" s="20">
        <f t="shared" si="228"/>
        <v>1.8832484580699405</v>
      </c>
      <c r="B253" s="26">
        <f t="shared" si="217"/>
        <v>-0.30739296388378146</v>
      </c>
      <c r="C253" s="26">
        <f t="shared" si="218"/>
        <v>6.4729702952455703</v>
      </c>
      <c r="D253" s="26">
        <f t="shared" si="219"/>
        <v>8.6181957219133967</v>
      </c>
      <c r="E253" s="26">
        <f t="shared" si="220"/>
        <v>0.95158266364764355</v>
      </c>
      <c r="F253" s="77">
        <f t="shared" si="221"/>
        <v>1.8649441101297496E-3</v>
      </c>
      <c r="G253" s="77">
        <f t="shared" si="222"/>
        <v>1.7042006964157348</v>
      </c>
      <c r="H253" s="75">
        <f t="shared" si="223"/>
        <v>4.0878064173166528E-2</v>
      </c>
      <c r="I253" s="75">
        <f t="shared" si="224"/>
        <v>2.0355425955006456</v>
      </c>
      <c r="J253" s="77">
        <f t="shared" si="225"/>
        <v>-2.1319946306435807E-3</v>
      </c>
      <c r="K253" s="77">
        <f t="shared" si="226"/>
        <v>6.8870543099817136E-4</v>
      </c>
      <c r="L253" s="91">
        <f t="shared" si="227"/>
        <v>2.2404723331876774E-3</v>
      </c>
    </row>
    <row r="254" spans="1:12">
      <c r="A254" s="20">
        <f t="shared" si="228"/>
        <v>1.8578005059338603</v>
      </c>
      <c r="B254" s="26">
        <f t="shared" si="217"/>
        <v>-0.28308021920526594</v>
      </c>
      <c r="C254" s="26">
        <f t="shared" si="218"/>
        <v>6.4972830399240866</v>
      </c>
      <c r="D254" s="26">
        <f t="shared" si="219"/>
        <v>7.1941769888122087</v>
      </c>
      <c r="E254" s="26">
        <f t="shared" si="220"/>
        <v>0.95909623578382297</v>
      </c>
      <c r="F254" s="77">
        <f t="shared" si="221"/>
        <v>1.5503976209431706E-3</v>
      </c>
      <c r="G254" s="77">
        <f t="shared" si="222"/>
        <v>1.7047377483334722</v>
      </c>
      <c r="H254" s="75">
        <f t="shared" si="223"/>
        <v>4.0877013653181082E-2</v>
      </c>
      <c r="I254" s="75">
        <f t="shared" si="224"/>
        <v>2.0355429210888918</v>
      </c>
      <c r="J254" s="77">
        <f t="shared" si="225"/>
        <v>-1.7797166839745345E-3</v>
      </c>
      <c r="K254" s="77">
        <f t="shared" si="226"/>
        <v>5.2528888158032106E-4</v>
      </c>
      <c r="L254" s="91">
        <f t="shared" si="227"/>
        <v>1.85561846410549E-3</v>
      </c>
    </row>
    <row r="255" spans="1:12">
      <c r="A255" s="20">
        <f t="shared" si="228"/>
        <v>1.8323525537977801</v>
      </c>
      <c r="B255" s="26">
        <f t="shared" si="217"/>
        <v>-0.25858416216016183</v>
      </c>
      <c r="C255" s="26">
        <f t="shared" si="218"/>
        <v>6.5217790969691904</v>
      </c>
      <c r="D255" s="26">
        <f t="shared" si="219"/>
        <v>6.0135774602766103</v>
      </c>
      <c r="E255" s="26">
        <f t="shared" si="220"/>
        <v>0.96598873237731253</v>
      </c>
      <c r="F255" s="77">
        <f t="shared" si="221"/>
        <v>1.2915740442783928E-3</v>
      </c>
      <c r="G255" s="77">
        <f t="shared" si="222"/>
        <v>1.7051796597932474</v>
      </c>
      <c r="H255" s="75">
        <f t="shared" si="223"/>
        <v>4.0876291631358419E-2</v>
      </c>
      <c r="I255" s="75">
        <f t="shared" si="224"/>
        <v>2.0355431248719977</v>
      </c>
      <c r="J255" s="77">
        <f t="shared" si="225"/>
        <v>-1.487656496784981E-3</v>
      </c>
      <c r="K255" s="77">
        <f t="shared" si="226"/>
        <v>3.9822867069738146E-4</v>
      </c>
      <c r="L255" s="91">
        <f t="shared" si="227"/>
        <v>1.5400350407026348E-3</v>
      </c>
    </row>
    <row r="256" spans="1:12">
      <c r="A256" s="20">
        <f t="shared" si="228"/>
        <v>1.8069046016616999</v>
      </c>
      <c r="B256" s="26">
        <f t="shared" si="217"/>
        <v>-0.23392065549649743</v>
      </c>
      <c r="C256" s="26">
        <f t="shared" si="218"/>
        <v>6.5464426036328547</v>
      </c>
      <c r="D256" s="26">
        <f t="shared" si="219"/>
        <v>5.0328420638505769</v>
      </c>
      <c r="E256" s="26">
        <f t="shared" si="220"/>
        <v>0.97225569010013457</v>
      </c>
      <c r="F256" s="77">
        <f t="shared" si="221"/>
        <v>1.0780292595551184E-3</v>
      </c>
      <c r="G256" s="77">
        <f t="shared" si="222"/>
        <v>1.7055442629285584</v>
      </c>
      <c r="H256" s="75">
        <f t="shared" si="223"/>
        <v>4.0875793408971406E-2</v>
      </c>
      <c r="I256" s="75">
        <f t="shared" si="224"/>
        <v>2.0355432518909895</v>
      </c>
      <c r="J256" s="77">
        <f t="shared" si="225"/>
        <v>-1.2450392870196191E-3</v>
      </c>
      <c r="K256" s="77">
        <f t="shared" si="226"/>
        <v>2.9955124881657998E-4</v>
      </c>
      <c r="L256" s="91">
        <f t="shared" si="227"/>
        <v>1.280567755681008E-3</v>
      </c>
    </row>
    <row r="257" spans="1:16">
      <c r="A257" s="20">
        <f t="shared" si="228"/>
        <v>1.7814566495256197</v>
      </c>
      <c r="B257" s="26">
        <f t="shared" si="217"/>
        <v>-0.20910567039653186</v>
      </c>
      <c r="C257" s="26">
        <f t="shared" si="218"/>
        <v>6.57125758873282</v>
      </c>
      <c r="D257" s="26">
        <f t="shared" si="219"/>
        <v>4.2166323012582554</v>
      </c>
      <c r="E257" s="26">
        <f t="shared" si="220"/>
        <v>0.97789305070033961</v>
      </c>
      <c r="F257" s="77">
        <f t="shared" si="221"/>
        <v>9.0139519473494392E-4</v>
      </c>
      <c r="G257" s="77">
        <f t="shared" si="222"/>
        <v>1.7058458452590266</v>
      </c>
      <c r="H257" s="113">
        <f t="shared" si="223"/>
        <v>4.0875448344989906E-2</v>
      </c>
      <c r="I257" s="113">
        <f t="shared" si="224"/>
        <v>2.0355433305662425</v>
      </c>
      <c r="J257" s="77">
        <f t="shared" si="225"/>
        <v>-1.0431229129343766E-3</v>
      </c>
      <c r="K257" s="77">
        <f t="shared" si="226"/>
        <v>2.2305395856828353E-4</v>
      </c>
      <c r="L257" s="91">
        <f t="shared" si="227"/>
        <v>1.0667044951258435E-3</v>
      </c>
    </row>
    <row r="258" spans="1:16">
      <c r="G258" s="70" t="s">
        <v>67</v>
      </c>
      <c r="H258" s="365">
        <f>SQRT(H257*H257+POWER((I257-Yloch),2))</f>
        <v>5.4167616018661234E-2</v>
      </c>
      <c r="I258" s="365"/>
    </row>
    <row r="259" spans="1:16">
      <c r="A259" s="94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</row>
  </sheetData>
  <mergeCells count="2">
    <mergeCell ref="A1:C1"/>
    <mergeCell ref="H258:I258"/>
  </mergeCells>
  <conditionalFormatting sqref="AB36:AJ36">
    <cfRule type="cellIs" dxfId="2" priority="1" operator="greaterThan">
      <formula>0.01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H509"/>
  <sheetViews>
    <sheetView workbookViewId="0">
      <selection activeCell="P393" sqref="P393"/>
    </sheetView>
  </sheetViews>
  <sheetFormatPr baseColWidth="10" defaultRowHeight="15"/>
  <cols>
    <col min="1" max="19" width="5.7109375" customWidth="1"/>
    <col min="20" max="21" width="5.7109375" style="18" customWidth="1"/>
    <col min="22" max="56" width="5.7109375" customWidth="1"/>
    <col min="57" max="59" width="11.42578125" customWidth="1"/>
  </cols>
  <sheetData>
    <row r="1" spans="1:56">
      <c r="A1" s="367" t="s">
        <v>5</v>
      </c>
      <c r="B1" s="367"/>
      <c r="C1" s="367"/>
      <c r="D1" s="29" t="s">
        <v>72</v>
      </c>
      <c r="E1" s="29"/>
      <c r="F1" s="87">
        <f>Stufengrün!AH39</f>
        <v>17</v>
      </c>
      <c r="G1" s="29" t="s">
        <v>71</v>
      </c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94"/>
      <c r="AV1" s="94"/>
      <c r="AW1" s="94"/>
      <c r="AX1" s="94"/>
      <c r="AY1" s="94"/>
      <c r="AZ1" s="94"/>
      <c r="BA1" s="94"/>
      <c r="BB1" s="94"/>
      <c r="BC1" s="94"/>
      <c r="BD1" s="94"/>
    </row>
    <row r="2" spans="1:56">
      <c r="A2" s="88" t="s">
        <v>73</v>
      </c>
      <c r="B2" s="88"/>
      <c r="C2" s="23" t="str">
        <f>CONCATENATE("m",Stufengrün!AH40)</f>
        <v>m-8</v>
      </c>
      <c r="D2" s="23" t="s">
        <v>30</v>
      </c>
      <c r="E2" s="28"/>
      <c r="F2" s="28"/>
      <c r="G2" s="28"/>
      <c r="H2" s="36" t="s">
        <v>57</v>
      </c>
      <c r="I2" s="36" t="s">
        <v>51</v>
      </c>
      <c r="J2" s="36" t="s">
        <v>58</v>
      </c>
      <c r="K2" s="36" t="s">
        <v>59</v>
      </c>
      <c r="L2" s="28"/>
      <c r="M2" s="189" t="s">
        <v>96</v>
      </c>
      <c r="N2" s="28"/>
      <c r="O2" s="28"/>
      <c r="P2" s="28"/>
      <c r="R2" s="88" t="s">
        <v>74</v>
      </c>
      <c r="S2" s="88"/>
      <c r="T2" s="26" t="s">
        <v>65</v>
      </c>
      <c r="U2" s="26" t="s">
        <v>66</v>
      </c>
    </row>
    <row r="3" spans="1:56">
      <c r="A3" s="88" t="s">
        <v>69</v>
      </c>
      <c r="B3" s="88"/>
      <c r="C3" s="90">
        <f>Stufengrün!AI40</f>
        <v>1.0323563876231049E-2</v>
      </c>
      <c r="D3" s="26">
        <f>Stufengrün!AK40</f>
        <v>-1.4616059968409472</v>
      </c>
      <c r="E3" s="28"/>
      <c r="F3" s="28"/>
      <c r="G3" s="28"/>
      <c r="H3" s="146">
        <v>2</v>
      </c>
      <c r="I3" s="2">
        <f>Ystart</f>
        <v>-2</v>
      </c>
      <c r="J3" s="146">
        <v>-1.115</v>
      </c>
      <c r="K3" s="146">
        <v>3.4449999999999998</v>
      </c>
      <c r="L3" s="28"/>
      <c r="M3" s="189">
        <f>Yloch</f>
        <v>2</v>
      </c>
      <c r="N3" s="28"/>
      <c r="O3" s="28"/>
      <c r="P3" s="28"/>
      <c r="T3" s="110">
        <f>H22</f>
        <v>2</v>
      </c>
      <c r="U3" s="110">
        <f>I22</f>
        <v>-2</v>
      </c>
    </row>
    <row r="4" spans="1:56">
      <c r="A4" s="28"/>
      <c r="B4" s="28"/>
      <c r="C4" s="28"/>
      <c r="D4" s="28"/>
      <c r="E4" s="28"/>
      <c r="F4" s="28"/>
      <c r="G4" s="28"/>
      <c r="H4" s="37" t="s">
        <v>8</v>
      </c>
      <c r="I4" s="37" t="s">
        <v>8</v>
      </c>
      <c r="J4" s="37" t="s">
        <v>9</v>
      </c>
      <c r="K4" s="37" t="s">
        <v>9</v>
      </c>
      <c r="L4" s="28"/>
      <c r="M4" s="28"/>
      <c r="N4" s="28"/>
      <c r="O4" s="28"/>
      <c r="P4" s="28"/>
      <c r="T4" s="110">
        <f t="shared" ref="T4:U8" si="0">H23</f>
        <v>1.9666360805194365</v>
      </c>
      <c r="U4" s="110">
        <f t="shared" si="0"/>
        <v>-1.8969614726236912</v>
      </c>
    </row>
    <row r="5" spans="1:56">
      <c r="A5" s="88" t="s">
        <v>68</v>
      </c>
      <c r="B5" s="88"/>
      <c r="C5" s="115" t="s">
        <v>15</v>
      </c>
      <c r="D5" s="115" t="s">
        <v>55</v>
      </c>
      <c r="E5" s="115" t="s">
        <v>12</v>
      </c>
      <c r="F5" s="115" t="s">
        <v>10</v>
      </c>
      <c r="G5" s="115" t="s">
        <v>14</v>
      </c>
      <c r="H5" s="115" t="s">
        <v>21</v>
      </c>
      <c r="I5" s="115" t="s">
        <v>16</v>
      </c>
      <c r="J5" s="115" t="s">
        <v>17</v>
      </c>
      <c r="K5" s="115" t="s">
        <v>23</v>
      </c>
      <c r="L5" s="28"/>
      <c r="M5" s="28"/>
      <c r="N5" s="28"/>
      <c r="O5" s="28"/>
      <c r="P5" s="28"/>
      <c r="T5" s="110">
        <f t="shared" si="0"/>
        <v>1.9337035874816686</v>
      </c>
      <c r="U5" s="110">
        <f t="shared" si="0"/>
        <v>-1.7953452732086956</v>
      </c>
    </row>
    <row r="6" spans="1:56">
      <c r="A6" s="28"/>
      <c r="B6" s="28"/>
      <c r="C6" s="23">
        <f>Mü/TAN($C3)</f>
        <v>6.7803632591293521</v>
      </c>
      <c r="D6" s="42">
        <f>SQRT($J3*$J3+$K3*$K3)</f>
        <v>3.6209460089871541</v>
      </c>
      <c r="E6" s="20">
        <f>ATAN($J3/$K3)+PI()</f>
        <v>2.8285755016015774</v>
      </c>
      <c r="F6" s="23">
        <f>($E6-A19-0.0001)/5</f>
        <v>2.5938723203702054E-4</v>
      </c>
      <c r="G6" s="23">
        <f>COS($E6)</f>
        <v>-0.95140882836958685</v>
      </c>
      <c r="H6" s="23">
        <f>SIN($E6)</f>
        <v>0.30793057870307405</v>
      </c>
      <c r="I6" s="23">
        <f>$C6+$G6</f>
        <v>5.8289544307597652</v>
      </c>
      <c r="J6" s="23">
        <f>POWER(TAN($E6/2),$C6)</f>
        <v>273616.59142233862</v>
      </c>
      <c r="K6" s="23">
        <f>-$D6*$D6*SIN($E6)*SIN($E6)/(2*9.81*SIN($C3)*POWER(TAN($E6/2),2*$C6))</f>
        <v>-8.1986800756958569E-11</v>
      </c>
      <c r="L6" s="28"/>
      <c r="M6" s="28"/>
      <c r="N6" s="28"/>
      <c r="O6" s="28"/>
      <c r="P6" s="28"/>
      <c r="T6" s="110">
        <f t="shared" si="0"/>
        <v>1.9011965992837196</v>
      </c>
      <c r="U6" s="110">
        <f t="shared" si="0"/>
        <v>-1.6951306476852599</v>
      </c>
    </row>
    <row r="7" spans="1:56">
      <c r="A7" s="88" t="s">
        <v>70</v>
      </c>
      <c r="B7" s="88"/>
      <c r="C7" s="28"/>
      <c r="D7" s="28"/>
      <c r="E7" s="28"/>
      <c r="F7" s="28"/>
      <c r="G7" s="28"/>
      <c r="H7" s="28"/>
      <c r="I7" s="28"/>
      <c r="J7" s="28"/>
      <c r="K7" s="28"/>
      <c r="L7" s="28"/>
      <c r="M7" s="45"/>
      <c r="N7" s="28"/>
      <c r="O7" s="28"/>
      <c r="P7" s="28"/>
      <c r="T7" s="110">
        <f t="shared" si="0"/>
        <v>1.869109280316402</v>
      </c>
      <c r="U7" s="110">
        <f t="shared" si="0"/>
        <v>-1.5962971612217796</v>
      </c>
    </row>
    <row r="8" spans="1:56">
      <c r="A8" s="115" t="s">
        <v>11</v>
      </c>
      <c r="B8" s="115" t="s">
        <v>13</v>
      </c>
      <c r="C8" s="26" t="s">
        <v>22</v>
      </c>
      <c r="D8" s="26" t="s">
        <v>18</v>
      </c>
      <c r="E8" s="115" t="s">
        <v>19</v>
      </c>
      <c r="F8" s="26" t="s">
        <v>20</v>
      </c>
      <c r="G8" s="26" t="s">
        <v>2</v>
      </c>
      <c r="H8" s="26" t="s">
        <v>65</v>
      </c>
      <c r="I8" s="26" t="s">
        <v>66</v>
      </c>
      <c r="J8" s="76" t="s">
        <v>3</v>
      </c>
      <c r="K8" s="76" t="s">
        <v>4</v>
      </c>
      <c r="L8" s="116" t="s">
        <v>7</v>
      </c>
      <c r="M8" s="26" t="s">
        <v>64</v>
      </c>
      <c r="N8" s="26" t="s">
        <v>61</v>
      </c>
      <c r="O8" s="26" t="s">
        <v>62</v>
      </c>
      <c r="P8" s="115" t="s">
        <v>63</v>
      </c>
      <c r="T8" s="110">
        <f t="shared" si="0"/>
        <v>1.8374358796468591</v>
      </c>
      <c r="U8" s="110">
        <f t="shared" si="0"/>
        <v>-1.4988246930612532</v>
      </c>
    </row>
    <row r="9" spans="1:56">
      <c r="A9" s="20">
        <f>$E6</f>
        <v>2.8285755016015774</v>
      </c>
      <c r="B9" s="23">
        <f>COS(A9)</f>
        <v>-0.95140882836958685</v>
      </c>
      <c r="C9" s="23">
        <f>($C$6+B9)</f>
        <v>5.8289544307597652</v>
      </c>
      <c r="D9" s="23">
        <f>POWER(TAN(A9/2),$C$6)</f>
        <v>273616.59142233862</v>
      </c>
      <c r="E9" s="23">
        <f>SIN(A9)</f>
        <v>0.30793057870307405</v>
      </c>
      <c r="F9" s="71">
        <f>(C9*$H$6*D9/E9/$I$6/$J$6)</f>
        <v>1</v>
      </c>
      <c r="G9" s="71">
        <f t="shared" ref="G9:G19" si="1">$D$6*($C$6+$G$6)/9.81/SIN($C$3)/(1-$C$6*$C$6)*(F9-1)</f>
        <v>0</v>
      </c>
      <c r="H9" s="75">
        <f t="shared" ref="H9:H19" si="2">-(-$H$3+$K$6*((POWER(TAN(A9/2),2*$C$6-1)/(2*$C$6-1))+(POWER(TAN(A9/2),2*$C$6+1)/(2*$C$6+1))-(POWER(TAN($E$6/2),2*$C$6-1)/(2*$C$6-1))-(POWER(TAN($E$6/2),2*$C$6+1)/(2*$C$6+1))))</f>
        <v>2</v>
      </c>
      <c r="I9" s="75">
        <f t="shared" ref="I9:I19" si="3">-(-$I$3+0.5*$K$6*((POWER(TAN(A9/2),2*$C$6-2)/(2*$C$6-2))-(POWER(TAN(A9/2),2*$C$6+2)/(2*$C$6+2))-(POWER(TAN($E$6/2),2*$C$6-2)/(2*$C$6-2))+(POWER(TAN($E$6/2),2*$C$6+2)/(2*$C$6+2))))</f>
        <v>-2</v>
      </c>
      <c r="J9" s="71">
        <f t="shared" ref="J9:J19" si="4">-$D$6*SIN(A9)*($C$6+$G$6)/($C$6+B9)*F9</f>
        <v>-1.1150000000000007</v>
      </c>
      <c r="K9" s="71">
        <f t="shared" ref="K9:K19" si="5">-$D$6*COS(A9)*($C$6+$G$6)/($C$6+B9)*F9</f>
        <v>3.4449999999999998</v>
      </c>
      <c r="L9" s="42">
        <f>SQRT(J9*J9+K9*K9)</f>
        <v>3.6209460089871541</v>
      </c>
      <c r="M9" s="23">
        <v>3.0000000000000001E-3</v>
      </c>
      <c r="N9" s="75">
        <f t="shared" ref="N9:N19" si="6">-(-$I$3+0.5*$K$6*((POWER(TAN(A9/2),2*$C$6-2)/(2*$C$6-2))-(POWER(TAN(A9/2),2*$C$6+2)/(2*$C$6+2))-(POWER(TAN($E$6/2),2*$C$6-2)/(2*$C$6-2))+(POWER(TAN($E$6/2),2*$C$6+2)/(2*$C$6+2))))-$D$3</f>
        <v>-0.53839400315905284</v>
      </c>
      <c r="O9" s="75">
        <f>-(-$I$3+0.5*$K$6*((POWER(TAN((A9+$M$9)/2),2*$C$6-2)/(2*$C$6-2))-(POWER(TAN((A9+$M$9)/2),2*$C$6+2)/(2*$C$6+2))-(POWER(TAN($E$6/2),2*$C$6-2)/(2*$C$6-2))+(POWER(TAN($E$6/2),2*$C$6+2)/(2*$C$6+2))))-$D$3</f>
        <v>-1.8406850045120531</v>
      </c>
      <c r="P9" s="75">
        <f>A9-N9/(O9-N9)*$M$9</f>
        <v>2.8273352396264895</v>
      </c>
      <c r="T9" s="96">
        <f>H49</f>
        <v>1.8253343653945604</v>
      </c>
      <c r="U9" s="96">
        <f>I49</f>
        <v>-1.461605996847559</v>
      </c>
    </row>
    <row r="10" spans="1:56">
      <c r="A10" s="20">
        <f t="shared" ref="A10:A15" si="7">P9</f>
        <v>2.8273352396264895</v>
      </c>
      <c r="B10" s="23">
        <f t="shared" ref="B10:B19" si="8">COS(A10)</f>
        <v>-0.95102618212765755</v>
      </c>
      <c r="C10" s="23">
        <f t="shared" ref="C10:C19" si="9">($C$6+B10)</f>
        <v>5.8293370770016946</v>
      </c>
      <c r="D10" s="23">
        <f t="shared" ref="D10:D19" si="10">POWER(TAN(A10/2),$C$6)</f>
        <v>266259.26675967721</v>
      </c>
      <c r="E10" s="23">
        <f t="shared" ref="E10:E19" si="11">SIN(A10)</f>
        <v>0.3091103377561023</v>
      </c>
      <c r="F10" s="71">
        <f t="shared" ref="F10:F19" si="12">(C10*$H$6*D10/E10/$I$6/$J$6)</f>
        <v>0.96946045923334245</v>
      </c>
      <c r="G10" s="71">
        <f t="shared" si="1"/>
        <v>0.14152372885358971</v>
      </c>
      <c r="H10" s="75">
        <f t="shared" si="2"/>
        <v>1.8443212322281701</v>
      </c>
      <c r="I10" s="75">
        <f t="shared" si="3"/>
        <v>-1.5200065137525098</v>
      </c>
      <c r="J10" s="71">
        <f t="shared" si="4"/>
        <v>-1.0850185688440035</v>
      </c>
      <c r="K10" s="71">
        <f t="shared" si="5"/>
        <v>3.3382289138434245</v>
      </c>
      <c r="L10" s="42">
        <f t="shared" ref="L10:L19" si="13">SQRT(J10*J10+K10*K10)</f>
        <v>3.5101335552876813</v>
      </c>
      <c r="M10" s="28"/>
      <c r="N10" s="75">
        <f t="shared" si="6"/>
        <v>-5.8400516911562672E-2</v>
      </c>
      <c r="O10" s="75">
        <f t="shared" ref="O10:O19" si="14">-(-$I$3+0.5*$K$6*((POWER(TAN((A10+$M$9)/2),2*$C$6-2)/(2*$C$6-2))-(POWER(TAN((A10+$M$9)/2),2*$C$6+2)/(2*$C$6+2))-(POWER(TAN($E$6/2),2*$C$6-2)/(2*$C$6-2))+(POWER(TAN($E$6/2),2*$C$6+2)/(2*$C$6+2))))-$D$3</f>
        <v>-1.2766527882039638</v>
      </c>
      <c r="P10" s="75">
        <f t="shared" ref="P10:P19" si="15">A10-N10/(O10-N10)*$M$9</f>
        <v>2.8271914257753985</v>
      </c>
      <c r="T10" s="96">
        <f t="shared" ref="T10:U14" si="16">H50</f>
        <v>1.7900210286821252</v>
      </c>
      <c r="U10" s="96">
        <f t="shared" si="16"/>
        <v>-1.3531742459705258</v>
      </c>
    </row>
    <row r="11" spans="1:56">
      <c r="A11" s="20">
        <f t="shared" si="7"/>
        <v>2.8271914257753985</v>
      </c>
      <c r="B11" s="23">
        <f t="shared" si="8"/>
        <v>-0.95098171794496278</v>
      </c>
      <c r="C11" s="23">
        <f t="shared" si="9"/>
        <v>5.8293815411843894</v>
      </c>
      <c r="D11" s="23">
        <f t="shared" si="10"/>
        <v>265420.84190482367</v>
      </c>
      <c r="E11" s="23">
        <f t="shared" si="11"/>
        <v>0.30924710529679544</v>
      </c>
      <c r="F11" s="71">
        <f t="shared" si="12"/>
        <v>0.96598768632137377</v>
      </c>
      <c r="G11" s="71">
        <f t="shared" si="1"/>
        <v>0.15761695617874105</v>
      </c>
      <c r="H11" s="75">
        <f t="shared" si="2"/>
        <v>1.826887271935983</v>
      </c>
      <c r="I11" s="75">
        <f t="shared" si="3"/>
        <v>-1.4663813154198064</v>
      </c>
      <c r="J11" s="71">
        <f t="shared" si="4"/>
        <v>-1.0816019495947757</v>
      </c>
      <c r="K11" s="71">
        <f t="shared" si="5"/>
        <v>3.3260899214273727</v>
      </c>
      <c r="L11" s="42">
        <f t="shared" si="13"/>
        <v>3.4975329795139838</v>
      </c>
      <c r="M11" s="28"/>
      <c r="N11" s="75">
        <f t="shared" si="6"/>
        <v>-4.7753185788592667E-3</v>
      </c>
      <c r="O11" s="75">
        <f t="shared" si="14"/>
        <v>-1.2136608217840079</v>
      </c>
      <c r="P11" s="75">
        <f t="shared" si="15"/>
        <v>2.8271795752273534</v>
      </c>
      <c r="T11" s="96">
        <f t="shared" si="16"/>
        <v>1.7553431149748719</v>
      </c>
      <c r="U11" s="96">
        <f t="shared" si="16"/>
        <v>-1.2470025214501372</v>
      </c>
    </row>
    <row r="12" spans="1:56">
      <c r="A12" s="20">
        <f t="shared" si="7"/>
        <v>2.8271795752273534</v>
      </c>
      <c r="B12" s="23">
        <f t="shared" si="8"/>
        <v>-0.95097805313050798</v>
      </c>
      <c r="C12" s="26">
        <f t="shared" si="9"/>
        <v>5.829385205998844</v>
      </c>
      <c r="D12" s="26">
        <f t="shared" si="10"/>
        <v>265351.88838428882</v>
      </c>
      <c r="E12" s="26">
        <f t="shared" si="11"/>
        <v>0.30925837492961905</v>
      </c>
      <c r="F12" s="77">
        <f t="shared" si="12"/>
        <v>0.96570214782855623</v>
      </c>
      <c r="G12" s="77">
        <f t="shared" si="1"/>
        <v>0.15894017425014348</v>
      </c>
      <c r="H12" s="75">
        <f t="shared" si="2"/>
        <v>1.8254562625937685</v>
      </c>
      <c r="I12" s="75">
        <f t="shared" si="3"/>
        <v>-1.4619808334617748</v>
      </c>
      <c r="J12" s="77">
        <f t="shared" si="4"/>
        <v>-1.0813209608762309</v>
      </c>
      <c r="K12" s="77">
        <f t="shared" si="5"/>
        <v>3.3250918505192013</v>
      </c>
      <c r="L12" s="91">
        <f t="shared" si="13"/>
        <v>3.4964969376247854</v>
      </c>
      <c r="M12" s="92"/>
      <c r="N12" s="75">
        <f t="shared" si="6"/>
        <v>-3.7483662082760105E-4</v>
      </c>
      <c r="O12" s="75">
        <f t="shared" si="14"/>
        <v>-1.2084919046805713</v>
      </c>
      <c r="P12" s="75">
        <f t="shared" si="15"/>
        <v>2.8271786444319096</v>
      </c>
      <c r="T12" s="96">
        <f t="shared" si="16"/>
        <v>1.7212875212956513</v>
      </c>
      <c r="U12" s="96">
        <f t="shared" si="16"/>
        <v>-1.1430379152506058</v>
      </c>
    </row>
    <row r="13" spans="1:56">
      <c r="A13" s="20">
        <f t="shared" si="7"/>
        <v>2.8271786444319096</v>
      </c>
      <c r="B13" s="23">
        <f t="shared" si="8"/>
        <v>-0.95097776527380962</v>
      </c>
      <c r="C13" s="23">
        <f t="shared" si="9"/>
        <v>5.8293854938555425</v>
      </c>
      <c r="D13" s="23">
        <f t="shared" si="10"/>
        <v>265346.47332930251</v>
      </c>
      <c r="E13" s="23">
        <f t="shared" si="11"/>
        <v>0.30925926009552412</v>
      </c>
      <c r="F13" s="71">
        <f t="shared" si="12"/>
        <v>0.96567972437228444</v>
      </c>
      <c r="G13" s="71">
        <f t="shared" si="1"/>
        <v>0.15904408711411275</v>
      </c>
      <c r="H13" s="75">
        <f t="shared" si="2"/>
        <v>1.8253439005823533</v>
      </c>
      <c r="I13" s="75">
        <f t="shared" si="3"/>
        <v>-1.4616353177168788</v>
      </c>
      <c r="J13" s="71">
        <f t="shared" si="4"/>
        <v>-1.0812988942819561</v>
      </c>
      <c r="K13" s="71">
        <f t="shared" si="5"/>
        <v>3.325013471737845</v>
      </c>
      <c r="L13" s="42">
        <f t="shared" si="13"/>
        <v>3.4964155768463132</v>
      </c>
      <c r="M13" s="28"/>
      <c r="N13" s="75">
        <f t="shared" si="6"/>
        <v>-2.9320875931659884E-5</v>
      </c>
      <c r="O13" s="75">
        <f t="shared" si="14"/>
        <v>-1.2080860544688701</v>
      </c>
      <c r="P13" s="75">
        <f t="shared" si="15"/>
        <v>2.8271785716185844</v>
      </c>
      <c r="T13" s="96">
        <f t="shared" si="16"/>
        <v>1.6878414491506477</v>
      </c>
      <c r="U13" s="96">
        <f t="shared" si="16"/>
        <v>-1.0412288941445749</v>
      </c>
    </row>
    <row r="14" spans="1:56">
      <c r="A14" s="20">
        <f>P13</f>
        <v>2.8271785716185844</v>
      </c>
      <c r="B14" s="23">
        <f t="shared" si="8"/>
        <v>-0.95097774275561209</v>
      </c>
      <c r="C14" s="23">
        <f t="shared" si="9"/>
        <v>5.8293855163737405</v>
      </c>
      <c r="D14" s="23">
        <f t="shared" si="10"/>
        <v>265346.04973116866</v>
      </c>
      <c r="E14" s="23">
        <f t="shared" si="11"/>
        <v>0.30925932933937655</v>
      </c>
      <c r="F14" s="71">
        <f t="shared" si="12"/>
        <v>0.96567797027752478</v>
      </c>
      <c r="G14" s="71">
        <f t="shared" si="1"/>
        <v>0.15905221579008227</v>
      </c>
      <c r="H14" s="75">
        <f t="shared" si="2"/>
        <v>1.8253351110610312</v>
      </c>
      <c r="I14" s="75">
        <f t="shared" si="3"/>
        <v>-1.461608289784692</v>
      </c>
      <c r="J14" s="71">
        <f t="shared" si="4"/>
        <v>-1.0812971681003791</v>
      </c>
      <c r="K14" s="71">
        <f t="shared" si="5"/>
        <v>3.3250073404890061</v>
      </c>
      <c r="L14" s="42">
        <f t="shared" si="13"/>
        <v>3.4964092123273662</v>
      </c>
      <c r="M14" s="28"/>
      <c r="N14" s="75">
        <f t="shared" si="6"/>
        <v>-2.2929437448748757E-6</v>
      </c>
      <c r="O14" s="75">
        <f t="shared" si="14"/>
        <v>-1.2080543068874543</v>
      </c>
      <c r="P14" s="75">
        <f t="shared" si="15"/>
        <v>2.8271785659244331</v>
      </c>
      <c r="T14" s="96">
        <f t="shared" si="16"/>
        <v>1.6549923966607749</v>
      </c>
      <c r="U14" s="96">
        <f t="shared" si="16"/>
        <v>-0.94152526045222285</v>
      </c>
    </row>
    <row r="15" spans="1:56">
      <c r="A15" s="20">
        <f t="shared" si="7"/>
        <v>2.8271785659244331</v>
      </c>
      <c r="B15" s="23">
        <f t="shared" si="8"/>
        <v>-0.95097774099464261</v>
      </c>
      <c r="C15" s="23">
        <f t="shared" si="9"/>
        <v>5.8293855181347096</v>
      </c>
      <c r="D15" s="23">
        <f t="shared" si="10"/>
        <v>265346.01660495799</v>
      </c>
      <c r="E15" s="23">
        <f t="shared" si="11"/>
        <v>0.30925933475438777</v>
      </c>
      <c r="F15" s="71">
        <f t="shared" si="12"/>
        <v>0.9656778331038669</v>
      </c>
      <c r="G15" s="71">
        <f t="shared" si="1"/>
        <v>0.15905285146852</v>
      </c>
      <c r="H15" s="75">
        <f t="shared" si="2"/>
        <v>1.8253344237037767</v>
      </c>
      <c r="I15" s="75">
        <f t="shared" si="3"/>
        <v>-1.4616061761493819</v>
      </c>
      <c r="J15" s="71">
        <f t="shared" si="4"/>
        <v>-1.0812970331095708</v>
      </c>
      <c r="K15" s="71">
        <f t="shared" si="5"/>
        <v>3.3250068610133021</v>
      </c>
      <c r="L15" s="42">
        <f t="shared" si="13"/>
        <v>3.4964087146094767</v>
      </c>
      <c r="M15" s="28"/>
      <c r="N15" s="75">
        <f t="shared" si="6"/>
        <v>-1.7930843476676728E-7</v>
      </c>
      <c r="O15" s="75">
        <f t="shared" si="14"/>
        <v>-1.2080518241667142</v>
      </c>
      <c r="P15" s="75">
        <f t="shared" si="15"/>
        <v>2.8271785654791497</v>
      </c>
      <c r="T15" s="129">
        <f>H76</f>
        <v>1.6511954061839587</v>
      </c>
      <c r="U15" s="129">
        <f>I76</f>
        <v>-0.93001918678854367</v>
      </c>
    </row>
    <row r="16" spans="1:56">
      <c r="A16" s="20">
        <f>P15</f>
        <v>2.8271785654791497</v>
      </c>
      <c r="B16" s="23">
        <f>COS(A16)</f>
        <v>-0.95097774085693454</v>
      </c>
      <c r="C16" s="23">
        <f>($C$6+B16)</f>
        <v>5.8293855182724172</v>
      </c>
      <c r="D16" s="23">
        <f>POWER(TAN(A16/2),$C$6)</f>
        <v>265346.01401448494</v>
      </c>
      <c r="E16" s="23">
        <f>SIN(A16)</f>
        <v>0.30925933517784232</v>
      </c>
      <c r="F16" s="71">
        <f>(C16*$H$6*D16/E16/$I$6/$J$6)</f>
        <v>0.9656778223768725</v>
      </c>
      <c r="G16" s="71">
        <f>$D$6*($C$6+$G$6)/9.81/SIN($C$3)/(1-$C$6*$C$6)*(F16-1)</f>
        <v>0.15905290117864035</v>
      </c>
      <c r="H16" s="75">
        <f>-(-$H$3+$K$6*((POWER(TAN(A16/2),2*$C$6-1)/(2*$C$6-1))+(POWER(TAN(A16/2),2*$C$6+1)/(2*$C$6+1))-(POWER(TAN($E$6/2),2*$C$6-1)/(2*$C$6-1))-(POWER(TAN($E$6/2),2*$C$6+1)/(2*$C$6+1))))</f>
        <v>1.8253343699523681</v>
      </c>
      <c r="I16" s="75">
        <f>-(-$I$3+0.5*$K$6*((POWER(TAN(A16/2),2*$C$6-2)/(2*$C$6-2))-(POWER(TAN(A16/2),2*$C$6+2)/(2*$C$6+2))-(POWER(TAN($E$6/2),2*$C$6-2)/(2*$C$6-2))+(POWER(TAN($E$6/2),2*$C$6+2)/(2*$C$6+2))))</f>
        <v>-1.4616060108628883</v>
      </c>
      <c r="J16" s="71">
        <f>-$D$6*SIN(A16)*($C$6+$G$6)/($C$6+B16)*F16</f>
        <v>-1.0812970225532756</v>
      </c>
      <c r="K16" s="71">
        <f>-$D$6*COS(A16)*($C$6+$G$6)/($C$6+B16)*F16</f>
        <v>3.3250068235182519</v>
      </c>
      <c r="L16" s="42">
        <f>SQRT(J16*J16+K16*K16)</f>
        <v>3.4964086756878858</v>
      </c>
      <c r="M16" s="28"/>
      <c r="N16" s="75">
        <f>-(-$I$3+0.5*$K$6*((POWER(TAN(A16/2),2*$C$6-2)/(2*$C$6-2))-(POWER(TAN(A16/2),2*$C$6+2)/(2*$C$6+2))-(POWER(TAN($E$6/2),2*$C$6-2)/(2*$C$6-2))+(POWER(TAN($E$6/2),2*$C$6+2)/(2*$C$6+2))))-$D$3</f>
        <v>-1.4021941163733231E-8</v>
      </c>
      <c r="O16" s="75">
        <f t="shared" si="14"/>
        <v>-1.2080516300176916</v>
      </c>
      <c r="P16" s="75">
        <f t="shared" si="15"/>
        <v>2.8271785654443287</v>
      </c>
      <c r="T16" s="129">
        <f t="shared" ref="T16:U20" si="17">H77</f>
        <v>1.6331326487736184</v>
      </c>
      <c r="U16" s="129">
        <f t="shared" si="17"/>
        <v>-0.87537953956733838</v>
      </c>
    </row>
    <row r="17" spans="1:21">
      <c r="A17" s="20">
        <f>P16</f>
        <v>2.8271785654443287</v>
      </c>
      <c r="B17" s="23">
        <f t="shared" si="8"/>
        <v>-0.95097774084616582</v>
      </c>
      <c r="C17" s="23">
        <f t="shared" si="9"/>
        <v>5.8293855182831864</v>
      </c>
      <c r="D17" s="23">
        <f t="shared" si="10"/>
        <v>265346.01381191035</v>
      </c>
      <c r="E17" s="23">
        <f t="shared" si="11"/>
        <v>0.30925933521095639</v>
      </c>
      <c r="F17" s="71">
        <f t="shared" si="12"/>
        <v>0.96567782153802351</v>
      </c>
      <c r="G17" s="71">
        <f t="shared" si="1"/>
        <v>0.15905290506596262</v>
      </c>
      <c r="H17" s="75">
        <f t="shared" si="2"/>
        <v>1.8253343657490231</v>
      </c>
      <c r="I17" s="75">
        <f t="shared" si="3"/>
        <v>-1.4616059979375233</v>
      </c>
      <c r="J17" s="71">
        <f t="shared" si="4"/>
        <v>-1.0812970217277751</v>
      </c>
      <c r="K17" s="71">
        <f t="shared" si="5"/>
        <v>3.3250068205861454</v>
      </c>
      <c r="L17" s="42">
        <f t="shared" si="13"/>
        <v>3.4964086726442241</v>
      </c>
      <c r="M17" s="28"/>
      <c r="N17" s="75">
        <f t="shared" si="6"/>
        <v>-1.0965761632064641E-9</v>
      </c>
      <c r="O17" s="75">
        <f t="shared" si="14"/>
        <v>-1.2080516148352851</v>
      </c>
      <c r="P17" s="75">
        <f t="shared" si="15"/>
        <v>2.8271785654416055</v>
      </c>
      <c r="T17" s="129">
        <f t="shared" si="17"/>
        <v>1.6153005650599723</v>
      </c>
      <c r="U17" s="129">
        <f t="shared" si="17"/>
        <v>-0.8216091331882649</v>
      </c>
    </row>
    <row r="18" spans="1:21">
      <c r="A18" s="20">
        <f>P17</f>
        <v>2.8271785654416055</v>
      </c>
      <c r="B18" s="23">
        <f t="shared" si="8"/>
        <v>-0.95097774084532372</v>
      </c>
      <c r="C18" s="23">
        <f t="shared" si="9"/>
        <v>5.8293855182840284</v>
      </c>
      <c r="D18" s="23">
        <f t="shared" si="10"/>
        <v>265346.01379606785</v>
      </c>
      <c r="E18" s="23">
        <f t="shared" si="11"/>
        <v>0.30925933521354604</v>
      </c>
      <c r="F18" s="71">
        <f t="shared" si="12"/>
        <v>0.96567782147242098</v>
      </c>
      <c r="G18" s="71">
        <f t="shared" si="1"/>
        <v>0.15905290536997224</v>
      </c>
      <c r="H18" s="75">
        <f t="shared" si="2"/>
        <v>1.8253343654203018</v>
      </c>
      <c r="I18" s="75">
        <f t="shared" si="3"/>
        <v>-1.461605996926711</v>
      </c>
      <c r="J18" s="71">
        <f t="shared" si="4"/>
        <v>-1.0812970216632165</v>
      </c>
      <c r="K18" s="71">
        <f t="shared" si="5"/>
        <v>3.325006820356839</v>
      </c>
      <c r="L18" s="42">
        <f t="shared" si="13"/>
        <v>3.4964086724061936</v>
      </c>
      <c r="M18" s="28"/>
      <c r="N18" s="75">
        <f t="shared" si="6"/>
        <v>-8.5763840473873643E-11</v>
      </c>
      <c r="O18" s="75">
        <f t="shared" si="14"/>
        <v>-1.2080516136479424</v>
      </c>
      <c r="P18" s="75">
        <f t="shared" si="15"/>
        <v>2.8271785654413923</v>
      </c>
      <c r="R18" s="84"/>
      <c r="S18" s="84"/>
      <c r="T18" s="129">
        <f t="shared" si="17"/>
        <v>1.5976955302287648</v>
      </c>
      <c r="U18" s="129">
        <f t="shared" si="17"/>
        <v>-0.76869166948982959</v>
      </c>
    </row>
    <row r="19" spans="1:21">
      <c r="A19" s="20">
        <f>P18</f>
        <v>2.8271785654413923</v>
      </c>
      <c r="B19" s="23">
        <f t="shared" si="8"/>
        <v>-0.95097774084525777</v>
      </c>
      <c r="C19" s="23">
        <f t="shared" si="9"/>
        <v>5.8293855182840941</v>
      </c>
      <c r="D19" s="23">
        <f t="shared" si="10"/>
        <v>265346.01379482774</v>
      </c>
      <c r="E19" s="23">
        <f t="shared" si="11"/>
        <v>0.30925933521374871</v>
      </c>
      <c r="F19" s="71">
        <f t="shared" si="12"/>
        <v>0.96567782146728576</v>
      </c>
      <c r="G19" s="71">
        <f t="shared" si="1"/>
        <v>0.15905290539376946</v>
      </c>
      <c r="H19" s="81">
        <f t="shared" si="2"/>
        <v>1.8253343653945604</v>
      </c>
      <c r="I19" s="81">
        <f t="shared" si="3"/>
        <v>-1.461605996847559</v>
      </c>
      <c r="J19" s="80">
        <f t="shared" si="4"/>
        <v>-1.0812970216581628</v>
      </c>
      <c r="K19" s="80">
        <f t="shared" si="5"/>
        <v>3.3250068203388898</v>
      </c>
      <c r="L19" s="42">
        <f t="shared" si="13"/>
        <v>3.4964086723875614</v>
      </c>
      <c r="M19" s="28"/>
      <c r="N19" s="75">
        <f t="shared" si="6"/>
        <v>-6.6118222008526573E-12</v>
      </c>
      <c r="O19" s="75">
        <f t="shared" si="14"/>
        <v>-1.2080516135550043</v>
      </c>
      <c r="P19" s="75">
        <f t="shared" si="15"/>
        <v>2.8271785654413759</v>
      </c>
      <c r="R19" s="84"/>
      <c r="S19" s="84"/>
      <c r="T19" s="129">
        <f t="shared" si="17"/>
        <v>1.5803139869553087</v>
      </c>
      <c r="U19" s="129">
        <f t="shared" si="17"/>
        <v>-0.71661120235878117</v>
      </c>
    </row>
    <row r="20" spans="1:21">
      <c r="A20" s="88" t="s">
        <v>60</v>
      </c>
      <c r="B20" s="8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R20" s="84"/>
      <c r="S20" s="84"/>
      <c r="T20" s="129">
        <f t="shared" si="17"/>
        <v>1.563152443953534</v>
      </c>
      <c r="U20" s="129">
        <f t="shared" si="17"/>
        <v>-0.66535212912435227</v>
      </c>
    </row>
    <row r="21" spans="1:21">
      <c r="A21" s="26" t="s">
        <v>11</v>
      </c>
      <c r="B21" s="26" t="s">
        <v>13</v>
      </c>
      <c r="C21" s="26" t="s">
        <v>22</v>
      </c>
      <c r="D21" s="26" t="s">
        <v>18</v>
      </c>
      <c r="E21" s="26" t="s">
        <v>19</v>
      </c>
      <c r="F21" s="26" t="s">
        <v>20</v>
      </c>
      <c r="G21" s="26" t="s">
        <v>2</v>
      </c>
      <c r="H21" s="26" t="s">
        <v>1</v>
      </c>
      <c r="I21" s="26" t="s">
        <v>0</v>
      </c>
      <c r="J21" s="76" t="s">
        <v>3</v>
      </c>
      <c r="K21" s="76" t="s">
        <v>4</v>
      </c>
      <c r="L21" s="44" t="s">
        <v>7</v>
      </c>
      <c r="M21" s="240" t="s">
        <v>24</v>
      </c>
      <c r="N21" s="28"/>
      <c r="O21" s="28"/>
      <c r="P21" s="31"/>
      <c r="Q21" s="84"/>
      <c r="R21" s="84"/>
      <c r="S21" s="84"/>
      <c r="T21" s="131">
        <f>H103</f>
        <v>1.5613585395936456</v>
      </c>
      <c r="U21" s="131">
        <f>I103</f>
        <v>-0.66000334397620364</v>
      </c>
    </row>
    <row r="22" spans="1:21">
      <c r="A22" s="20">
        <f>$E$6</f>
        <v>2.8285755016015774</v>
      </c>
      <c r="B22" s="23">
        <f t="shared" ref="B22:B27" si="18">COS(A22)</f>
        <v>-0.95140882836958685</v>
      </c>
      <c r="C22" s="23">
        <f t="shared" ref="C22:C27" si="19">($C$6+B22)</f>
        <v>5.8289544307597652</v>
      </c>
      <c r="D22" s="23">
        <f t="shared" ref="D22:D27" si="20">POWER(TAN(A22/2),$C$6)</f>
        <v>273616.59142233862</v>
      </c>
      <c r="E22" s="23">
        <f t="shared" ref="E22:E27" si="21">SIN(A22)</f>
        <v>0.30793057870307405</v>
      </c>
      <c r="F22" s="71">
        <f t="shared" ref="F22:F27" si="22">(C22*$H$6*D22/E22/$I$6/$J$6)</f>
        <v>1</v>
      </c>
      <c r="G22" s="71">
        <f t="shared" ref="G22:G27" si="23">$D$6*($C$6+$G$6)/9.81/SIN($C$3)/(1-$C$6*$C$6)*(F22-1)</f>
        <v>0</v>
      </c>
      <c r="H22" s="80">
        <f t="shared" ref="H22:H27" si="24">-(-$H$3+$K$6*((POWER(TAN(A22/2),2*$C$6-1)/(2*$C$6-1))+(POWER(TAN(A22/2),2*$C$6+1)/(2*$C$6+1))-(POWER(TAN($E$6/2),2*$C$6-1)/(2*$C$6-1))-(POWER(TAN($E$6/2),2*$C$6+1)/(2*$C$6+1))))</f>
        <v>2</v>
      </c>
      <c r="I22" s="80">
        <f t="shared" ref="I22:I27" si="25">-(-$I$3+0.5*$K$6*((POWER(TAN(A22/2),2*$C$6-2)/(2*$C$6-2))-(POWER(TAN(A22/2),2*$C$6+2)/(2*$C$6+2))-(POWER(TAN($E$6/2),2*$C$6-2)/(2*$C$6-2))+(POWER(TAN($E$6/2),2*$C$6+2)/(2*$C$6+2))))</f>
        <v>-2</v>
      </c>
      <c r="J22" s="71">
        <f t="shared" ref="J22:J27" si="26">-$D$6*SIN(A22)*($C$6+$G$6)/($C$6+B22)*F22</f>
        <v>-1.1150000000000007</v>
      </c>
      <c r="K22" s="71">
        <f t="shared" ref="K22:K27" si="27">-$D$6*COS(A22)*($C$6+$G$6)/($C$6+B22)*F22</f>
        <v>3.4449999999999998</v>
      </c>
      <c r="L22" s="72">
        <f t="shared" ref="L22:L27" si="28">SQRT(J22*J22+K22*K22)</f>
        <v>3.6209460089871541</v>
      </c>
      <c r="M22" s="241">
        <f>-K22/J22*H22+I22</f>
        <v>4.1793721973094131</v>
      </c>
      <c r="N22" s="28"/>
      <c r="O22" s="28"/>
      <c r="P22" s="31"/>
      <c r="Q22" s="84"/>
      <c r="R22" s="84"/>
      <c r="S22" s="84"/>
      <c r="T22" s="131">
        <f t="shared" ref="T22:U26" si="29">H104</f>
        <v>1.5498589936348113</v>
      </c>
      <c r="U22" s="131">
        <f t="shared" si="29"/>
        <v>-0.62578171330392929</v>
      </c>
    </row>
    <row r="23" spans="1:21">
      <c r="A23" s="20">
        <f>A22-$F$6</f>
        <v>2.8283161143695406</v>
      </c>
      <c r="B23" s="23">
        <f t="shared" si="18"/>
        <v>-0.95132892310379447</v>
      </c>
      <c r="C23" s="23">
        <f t="shared" si="19"/>
        <v>5.8290343360255576</v>
      </c>
      <c r="D23" s="23">
        <f t="shared" si="20"/>
        <v>272058.91209323879</v>
      </c>
      <c r="E23" s="23">
        <f t="shared" si="21"/>
        <v>0.30817735164378102</v>
      </c>
      <c r="F23" s="71">
        <f t="shared" si="22"/>
        <v>0.99352450105399059</v>
      </c>
      <c r="G23" s="71">
        <f t="shared" si="23"/>
        <v>3.0008203595100823E-2</v>
      </c>
      <c r="H23" s="81">
        <f t="shared" si="24"/>
        <v>1.9666360805194365</v>
      </c>
      <c r="I23" s="81">
        <f t="shared" si="25"/>
        <v>-1.8969614726236912</v>
      </c>
      <c r="J23" s="71">
        <f t="shared" si="26"/>
        <v>-1.1086523861988131</v>
      </c>
      <c r="K23" s="71">
        <f t="shared" si="27"/>
        <v>3.4223575322240993</v>
      </c>
      <c r="L23" s="42">
        <f t="shared" si="28"/>
        <v>3.5974492618792206</v>
      </c>
      <c r="M23" s="45"/>
      <c r="N23" s="28"/>
      <c r="O23" s="28"/>
      <c r="P23" s="31"/>
      <c r="Q23" s="84"/>
      <c r="R23" s="84"/>
      <c r="S23" s="84"/>
      <c r="T23" s="131">
        <f t="shared" si="29"/>
        <v>1.5384859997920273</v>
      </c>
      <c r="U23" s="131">
        <f t="shared" si="29"/>
        <v>-0.59205556477321586</v>
      </c>
    </row>
    <row r="24" spans="1:21">
      <c r="A24" s="20">
        <f>A23-$F$6</f>
        <v>2.8280567271375037</v>
      </c>
      <c r="B24" s="23">
        <f t="shared" si="18"/>
        <v>-0.95124895383094088</v>
      </c>
      <c r="C24" s="23">
        <f t="shared" si="19"/>
        <v>5.8291143052984111</v>
      </c>
      <c r="D24" s="23">
        <f t="shared" si="20"/>
        <v>270511.33664883225</v>
      </c>
      <c r="E24" s="23">
        <f t="shared" si="21"/>
        <v>0.30842410384978086</v>
      </c>
      <c r="F24" s="71">
        <f t="shared" si="22"/>
        <v>0.98709615476994594</v>
      </c>
      <c r="G24" s="71">
        <f t="shared" si="23"/>
        <v>5.9797896355424762E-2</v>
      </c>
      <c r="H24" s="81">
        <f t="shared" si="24"/>
        <v>1.9337035874816686</v>
      </c>
      <c r="I24" s="81">
        <f t="shared" si="25"/>
        <v>-1.7953452732086956</v>
      </c>
      <c r="J24" s="71">
        <f t="shared" si="26"/>
        <v>-1.1023459461852767</v>
      </c>
      <c r="K24" s="71">
        <f t="shared" si="27"/>
        <v>3.3998815753364413</v>
      </c>
      <c r="L24" s="42">
        <f t="shared" si="28"/>
        <v>3.5741238522725141</v>
      </c>
      <c r="M24" s="45"/>
      <c r="N24" s="28"/>
      <c r="O24" s="28"/>
      <c r="P24" s="28"/>
      <c r="Q24" s="84"/>
      <c r="R24" s="85"/>
      <c r="S24" s="85"/>
      <c r="T24" s="131">
        <f t="shared" si="29"/>
        <v>1.5272377478784616</v>
      </c>
      <c r="U24" s="131">
        <f t="shared" si="29"/>
        <v>-0.55881616424408509</v>
      </c>
    </row>
    <row r="25" spans="1:21">
      <c r="A25" s="20">
        <f>A24-$F$6</f>
        <v>2.8277973399054668</v>
      </c>
      <c r="B25" s="23">
        <f t="shared" si="18"/>
        <v>-0.95116892055640656</v>
      </c>
      <c r="C25" s="23">
        <f t="shared" si="19"/>
        <v>5.8291943385729459</v>
      </c>
      <c r="D25" s="23">
        <f t="shared" si="20"/>
        <v>268973.7914418531</v>
      </c>
      <c r="E25" s="23">
        <f t="shared" si="21"/>
        <v>0.3086708353044717</v>
      </c>
      <c r="F25" s="71">
        <f t="shared" si="22"/>
        <v>0.98071457962489805</v>
      </c>
      <c r="G25" s="71">
        <f t="shared" si="23"/>
        <v>8.9370846302091939E-2</v>
      </c>
      <c r="H25" s="81">
        <f t="shared" si="24"/>
        <v>1.9011965992837196</v>
      </c>
      <c r="I25" s="81">
        <f t="shared" si="25"/>
        <v>-1.6951306476852599</v>
      </c>
      <c r="J25" s="71">
        <f t="shared" si="26"/>
        <v>-1.0960803798434477</v>
      </c>
      <c r="K25" s="71">
        <f t="shared" si="27"/>
        <v>3.377570772795472</v>
      </c>
      <c r="L25" s="42">
        <f t="shared" si="28"/>
        <v>3.5509683924698567</v>
      </c>
      <c r="M25" s="45"/>
      <c r="N25" s="28"/>
      <c r="O25" s="28"/>
      <c r="P25" s="28"/>
      <c r="Q25" s="84"/>
      <c r="T25" s="131">
        <f t="shared" si="29"/>
        <v>1.5161124594232582</v>
      </c>
      <c r="U25" s="131">
        <f t="shared" si="29"/>
        <v>-0.52605495911825528</v>
      </c>
    </row>
    <row r="26" spans="1:21">
      <c r="A26" s="20">
        <f>A25-$F$6</f>
        <v>2.8275379526734299</v>
      </c>
      <c r="B26" s="23">
        <f t="shared" si="18"/>
        <v>-0.95108882328557631</v>
      </c>
      <c r="C26" s="23">
        <f t="shared" si="19"/>
        <v>5.829274435843776</v>
      </c>
      <c r="D26" s="23">
        <f t="shared" si="20"/>
        <v>267446.20342127886</v>
      </c>
      <c r="E26" s="23">
        <f t="shared" si="21"/>
        <v>0.30891754599125287</v>
      </c>
      <c r="F26" s="71">
        <f t="shared" si="22"/>
        <v>0.97437939749225966</v>
      </c>
      <c r="G26" s="71">
        <f t="shared" si="23"/>
        <v>0.11872880571700524</v>
      </c>
      <c r="H26" s="81">
        <f t="shared" si="24"/>
        <v>1.869109280316402</v>
      </c>
      <c r="I26" s="81">
        <f t="shared" si="25"/>
        <v>-1.5962971612217796</v>
      </c>
      <c r="J26" s="71">
        <f t="shared" si="26"/>
        <v>-1.0898553894871021</v>
      </c>
      <c r="K26" s="71">
        <f t="shared" si="27"/>
        <v>3.3554237801956437</v>
      </c>
      <c r="L26" s="42">
        <f t="shared" si="28"/>
        <v>3.5279815071364116</v>
      </c>
      <c r="M26" s="45"/>
      <c r="N26" s="28"/>
      <c r="O26" s="28"/>
      <c r="P26" s="28"/>
      <c r="Q26" s="84"/>
      <c r="T26" s="131">
        <f t="shared" si="29"/>
        <v>1.5051083870149313</v>
      </c>
      <c r="U26" s="131">
        <f t="shared" si="29"/>
        <v>-0.49376357399471577</v>
      </c>
    </row>
    <row r="27" spans="1:21">
      <c r="A27" s="20">
        <f>A26-$F$6</f>
        <v>2.827278565441393</v>
      </c>
      <c r="B27" s="23">
        <f t="shared" si="18"/>
        <v>-0.95100866202383905</v>
      </c>
      <c r="C27" s="23">
        <f t="shared" si="19"/>
        <v>5.829354597105513</v>
      </c>
      <c r="D27" s="23">
        <f t="shared" si="20"/>
        <v>265928.50012701616</v>
      </c>
      <c r="E27" s="23">
        <f t="shared" si="21"/>
        <v>0.30916423589352543</v>
      </c>
      <c r="F27" s="71">
        <f t="shared" si="22"/>
        <v>0.96809023360881519</v>
      </c>
      <c r="G27" s="71">
        <f t="shared" si="23"/>
        <v>0.14787351129581802</v>
      </c>
      <c r="H27" s="81">
        <f t="shared" si="24"/>
        <v>1.8374358796468591</v>
      </c>
      <c r="I27" s="81">
        <f t="shared" si="25"/>
        <v>-1.4988246930612532</v>
      </c>
      <c r="J27" s="71">
        <f t="shared" si="26"/>
        <v>-1.0836706798380775</v>
      </c>
      <c r="K27" s="71">
        <f t="shared" si="27"/>
        <v>3.3334392651490279</v>
      </c>
      <c r="L27" s="42">
        <f t="shared" si="28"/>
        <v>3.5051618331794629</v>
      </c>
      <c r="M27" s="45"/>
      <c r="N27" s="28"/>
      <c r="O27" s="28"/>
      <c r="P27" s="28"/>
      <c r="Q27" s="85"/>
      <c r="T27" s="101">
        <f>H130</f>
        <v>1.5040801959525505</v>
      </c>
      <c r="U27" s="101">
        <f>I130</f>
        <v>-0.49075210650337375</v>
      </c>
    </row>
    <row r="28" spans="1:21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T28" s="101">
        <f t="shared" ref="T28:U32" si="30">H131</f>
        <v>1.4955895621306845</v>
      </c>
      <c r="U28" s="101">
        <f t="shared" si="30"/>
        <v>-0.46593761056997274</v>
      </c>
    </row>
    <row r="29" spans="1:21">
      <c r="A29" s="88" t="s">
        <v>73</v>
      </c>
      <c r="B29" s="88"/>
      <c r="C29" s="23" t="str">
        <f>CONCATENATE("m",Stufengrün!AH41)</f>
        <v>m-7</v>
      </c>
      <c r="D29" s="23" t="s">
        <v>30</v>
      </c>
      <c r="E29" s="28"/>
      <c r="F29" s="28"/>
      <c r="G29" s="28"/>
      <c r="H29" s="36" t="s">
        <v>57</v>
      </c>
      <c r="I29" s="36" t="s">
        <v>51</v>
      </c>
      <c r="J29" s="36" t="s">
        <v>58</v>
      </c>
      <c r="K29" s="36" t="s">
        <v>59</v>
      </c>
      <c r="L29" s="28"/>
      <c r="M29" s="28"/>
      <c r="N29" s="28"/>
      <c r="O29" s="28"/>
      <c r="P29" s="28"/>
      <c r="T29" s="101">
        <f t="shared" si="30"/>
        <v>1.4871899466907805</v>
      </c>
      <c r="U29" s="101">
        <f t="shared" si="30"/>
        <v>-0.4414870556017817</v>
      </c>
    </row>
    <row r="30" spans="1:21">
      <c r="A30" s="88" t="s">
        <v>69</v>
      </c>
      <c r="B30" s="88"/>
      <c r="C30" s="36">
        <f>Stufengrün!AI41</f>
        <v>2.9955432767914274E-2</v>
      </c>
      <c r="D30" s="26">
        <f>Stufengrün!AK41</f>
        <v>-0.93001918678854067</v>
      </c>
      <c r="E30" s="28"/>
      <c r="F30" s="28"/>
      <c r="G30" s="28"/>
      <c r="H30" s="78">
        <f>H19</f>
        <v>1.8253343653945604</v>
      </c>
      <c r="I30" s="78">
        <f>I19</f>
        <v>-1.461605996847559</v>
      </c>
      <c r="J30" s="78">
        <f>J19</f>
        <v>-1.0812970216581628</v>
      </c>
      <c r="K30" s="78">
        <f>K19</f>
        <v>3.3250068203388898</v>
      </c>
      <c r="L30" s="28"/>
      <c r="M30" s="28"/>
      <c r="N30" s="28"/>
      <c r="O30" s="28"/>
      <c r="P30" s="28"/>
      <c r="T30" s="101">
        <f t="shared" si="30"/>
        <v>1.4788800298394562</v>
      </c>
      <c r="U30" s="101">
        <f t="shared" si="30"/>
        <v>-0.41739380349966526</v>
      </c>
    </row>
    <row r="31" spans="1:21">
      <c r="A31" s="95"/>
      <c r="B31" s="95"/>
      <c r="C31" s="28"/>
      <c r="D31" s="28"/>
      <c r="E31" s="28"/>
      <c r="F31" s="28"/>
      <c r="G31" s="28"/>
      <c r="H31" s="37" t="s">
        <v>8</v>
      </c>
      <c r="I31" s="37" t="s">
        <v>8</v>
      </c>
      <c r="J31" s="37" t="s">
        <v>9</v>
      </c>
      <c r="K31" s="37" t="s">
        <v>9</v>
      </c>
      <c r="L31" s="28"/>
      <c r="M31" s="28"/>
      <c r="N31" s="28"/>
      <c r="O31" s="28"/>
      <c r="P31" s="28"/>
      <c r="T31" s="101">
        <f t="shared" si="30"/>
        <v>1.47065851572783</v>
      </c>
      <c r="U31" s="101">
        <f t="shared" si="30"/>
        <v>-0.39365136100237708</v>
      </c>
    </row>
    <row r="32" spans="1:21">
      <c r="A32" s="88" t="s">
        <v>68</v>
      </c>
      <c r="B32" s="88"/>
      <c r="C32" s="115" t="s">
        <v>15</v>
      </c>
      <c r="D32" s="115" t="s">
        <v>55</v>
      </c>
      <c r="E32" s="115" t="s">
        <v>12</v>
      </c>
      <c r="F32" s="115" t="s">
        <v>10</v>
      </c>
      <c r="G32" s="115" t="s">
        <v>14</v>
      </c>
      <c r="H32" s="115" t="s">
        <v>21</v>
      </c>
      <c r="I32" s="115" t="s">
        <v>16</v>
      </c>
      <c r="J32" s="115" t="s">
        <v>17</v>
      </c>
      <c r="K32" s="115" t="s">
        <v>23</v>
      </c>
      <c r="L32" s="28"/>
      <c r="M32" s="28"/>
      <c r="N32" s="28"/>
      <c r="O32" s="28"/>
      <c r="P32" s="28"/>
      <c r="T32" s="101">
        <f t="shared" si="30"/>
        <v>1.4625241319309235</v>
      </c>
      <c r="U32" s="101">
        <f t="shared" si="30"/>
        <v>-0.37025337601076436</v>
      </c>
    </row>
    <row r="33" spans="1:49">
      <c r="A33" s="28"/>
      <c r="B33" s="28"/>
      <c r="C33" s="23">
        <f>Mü/TAN($C30)</f>
        <v>2.3361058288598184</v>
      </c>
      <c r="D33" s="42">
        <f>SQRT($J30*$J30+$K30*$K30)</f>
        <v>3.4964086723875614</v>
      </c>
      <c r="E33" s="20">
        <f>ATAN($J30/$K30)+PI()</f>
        <v>2.8271785654413923</v>
      </c>
      <c r="F33" s="23">
        <f>($E33-A46-0.0001)/5</f>
        <v>8.5648163323041925E-4</v>
      </c>
      <c r="G33" s="23">
        <f>COS($E33)</f>
        <v>-0.95097774084525777</v>
      </c>
      <c r="H33" s="23">
        <f>SIN($E33)</f>
        <v>0.30925933521374871</v>
      </c>
      <c r="I33" s="23">
        <f>$C33+$G33</f>
        <v>1.3851280880145607</v>
      </c>
      <c r="J33" s="23">
        <f>POWER(TAN($E33/2),$C33)</f>
        <v>73.912851846342221</v>
      </c>
      <c r="K33" s="23">
        <f>-$D33*$D33*SIN($E33)*SIN($E33)/(2*9.81*SIN($C30)*POWER(TAN($E33/2),2*$C33))</f>
        <v>-3.6420042326377702E-4</v>
      </c>
      <c r="L33" s="28"/>
      <c r="M33" s="28"/>
      <c r="N33" s="28"/>
      <c r="O33" s="28"/>
      <c r="P33" s="28"/>
      <c r="T33" s="134">
        <f>H157</f>
        <v>1.4618646256914121</v>
      </c>
      <c r="U33" s="134">
        <f>I157</f>
        <v>-0.36836040959450012</v>
      </c>
    </row>
    <row r="34" spans="1:49">
      <c r="A34" s="88" t="s">
        <v>70</v>
      </c>
      <c r="B34" s="8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45"/>
      <c r="N34" s="28"/>
      <c r="O34" s="28"/>
      <c r="P34" s="28"/>
      <c r="T34" s="134">
        <f t="shared" ref="T34:U38" si="31">H158</f>
        <v>1.4548877790534489</v>
      </c>
      <c r="U34" s="134">
        <f t="shared" si="31"/>
        <v>-0.34838517359075338</v>
      </c>
    </row>
    <row r="35" spans="1:49">
      <c r="A35" s="115" t="s">
        <v>11</v>
      </c>
      <c r="B35" s="115" t="s">
        <v>13</v>
      </c>
      <c r="C35" s="26" t="s">
        <v>22</v>
      </c>
      <c r="D35" s="26" t="s">
        <v>18</v>
      </c>
      <c r="E35" s="115" t="s">
        <v>19</v>
      </c>
      <c r="F35" s="26" t="s">
        <v>20</v>
      </c>
      <c r="G35" s="26" t="s">
        <v>2</v>
      </c>
      <c r="H35" s="26" t="s">
        <v>65</v>
      </c>
      <c r="I35" s="26" t="s">
        <v>66</v>
      </c>
      <c r="J35" s="76" t="s">
        <v>3</v>
      </c>
      <c r="K35" s="76" t="s">
        <v>4</v>
      </c>
      <c r="L35" s="116" t="s">
        <v>7</v>
      </c>
      <c r="M35" s="93"/>
      <c r="N35" s="26" t="s">
        <v>61</v>
      </c>
      <c r="O35" s="26" t="s">
        <v>62</v>
      </c>
      <c r="P35" s="115" t="s">
        <v>63</v>
      </c>
      <c r="T35" s="134">
        <f t="shared" si="31"/>
        <v>1.4479902669453417</v>
      </c>
      <c r="U35" s="134">
        <f t="shared" si="31"/>
        <v>-0.32872973280451179</v>
      </c>
      <c r="W35" s="54" t="s">
        <v>87</v>
      </c>
      <c r="X35" s="28"/>
      <c r="Y35" s="28"/>
      <c r="Z35" s="28"/>
      <c r="AA35" s="183" t="s">
        <v>73</v>
      </c>
      <c r="AB35" s="23" t="str">
        <f>C2</f>
        <v>m-8</v>
      </c>
      <c r="AC35" s="23" t="str">
        <f>C29</f>
        <v>m-7</v>
      </c>
      <c r="AD35" s="23" t="str">
        <f>C56</f>
        <v>m-6</v>
      </c>
      <c r="AE35" s="23" t="str">
        <f>C83</f>
        <v>m-5</v>
      </c>
      <c r="AF35" s="23" t="str">
        <f>C110</f>
        <v>m-4</v>
      </c>
      <c r="AG35" s="23" t="str">
        <f>C137</f>
        <v>m-3</v>
      </c>
      <c r="AH35" s="23" t="str">
        <f>C164</f>
        <v>m-2</v>
      </c>
      <c r="AI35" s="23" t="str">
        <f>C191</f>
        <v>m-1</v>
      </c>
      <c r="AJ35" s="23" t="str">
        <f>C218</f>
        <v>m0</v>
      </c>
      <c r="AK35" s="23" t="str">
        <f>C245</f>
        <v>m1</v>
      </c>
      <c r="AL35" s="23" t="str">
        <f>C272</f>
        <v>m2</v>
      </c>
      <c r="AM35" s="23" t="str">
        <f>C299</f>
        <v>m3</v>
      </c>
      <c r="AN35" s="23" t="str">
        <f>C326</f>
        <v>m4</v>
      </c>
      <c r="AO35" s="23" t="str">
        <f>C353</f>
        <v>m5</v>
      </c>
      <c r="AP35" s="23" t="str">
        <f>C380</f>
        <v>m6</v>
      </c>
      <c r="AQ35" s="23" t="str">
        <f>C407</f>
        <v>m7</v>
      </c>
      <c r="AR35" s="23" t="str">
        <f>C434</f>
        <v>m8</v>
      </c>
      <c r="AT35" s="37"/>
      <c r="AU35" s="79" t="s">
        <v>65</v>
      </c>
      <c r="AV35" s="79" t="s">
        <v>66</v>
      </c>
      <c r="AW35" s="79" t="s">
        <v>67</v>
      </c>
    </row>
    <row r="36" spans="1:49">
      <c r="A36" s="19">
        <f>$E33</f>
        <v>2.8271785654413923</v>
      </c>
      <c r="B36" s="26">
        <f>COS(A36)</f>
        <v>-0.95097774084525777</v>
      </c>
      <c r="C36" s="26">
        <f t="shared" ref="C36:C46" si="32">($C$33+B36)</f>
        <v>1.3851280880145607</v>
      </c>
      <c r="D36" s="26">
        <f t="shared" ref="D36:D46" si="33">POWER(TAN(A36/2),$C$33)</f>
        <v>73.912851846342221</v>
      </c>
      <c r="E36" s="26">
        <f>SIN(A36)</f>
        <v>0.30925933521374871</v>
      </c>
      <c r="F36" s="77">
        <f t="shared" ref="F36:F46" si="34">(C36*$H$33*D36/E36/$I$33/$J$33)</f>
        <v>1</v>
      </c>
      <c r="G36" s="77">
        <f t="shared" ref="G36:G46" si="35">$D$33*($C$33+$G$33)/9.81/SIN($C$30)/(1-$C$33*$C$33)*(F36-1)</f>
        <v>0</v>
      </c>
      <c r="H36" s="75">
        <f t="shared" ref="H36:H46" si="36">-(-$H$30+$K$33*((POWER(TAN(A36/2),2*$C$33-1)/(2*$C$33-1))+(POWER(TAN(A36/2),2*$C$33+1)/(2*$C$33+1))-(POWER(TAN($E$33/2),2*$C$33-1)/(2*$C$33-1))-(POWER(TAN($E$33/2),2*$C$33+1)/(2*$C$33+1))))</f>
        <v>1.8253343653945604</v>
      </c>
      <c r="I36" s="75">
        <f t="shared" ref="I36:I46" si="37">-(-$I$30+0.5*$K$33*((POWER(TAN(A36/2),2*$C$33-2)/(2*$C$33-2))-(POWER(TAN(A36/2),2*$C$33+2)/(2*$C$33+2))-(POWER(TAN($E$33/2),2*$C$33-2)/(2*$C$33-2))+(POWER(TAN($E$33/2),2*$C$33+2)/(2*$C$33+2))))</f>
        <v>-1.461605996847559</v>
      </c>
      <c r="J36" s="77">
        <f t="shared" ref="J36:J46" si="38">-$D$33*SIN(A36)*($C$33+$G$33)/($C$33+B36)*F36</f>
        <v>-1.081297021658163</v>
      </c>
      <c r="K36" s="77">
        <f t="shared" ref="K36:K46" si="39">-$D$33*COS(A36)*($C$33+$G$33)/($C$33+B36)*F36</f>
        <v>3.3250068203388907</v>
      </c>
      <c r="L36" s="91">
        <f>SQRT(J36*J36+K36*K36)</f>
        <v>3.4964086723875618</v>
      </c>
      <c r="M36" s="93"/>
      <c r="N36" s="75">
        <f t="shared" ref="N36:N46" si="40">-(-$I$30+0.5*$K$33*((POWER(TAN(A36/2),2*$C$33-2)/(2*$C$33-2))-(POWER(TAN(A36/2),2*$C$33+2)/(2*$C$33+2))-(POWER(TAN($E$33/2),2*$C$33-2)/(2*$C$33-2))+(POWER(TAN($E$33/2),2*$C$33+2)/(2*$C$33+2))))-$D$30</f>
        <v>-0.53158681005901831</v>
      </c>
      <c r="O36" s="75">
        <f>-(-$I$30+0.5*$K$33*((POWER(TAN((A36+$M$9)/2),2*$C$33-2)/(2*$C$33-2))-(POWER(TAN((A36+$M$9)/2),2*$C$33+2)/(2*$C$33+2))-(POWER(TAN($E$33/2),2*$C$33-2)/(2*$C$33-2))+(POWER(TAN($E$33/2),2*$C$33+2)/(2*$C$33+2))))-$D$30</f>
        <v>-0.93001213404904937</v>
      </c>
      <c r="P36" s="75">
        <f>A36-N36/(O36-N36)*$M$9</f>
        <v>2.823175907140945</v>
      </c>
      <c r="T36" s="134">
        <f t="shared" si="31"/>
        <v>1.4411708326972008</v>
      </c>
      <c r="U36" s="134">
        <f t="shared" si="31"/>
        <v>-0.30938762909381329</v>
      </c>
      <c r="W36" s="28"/>
      <c r="X36" s="28"/>
      <c r="Y36" s="28"/>
      <c r="Z36" s="28"/>
      <c r="AA36" s="28"/>
      <c r="AB36" s="20">
        <f>N19</f>
        <v>-6.6118222008526573E-12</v>
      </c>
      <c r="AC36" s="20">
        <f>N46</f>
        <v>-2.9976021664879227E-15</v>
      </c>
      <c r="AD36" s="20">
        <f>N73</f>
        <v>-4.1078251911130792E-15</v>
      </c>
      <c r="AE36" s="20">
        <f>N100</f>
        <v>-1.2212453270876722E-15</v>
      </c>
      <c r="AF36" s="20">
        <f>N127</f>
        <v>-7.2164496600635175E-16</v>
      </c>
      <c r="AG36" s="20">
        <f>N154</f>
        <v>-1.7763568394002505E-15</v>
      </c>
      <c r="AH36" s="20">
        <f>N181</f>
        <v>-1.3600232051658168E-15</v>
      </c>
      <c r="AI36" s="20">
        <f>N208</f>
        <v>-9.1593399531575415E-16</v>
      </c>
      <c r="AJ36" s="20">
        <f>N235</f>
        <v>5.2735593669694936E-16</v>
      </c>
      <c r="AK36" s="20">
        <f>N262</f>
        <v>6.9388939039072284E-16</v>
      </c>
      <c r="AL36" s="20">
        <f>N289</f>
        <v>0</v>
      </c>
      <c r="AM36" s="20">
        <f>N316</f>
        <v>5.5511151231257827E-16</v>
      </c>
      <c r="AN36" s="20">
        <f>N343</f>
        <v>4.4408920985006262E-16</v>
      </c>
      <c r="AO36" s="20">
        <f>N370</f>
        <v>0</v>
      </c>
      <c r="AP36" s="20">
        <f>N397</f>
        <v>0</v>
      </c>
      <c r="AQ36" s="20">
        <f>N424</f>
        <v>0</v>
      </c>
      <c r="AR36" s="23"/>
      <c r="AT36" s="37"/>
      <c r="AU36" s="78">
        <f>H507</f>
        <v>4.2491909099868275E-2</v>
      </c>
      <c r="AV36" s="78">
        <f>I507</f>
        <v>2.0315592424380267</v>
      </c>
      <c r="AW36" s="79">
        <f>SQRT(POWER(AU36,2)+(POWER(AV36-Yzielup,2)))</f>
        <v>5.2929652579755439E-2</v>
      </c>
    </row>
    <row r="37" spans="1:49">
      <c r="A37" s="19">
        <f>P36</f>
        <v>2.823175907140945</v>
      </c>
      <c r="B37" s="26">
        <f>COS(A37)</f>
        <v>-0.94973226677846412</v>
      </c>
      <c r="C37" s="26">
        <f t="shared" si="32"/>
        <v>1.3863735620813542</v>
      </c>
      <c r="D37" s="26">
        <f t="shared" si="33"/>
        <v>71.724732251317249</v>
      </c>
      <c r="E37" s="26">
        <f>SIN(A37)</f>
        <v>0.3130632866368081</v>
      </c>
      <c r="F37" s="77">
        <f t="shared" si="34"/>
        <v>0.95946687541966236</v>
      </c>
      <c r="G37" s="77">
        <f t="shared" si="35"/>
        <v>0.14988627889245024</v>
      </c>
      <c r="H37" s="75">
        <f t="shared" si="36"/>
        <v>1.6656568781406309</v>
      </c>
      <c r="I37" s="75">
        <f t="shared" si="37"/>
        <v>-0.97386263478718949</v>
      </c>
      <c r="J37" s="77">
        <f t="shared" si="38"/>
        <v>-1.049286253002516</v>
      </c>
      <c r="K37" s="77">
        <f t="shared" si="39"/>
        <v>3.1831934758918905</v>
      </c>
      <c r="L37" s="91">
        <f>SQRT(J37*J37+K37*K37)</f>
        <v>3.3516745584410126</v>
      </c>
      <c r="M37" s="93"/>
      <c r="N37" s="75">
        <f t="shared" si="40"/>
        <v>-4.384344799864881E-2</v>
      </c>
      <c r="O37" s="75">
        <f t="shared" ref="O37:O46" si="41">-(-$I$30+0.5*$K$33*((POWER(TAN((A37+$M$9)/2),2*$C$33-2)/(2*$C$33-2))-(POWER(TAN((A37+$M$9)/2),2*$C$33+2)/(2*$C$33+2))-(POWER(TAN($E$33/2),2*$C$33-2)/(2*$C$33-2))+(POWER(TAN($E$33/2),2*$C$33+2)/(2*$C$33+2))))-$D$30</f>
        <v>-0.40487614750523149</v>
      </c>
      <c r="P37" s="75">
        <f t="shared" ref="P37:P46" si="42">A37-N37/(O37-N37)*$M$9</f>
        <v>2.8228115901575368</v>
      </c>
      <c r="T37" s="134">
        <f t="shared" si="31"/>
        <v>1.4344282448927892</v>
      </c>
      <c r="U37" s="134">
        <f t="shared" si="31"/>
        <v>-0.29035256178099311</v>
      </c>
      <c r="AT37" s="37"/>
      <c r="AU37" s="151"/>
      <c r="AV37" s="151"/>
    </row>
    <row r="38" spans="1:49">
      <c r="A38" s="19">
        <f t="shared" ref="A38:A46" si="43">P37</f>
        <v>2.8228115901575368</v>
      </c>
      <c r="B38" s="26">
        <f t="shared" ref="B38:B46" si="44">COS(A38)</f>
        <v>-0.94961814948129153</v>
      </c>
      <c r="C38" s="26">
        <f t="shared" si="32"/>
        <v>1.386487679378527</v>
      </c>
      <c r="D38" s="26">
        <f t="shared" si="33"/>
        <v>71.530116054647877</v>
      </c>
      <c r="E38" s="26">
        <f t="shared" ref="E38:E46" si="45">SIN(A38)</f>
        <v>0.31340926944767833</v>
      </c>
      <c r="F38" s="77">
        <f t="shared" si="34"/>
        <v>0.95588584339134353</v>
      </c>
      <c r="G38" s="77">
        <f t="shared" si="35"/>
        <v>0.16312847452569204</v>
      </c>
      <c r="H38" s="75">
        <f t="shared" si="36"/>
        <v>1.6517808718171443</v>
      </c>
      <c r="I38" s="75">
        <f t="shared" si="37"/>
        <v>-0.93179307936882139</v>
      </c>
      <c r="J38" s="77">
        <f t="shared" si="38"/>
        <v>-1.0464391444338668</v>
      </c>
      <c r="K38" s="77">
        <f t="shared" si="39"/>
        <v>3.1706707514851256</v>
      </c>
      <c r="L38" s="91">
        <f t="shared" ref="L38:L46" si="46">SQRT(J38*J38+K38*K38)</f>
        <v>3.3388902194182326</v>
      </c>
      <c r="M38" s="93"/>
      <c r="N38" s="75">
        <f t="shared" si="40"/>
        <v>-1.7738925802807115E-3</v>
      </c>
      <c r="O38" s="75">
        <f t="shared" si="41"/>
        <v>-0.35960425711494637</v>
      </c>
      <c r="P38" s="75">
        <f t="shared" si="42"/>
        <v>2.8227967180889024</v>
      </c>
      <c r="T38" s="134">
        <f t="shared" si="31"/>
        <v>1.4277612967559139</v>
      </c>
      <c r="U38" s="134">
        <f t="shared" si="31"/>
        <v>-0.27161838315892745</v>
      </c>
      <c r="AT38" s="37"/>
      <c r="AU38" s="151"/>
      <c r="AV38" s="151"/>
    </row>
    <row r="39" spans="1:49">
      <c r="A39" s="19">
        <f t="shared" si="43"/>
        <v>2.8227967180889024</v>
      </c>
      <c r="B39" s="26">
        <f t="shared" si="44"/>
        <v>-0.94961348833210835</v>
      </c>
      <c r="C39" s="26">
        <f t="shared" si="32"/>
        <v>1.3864923405277101</v>
      </c>
      <c r="D39" s="26">
        <f t="shared" si="33"/>
        <v>71.522187260713594</v>
      </c>
      <c r="E39" s="26">
        <f t="shared" si="45"/>
        <v>0.31342339219931364</v>
      </c>
      <c r="F39" s="77">
        <f t="shared" si="34"/>
        <v>0.95574003363094695</v>
      </c>
      <c r="G39" s="77">
        <f t="shared" si="35"/>
        <v>0.16366766025682722</v>
      </c>
      <c r="H39" s="75">
        <f t="shared" si="36"/>
        <v>1.6512166780326452</v>
      </c>
      <c r="I39" s="75">
        <f t="shared" si="37"/>
        <v>-0.93008363639857361</v>
      </c>
      <c r="J39" s="77">
        <f t="shared" si="38"/>
        <v>-1.0463231513277651</v>
      </c>
      <c r="K39" s="77">
        <f t="shared" si="39"/>
        <v>3.1701608826412904</v>
      </c>
      <c r="L39" s="91">
        <f t="shared" si="46"/>
        <v>3.3383696857648149</v>
      </c>
      <c r="M39" s="93"/>
      <c r="N39" s="75">
        <f t="shared" si="40"/>
        <v>-6.4449610032935034E-5</v>
      </c>
      <c r="O39" s="75">
        <f t="shared" si="41"/>
        <v>-0.35776477030815512</v>
      </c>
      <c r="P39" s="75">
        <f t="shared" si="42"/>
        <v>2.8227961775558952</v>
      </c>
      <c r="T39" s="136">
        <f>H184</f>
        <v>1.4273094608865726</v>
      </c>
      <c r="U39" s="136">
        <f>I184</f>
        <v>-0.27035186996590954</v>
      </c>
      <c r="AT39" s="37"/>
      <c r="AU39" s="151"/>
      <c r="AV39" s="151"/>
    </row>
    <row r="40" spans="1:49">
      <c r="A40" s="19">
        <f t="shared" si="43"/>
        <v>2.8227961775558952</v>
      </c>
      <c r="B40" s="26">
        <f t="shared" si="44"/>
        <v>-0.94961331891628087</v>
      </c>
      <c r="C40" s="26">
        <f t="shared" si="32"/>
        <v>1.3864925099435377</v>
      </c>
      <c r="D40" s="26">
        <f t="shared" si="33"/>
        <v>71.521899107888245</v>
      </c>
      <c r="E40" s="26">
        <f t="shared" si="45"/>
        <v>0.31342390549670246</v>
      </c>
      <c r="F40" s="77">
        <f t="shared" si="34"/>
        <v>0.955734734651842</v>
      </c>
      <c r="G40" s="77">
        <f t="shared" si="35"/>
        <v>0.16368725519968427</v>
      </c>
      <c r="H40" s="75">
        <f t="shared" si="36"/>
        <v>1.6511961754315863</v>
      </c>
      <c r="I40" s="75">
        <f t="shared" si="37"/>
        <v>-0.93002151745877382</v>
      </c>
      <c r="J40" s="77">
        <f t="shared" si="38"/>
        <v>-1.0463189358390639</v>
      </c>
      <c r="K40" s="77">
        <f t="shared" si="39"/>
        <v>3.1701423531573543</v>
      </c>
      <c r="L40" s="91">
        <f t="shared" si="46"/>
        <v>3.338350768684657</v>
      </c>
      <c r="M40" s="93"/>
      <c r="N40" s="75">
        <f t="shared" si="40"/>
        <v>-2.3306702331415963E-6</v>
      </c>
      <c r="O40" s="75">
        <f t="shared" si="41"/>
        <v>-0.35769792586043991</v>
      </c>
      <c r="P40" s="75">
        <f t="shared" si="42"/>
        <v>2.8227961580085181</v>
      </c>
      <c r="T40" s="136">
        <f t="shared" ref="T40:U44" si="47">H185</f>
        <v>1.4209009936505286</v>
      </c>
      <c r="U40" s="136">
        <f t="shared" si="47"/>
        <v>-0.25244379402064504</v>
      </c>
      <c r="AT40" s="37"/>
      <c r="AU40" s="151"/>
      <c r="AV40" s="151"/>
    </row>
    <row r="41" spans="1:49">
      <c r="A41" s="19">
        <f t="shared" si="43"/>
        <v>2.8227961580085181</v>
      </c>
      <c r="B41" s="26">
        <f t="shared" si="44"/>
        <v>-0.94961331278966543</v>
      </c>
      <c r="C41" s="26">
        <f t="shared" si="32"/>
        <v>1.3864925160701529</v>
      </c>
      <c r="D41" s="26">
        <f t="shared" si="33"/>
        <v>71.521888687404598</v>
      </c>
      <c r="E41" s="26">
        <f t="shared" si="45"/>
        <v>0.31342392405915198</v>
      </c>
      <c r="F41" s="77">
        <f t="shared" si="34"/>
        <v>0.95573454302478322</v>
      </c>
      <c r="G41" s="77">
        <f t="shared" si="35"/>
        <v>0.16368796381188905</v>
      </c>
      <c r="H41" s="75">
        <f t="shared" si="36"/>
        <v>1.6511954339972672</v>
      </c>
      <c r="I41" s="75">
        <f t="shared" si="37"/>
        <v>-0.93001927105743953</v>
      </c>
      <c r="J41" s="77">
        <f t="shared" si="38"/>
        <v>-1.0463187833941552</v>
      </c>
      <c r="K41" s="77">
        <f t="shared" si="39"/>
        <v>3.1701416830753995</v>
      </c>
      <c r="L41" s="91">
        <f t="shared" si="46"/>
        <v>3.3383500845860299</v>
      </c>
      <c r="M41" s="93"/>
      <c r="N41" s="75">
        <f t="shared" si="40"/>
        <v>-8.4268898858930186E-8</v>
      </c>
      <c r="O41" s="75">
        <f t="shared" si="41"/>
        <v>-0.35769550857115784</v>
      </c>
      <c r="P41" s="75">
        <f t="shared" si="42"/>
        <v>2.8227961573017528</v>
      </c>
      <c r="T41" s="136">
        <f t="shared" si="47"/>
        <v>1.414576529496804</v>
      </c>
      <c r="U41" s="136">
        <f t="shared" si="47"/>
        <v>-0.2348731379579668</v>
      </c>
      <c r="AT41" s="37"/>
      <c r="AU41" s="151"/>
      <c r="AV41" s="151"/>
    </row>
    <row r="42" spans="1:49">
      <c r="A42" s="19">
        <f t="shared" si="43"/>
        <v>2.8227961573017528</v>
      </c>
      <c r="B42" s="26">
        <f t="shared" si="44"/>
        <v>-0.94961331256814829</v>
      </c>
      <c r="C42" s="26">
        <f t="shared" si="32"/>
        <v>1.3864925162916701</v>
      </c>
      <c r="D42" s="26">
        <f t="shared" si="33"/>
        <v>71.521888310636101</v>
      </c>
      <c r="E42" s="26">
        <f t="shared" si="45"/>
        <v>0.31342392473030573</v>
      </c>
      <c r="F42" s="77">
        <f t="shared" si="34"/>
        <v>0.95573453609621484</v>
      </c>
      <c r="G42" s="77">
        <f t="shared" si="35"/>
        <v>0.16368798943284335</v>
      </c>
      <c r="H42" s="75">
        <f t="shared" si="36"/>
        <v>1.651195407189584</v>
      </c>
      <c r="I42" s="75">
        <f t="shared" si="37"/>
        <v>-0.930019189835392</v>
      </c>
      <c r="J42" s="77">
        <f t="shared" si="38"/>
        <v>-1.0463187778822769</v>
      </c>
      <c r="K42" s="77">
        <f t="shared" si="39"/>
        <v>3.1701416588475646</v>
      </c>
      <c r="L42" s="91">
        <f t="shared" si="46"/>
        <v>3.3383500598514004</v>
      </c>
      <c r="M42" s="93"/>
      <c r="N42" s="75">
        <f t="shared" si="40"/>
        <v>-3.0468513267933872E-9</v>
      </c>
      <c r="O42" s="75">
        <f t="shared" si="41"/>
        <v>-0.35769542117038811</v>
      </c>
      <c r="P42" s="75">
        <f t="shared" si="42"/>
        <v>2.8227961572761986</v>
      </c>
      <c r="T42" s="136">
        <f t="shared" si="47"/>
        <v>1.4083345017638871</v>
      </c>
      <c r="U42" s="136">
        <f t="shared" si="47"/>
        <v>-0.21763180928098663</v>
      </c>
      <c r="AF42" t="s">
        <v>48</v>
      </c>
      <c r="AT42" s="37"/>
      <c r="AU42" s="151"/>
      <c r="AV42" s="151"/>
    </row>
    <row r="43" spans="1:49">
      <c r="A43" s="19">
        <f t="shared" si="43"/>
        <v>2.8227961572761986</v>
      </c>
      <c r="B43" s="26">
        <f t="shared" si="44"/>
        <v>-0.94961331256013892</v>
      </c>
      <c r="C43" s="26">
        <f t="shared" si="32"/>
        <v>1.3864925162996795</v>
      </c>
      <c r="D43" s="26">
        <f t="shared" si="33"/>
        <v>71.521888297013462</v>
      </c>
      <c r="E43" s="26">
        <f t="shared" si="45"/>
        <v>0.31342392475457237</v>
      </c>
      <c r="F43" s="77">
        <f t="shared" si="34"/>
        <v>0.95573453584570189</v>
      </c>
      <c r="G43" s="77">
        <f t="shared" si="35"/>
        <v>0.163687990359208</v>
      </c>
      <c r="H43" s="75">
        <f t="shared" si="36"/>
        <v>1.65119540622031</v>
      </c>
      <c r="I43" s="75">
        <f t="shared" si="37"/>
        <v>-0.9300191868986778</v>
      </c>
      <c r="J43" s="77">
        <f t="shared" si="38"/>
        <v>-1.0463187776829868</v>
      </c>
      <c r="K43" s="77">
        <f t="shared" si="39"/>
        <v>3.1701416579715707</v>
      </c>
      <c r="L43" s="91">
        <f t="shared" si="46"/>
        <v>3.3383500589570829</v>
      </c>
      <c r="M43" s="93"/>
      <c r="N43" s="75">
        <f t="shared" si="40"/>
        <v>-1.1013712164498202E-10</v>
      </c>
      <c r="O43" s="75">
        <f t="shared" si="41"/>
        <v>-0.35769541801027771</v>
      </c>
      <c r="P43" s="75">
        <f t="shared" si="42"/>
        <v>2.8227961572752749</v>
      </c>
      <c r="T43" s="136">
        <f t="shared" si="47"/>
        <v>1.4021733811806656</v>
      </c>
      <c r="U43" s="136">
        <f t="shared" si="47"/>
        <v>-0.20071195114285534</v>
      </c>
      <c r="AT43" s="37"/>
      <c r="AU43" s="151"/>
      <c r="AV43" s="151"/>
    </row>
    <row r="44" spans="1:49">
      <c r="A44" s="19">
        <f>P43</f>
        <v>2.8227961572752749</v>
      </c>
      <c r="B44" s="26">
        <f t="shared" si="44"/>
        <v>-0.94961331255984949</v>
      </c>
      <c r="C44" s="26">
        <f t="shared" si="32"/>
        <v>1.3864925162999691</v>
      </c>
      <c r="D44" s="26">
        <f t="shared" si="33"/>
        <v>71.521888296521013</v>
      </c>
      <c r="E44" s="26">
        <f t="shared" si="45"/>
        <v>0.31342392475544956</v>
      </c>
      <c r="F44" s="77">
        <f t="shared" si="34"/>
        <v>0.95573453583664603</v>
      </c>
      <c r="G44" s="77">
        <f t="shared" si="35"/>
        <v>0.16368799039269544</v>
      </c>
      <c r="H44" s="75">
        <f t="shared" si="36"/>
        <v>1.6511954061852729</v>
      </c>
      <c r="I44" s="75">
        <f t="shared" si="37"/>
        <v>-0.93001918679252249</v>
      </c>
      <c r="J44" s="77">
        <f t="shared" si="38"/>
        <v>-1.0463187776757825</v>
      </c>
      <c r="K44" s="77">
        <f t="shared" si="39"/>
        <v>3.1701416579399035</v>
      </c>
      <c r="L44" s="91">
        <f t="shared" si="46"/>
        <v>3.3383500589247532</v>
      </c>
      <c r="M44" s="93"/>
      <c r="N44" s="75">
        <f t="shared" si="40"/>
        <v>-3.9818148778181239E-12</v>
      </c>
      <c r="O44" s="75">
        <f t="shared" si="41"/>
        <v>-0.35769541789605463</v>
      </c>
      <c r="P44" s="75">
        <f t="shared" si="42"/>
        <v>2.8227961572752416</v>
      </c>
      <c r="T44" s="136">
        <f t="shared" si="47"/>
        <v>1.3960916747816385</v>
      </c>
      <c r="U44" s="136">
        <f t="shared" si="47"/>
        <v>-0.18410593428659533</v>
      </c>
      <c r="AT44" s="28"/>
      <c r="AU44" s="151"/>
      <c r="AV44" s="151"/>
    </row>
    <row r="45" spans="1:49">
      <c r="A45" s="19">
        <f t="shared" si="43"/>
        <v>2.8227961572752416</v>
      </c>
      <c r="B45" s="26">
        <f t="shared" si="44"/>
        <v>-0.94961331255983905</v>
      </c>
      <c r="C45" s="26">
        <f t="shared" si="32"/>
        <v>1.3864925162999793</v>
      </c>
      <c r="D45" s="26">
        <f t="shared" si="33"/>
        <v>71.521888296503235</v>
      </c>
      <c r="E45" s="26">
        <f t="shared" si="45"/>
        <v>0.31342392475548114</v>
      </c>
      <c r="F45" s="77">
        <f t="shared" si="34"/>
        <v>0.95573453583631918</v>
      </c>
      <c r="G45" s="77">
        <f t="shared" si="35"/>
        <v>0.16368799039390408</v>
      </c>
      <c r="H45" s="75">
        <f t="shared" si="36"/>
        <v>1.6511954061840071</v>
      </c>
      <c r="I45" s="75">
        <f t="shared" si="37"/>
        <v>-0.93001918678869677</v>
      </c>
      <c r="J45" s="77">
        <f t="shared" si="38"/>
        <v>-1.0463187776755223</v>
      </c>
      <c r="K45" s="77">
        <f t="shared" si="39"/>
        <v>3.1701416579387613</v>
      </c>
      <c r="L45" s="91">
        <f t="shared" si="46"/>
        <v>3.338350058923587</v>
      </c>
      <c r="M45" s="93"/>
      <c r="N45" s="75">
        <f t="shared" si="40"/>
        <v>-1.5609735726229701E-13</v>
      </c>
      <c r="O45" s="75">
        <f t="shared" si="41"/>
        <v>-0.35769541789193349</v>
      </c>
      <c r="P45" s="75">
        <f t="shared" si="42"/>
        <v>2.8227961572752402</v>
      </c>
      <c r="T45" s="128">
        <f>H211</f>
        <v>1.3957656183759459</v>
      </c>
      <c r="U45" s="128">
        <f>I211</f>
        <v>-0.18321833372345758</v>
      </c>
      <c r="AT45" s="28"/>
      <c r="AU45" s="151"/>
      <c r="AV45" s="151"/>
    </row>
    <row r="46" spans="1:49">
      <c r="A46" s="19">
        <f t="shared" si="43"/>
        <v>2.8227961572752402</v>
      </c>
      <c r="B46" s="26">
        <f t="shared" si="44"/>
        <v>-0.94961331255983861</v>
      </c>
      <c r="C46" s="26">
        <f t="shared" si="32"/>
        <v>1.3864925162999797</v>
      </c>
      <c r="D46" s="26">
        <f t="shared" si="33"/>
        <v>71.521888296502524</v>
      </c>
      <c r="E46" s="26">
        <f t="shared" si="45"/>
        <v>0.31342392475548242</v>
      </c>
      <c r="F46" s="77">
        <f t="shared" si="34"/>
        <v>0.95573453583630585</v>
      </c>
      <c r="G46" s="77">
        <f t="shared" si="35"/>
        <v>0.16368799039395335</v>
      </c>
      <c r="H46" s="81">
        <f t="shared" si="36"/>
        <v>1.6511954061839587</v>
      </c>
      <c r="I46" s="81">
        <f t="shared" si="37"/>
        <v>-0.93001918678854367</v>
      </c>
      <c r="J46" s="80">
        <f t="shared" si="38"/>
        <v>-1.0463187776755118</v>
      </c>
      <c r="K46" s="80">
        <f t="shared" si="39"/>
        <v>3.1701416579387152</v>
      </c>
      <c r="L46" s="91">
        <f t="shared" si="46"/>
        <v>3.33835005892354</v>
      </c>
      <c r="M46" s="93"/>
      <c r="N46" s="75">
        <f t="shared" si="40"/>
        <v>-2.9976021664879227E-15</v>
      </c>
      <c r="O46" s="75">
        <f t="shared" si="41"/>
        <v>-0.35769541789176984</v>
      </c>
      <c r="P46" s="75">
        <f t="shared" si="42"/>
        <v>2.8227961572752402</v>
      </c>
      <c r="T46" s="128">
        <f t="shared" ref="T46:U50" si="48">H212</f>
        <v>1.3885536113981798</v>
      </c>
      <c r="U46" s="128">
        <f t="shared" si="48"/>
        <v>-0.16367168753119349</v>
      </c>
      <c r="AT46" s="28"/>
      <c r="AU46" s="151"/>
      <c r="AV46" s="151"/>
    </row>
    <row r="47" spans="1:49">
      <c r="A47" s="88" t="s">
        <v>60</v>
      </c>
      <c r="B47" s="8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T47" s="128">
        <f t="shared" si="48"/>
        <v>1.3814717241311527</v>
      </c>
      <c r="U47" s="128">
        <f t="shared" si="48"/>
        <v>-0.14463971691094424</v>
      </c>
      <c r="AU47" s="151"/>
      <c r="AV47" s="151"/>
    </row>
    <row r="48" spans="1:49">
      <c r="A48" s="26" t="s">
        <v>11</v>
      </c>
      <c r="B48" s="26" t="s">
        <v>13</v>
      </c>
      <c r="C48" s="26" t="s">
        <v>22</v>
      </c>
      <c r="D48" s="26" t="s">
        <v>18</v>
      </c>
      <c r="E48" s="26" t="s">
        <v>19</v>
      </c>
      <c r="F48" s="26" t="s">
        <v>20</v>
      </c>
      <c r="G48" s="26" t="s">
        <v>2</v>
      </c>
      <c r="H48" s="26" t="s">
        <v>1</v>
      </c>
      <c r="I48" s="26" t="s">
        <v>0</v>
      </c>
      <c r="J48" s="76" t="s">
        <v>3</v>
      </c>
      <c r="K48" s="76" t="s">
        <v>4</v>
      </c>
      <c r="L48" s="44" t="s">
        <v>7</v>
      </c>
      <c r="M48" s="28"/>
      <c r="N48" s="28"/>
      <c r="O48" s="28"/>
      <c r="P48" s="31"/>
      <c r="T48" s="128">
        <f t="shared" si="48"/>
        <v>1.3745165669469499</v>
      </c>
      <c r="U48" s="128">
        <f t="shared" si="48"/>
        <v>-0.1261050920607831</v>
      </c>
    </row>
    <row r="49" spans="1:52">
      <c r="A49" s="19">
        <f>$E33</f>
        <v>2.8271785654413923</v>
      </c>
      <c r="B49" s="26">
        <f t="shared" ref="B49:B54" si="49">COS(A49)</f>
        <v>-0.95097774084525777</v>
      </c>
      <c r="C49" s="26">
        <f t="shared" ref="C49:C54" si="50">($C$33+B49)</f>
        <v>1.3851280880145607</v>
      </c>
      <c r="D49" s="26">
        <f t="shared" ref="D49:D54" si="51">POWER(TAN(A49/2),$C$33)</f>
        <v>73.912851846342221</v>
      </c>
      <c r="E49" s="26">
        <f t="shared" ref="E49:E54" si="52">SIN(A49)</f>
        <v>0.30925933521374871</v>
      </c>
      <c r="F49" s="77">
        <f t="shared" ref="F49:F54" si="53">(C49*$H$33*D49/E49/$I$33/$J$33)</f>
        <v>1</v>
      </c>
      <c r="G49" s="77">
        <f t="shared" ref="G49:G54" si="54">$D$33*($C$33+$G$33)/9.81/SIN($C$30)/(1-$C$33*$C$33)*(F49-1)</f>
        <v>0</v>
      </c>
      <c r="H49" s="100">
        <f t="shared" ref="H49:H54" si="55">-(-$H$30+$K$33*((POWER(TAN(A49/2),2*$C$33-1)/(2*$C$33-1))+(POWER(TAN(A49/2),2*$C$33+1)/(2*$C$33+1))-(POWER(TAN($E$33/2),2*$C$33-1)/(2*$C$33-1))-(POWER(TAN($E$33/2),2*$C$33+1)/(2*$C$33+1))))</f>
        <v>1.8253343653945604</v>
      </c>
      <c r="I49" s="100">
        <f t="shared" ref="I49:I54" si="56">-(-$I$30+0.5*$K$33*((POWER(TAN(A49/2),2*$C$33-2)/(2*$C$33-2))-(POWER(TAN(A49/2),2*$C$33+2)/(2*$C$33+2))-(POWER(TAN($E$33/2),2*$C$33-2)/(2*$C$33-2))+(POWER(TAN($E$33/2),2*$C$33+2)/(2*$C$33+2))))</f>
        <v>-1.461605996847559</v>
      </c>
      <c r="J49" s="77">
        <f t="shared" ref="J49:J54" si="57">-$D$33*SIN(A49)*($C$33+$G$33)/($C$33+B49)*F49</f>
        <v>-1.081297021658163</v>
      </c>
      <c r="K49" s="77">
        <f t="shared" ref="K49:K54" si="58">-$D$33*COS(A49)*($C$33+$G$33)/($C$33+B49)*F49</f>
        <v>3.3250068203388907</v>
      </c>
      <c r="L49" s="91">
        <f t="shared" ref="L49:L54" si="59">SQRT(J49*J49+K49*K49)</f>
        <v>3.4964086723875618</v>
      </c>
      <c r="M49" s="28"/>
      <c r="N49" s="28"/>
      <c r="O49" s="28"/>
      <c r="P49" s="31"/>
      <c r="Q49" s="28"/>
      <c r="T49" s="128">
        <f t="shared" si="48"/>
        <v>1.3676848637019441</v>
      </c>
      <c r="U49" s="128">
        <f t="shared" si="48"/>
        <v>-0.10805119326827393</v>
      </c>
    </row>
    <row r="50" spans="1:52">
      <c r="A50" s="20">
        <f>A49-$F$33</f>
        <v>2.826322083808162</v>
      </c>
      <c r="B50" s="26">
        <f t="shared" si="49"/>
        <v>-0.95071251713715654</v>
      </c>
      <c r="C50" s="26">
        <f t="shared" si="50"/>
        <v>1.385393311722662</v>
      </c>
      <c r="D50" s="26">
        <f t="shared" si="51"/>
        <v>73.436821980067023</v>
      </c>
      <c r="E50" s="26">
        <f t="shared" si="52"/>
        <v>0.31007371665255945</v>
      </c>
      <c r="F50" s="77">
        <f t="shared" si="53"/>
        <v>0.99113982875915008</v>
      </c>
      <c r="G50" s="77">
        <f t="shared" si="54"/>
        <v>3.2763773121135382E-2</v>
      </c>
      <c r="H50" s="100">
        <f t="shared" si="55"/>
        <v>1.7900210286821252</v>
      </c>
      <c r="I50" s="100">
        <f t="shared" si="56"/>
        <v>-1.3531742459705258</v>
      </c>
      <c r="J50" s="77">
        <f t="shared" si="57"/>
        <v>-1.0743330138602527</v>
      </c>
      <c r="K50" s="77">
        <f t="shared" si="58"/>
        <v>3.2939968433219273</v>
      </c>
      <c r="L50" s="91">
        <f t="shared" si="59"/>
        <v>3.464766460886632</v>
      </c>
      <c r="M50" s="28"/>
      <c r="N50" s="28"/>
      <c r="O50" s="28"/>
      <c r="P50" s="31"/>
      <c r="R50" s="28"/>
      <c r="T50" s="128">
        <f t="shared" si="48"/>
        <v>1.3609734471083326</v>
      </c>
      <c r="U50" s="128">
        <f t="shared" si="48"/>
        <v>-9.0462076706474798E-2</v>
      </c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</row>
    <row r="51" spans="1:52">
      <c r="A51" s="20">
        <f>A50-$F$33</f>
        <v>2.8254656021749316</v>
      </c>
      <c r="B51" s="26">
        <f t="shared" si="49"/>
        <v>-0.95044659602367476</v>
      </c>
      <c r="C51" s="26">
        <f t="shared" si="50"/>
        <v>1.3856592328361437</v>
      </c>
      <c r="D51" s="26">
        <f t="shared" si="51"/>
        <v>72.965094352198449</v>
      </c>
      <c r="E51" s="26">
        <f t="shared" si="52"/>
        <v>0.31088787063346418</v>
      </c>
      <c r="F51" s="77">
        <f t="shared" si="53"/>
        <v>0.98238276034803151</v>
      </c>
      <c r="G51" s="77">
        <f t="shared" si="54"/>
        <v>6.5146285245204383E-2</v>
      </c>
      <c r="H51" s="100">
        <f t="shared" si="55"/>
        <v>1.7553431149748719</v>
      </c>
      <c r="I51" s="100">
        <f t="shared" si="56"/>
        <v>-1.2470025214501372</v>
      </c>
      <c r="J51" s="77">
        <f t="shared" si="57"/>
        <v>-1.0674319450162504</v>
      </c>
      <c r="K51" s="77">
        <f t="shared" si="58"/>
        <v>3.2633536218714738</v>
      </c>
      <c r="L51" s="91">
        <f t="shared" si="59"/>
        <v>3.4334949859615116</v>
      </c>
      <c r="M51" s="45"/>
      <c r="N51" s="28"/>
      <c r="O51" s="28"/>
      <c r="P51" s="31"/>
      <c r="S51" s="28"/>
      <c r="T51" s="111">
        <f t="shared" ref="T51:U56" si="60">H238</f>
        <v>1.3607326427021871</v>
      </c>
      <c r="U51" s="111">
        <f t="shared" si="60"/>
        <v>-8.9833694127450056E-2</v>
      </c>
      <c r="V51" s="28"/>
      <c r="AR51" s="28"/>
      <c r="AS51" s="7"/>
    </row>
    <row r="52" spans="1:52">
      <c r="A52" s="20">
        <f>A51-$F$33</f>
        <v>2.8246091205417012</v>
      </c>
      <c r="B52" s="26">
        <f t="shared" si="49"/>
        <v>-0.95017997769988161</v>
      </c>
      <c r="C52" s="26">
        <f t="shared" si="50"/>
        <v>1.3859258511599368</v>
      </c>
      <c r="D52" s="26">
        <f t="shared" si="51"/>
        <v>72.497618623222607</v>
      </c>
      <c r="E52" s="26">
        <f t="shared" si="52"/>
        <v>0.31170179655923141</v>
      </c>
      <c r="F52" s="77">
        <f t="shared" si="53"/>
        <v>0.97372731700029447</v>
      </c>
      <c r="G52" s="77">
        <f t="shared" si="54"/>
        <v>9.7153000962009628E-2</v>
      </c>
      <c r="H52" s="100">
        <f t="shared" si="55"/>
        <v>1.7212875212956513</v>
      </c>
      <c r="I52" s="100">
        <f t="shared" si="56"/>
        <v>-1.1430379152506058</v>
      </c>
      <c r="J52" s="77">
        <f t="shared" si="57"/>
        <v>-1.060593078691759</v>
      </c>
      <c r="K52" s="77">
        <f t="shared" si="58"/>
        <v>3.2330718622229213</v>
      </c>
      <c r="L52" s="91">
        <f t="shared" si="59"/>
        <v>3.4025889179955979</v>
      </c>
      <c r="M52" s="45"/>
      <c r="N52" s="28"/>
      <c r="O52" s="28"/>
      <c r="P52" s="31"/>
      <c r="T52" s="111">
        <f t="shared" si="60"/>
        <v>1.344827793408893</v>
      </c>
      <c r="U52" s="111">
        <f t="shared" si="60"/>
        <v>-4.8815780354944598E-2</v>
      </c>
      <c r="AF52" s="7"/>
      <c r="AG52" s="7"/>
      <c r="AH52" s="7"/>
      <c r="AI52" s="7"/>
      <c r="AJ52" s="7"/>
      <c r="AK52" s="7"/>
      <c r="AL52" s="7"/>
      <c r="AM52" s="7"/>
      <c r="AN52" s="7"/>
      <c r="AR52" s="28"/>
      <c r="AS52" s="14"/>
      <c r="AT52" s="7"/>
      <c r="AU52" s="7"/>
      <c r="AV52" s="7"/>
      <c r="AW52" s="7"/>
      <c r="AX52" s="7"/>
      <c r="AY52" s="7"/>
      <c r="AZ52" s="7"/>
    </row>
    <row r="53" spans="1:52">
      <c r="A53" s="20">
        <f>A52-$F$33</f>
        <v>2.8237526389084708</v>
      </c>
      <c r="B53" s="26">
        <f t="shared" si="49"/>
        <v>-0.94991266236135785</v>
      </c>
      <c r="C53" s="26">
        <f t="shared" si="50"/>
        <v>1.3861931664984606</v>
      </c>
      <c r="D53" s="26">
        <f t="shared" si="51"/>
        <v>72.034345176323995</v>
      </c>
      <c r="E53" s="26">
        <f t="shared" si="52"/>
        <v>0.31251549383279709</v>
      </c>
      <c r="F53" s="77">
        <f t="shared" si="53"/>
        <v>0.96517204606475249</v>
      </c>
      <c r="G53" s="77">
        <f t="shared" si="54"/>
        <v>0.12878929198871136</v>
      </c>
      <c r="H53" s="100">
        <f t="shared" si="55"/>
        <v>1.6878414491506477</v>
      </c>
      <c r="I53" s="100">
        <f t="shared" si="56"/>
        <v>-1.0412288941445749</v>
      </c>
      <c r="J53" s="77">
        <f t="shared" si="57"/>
        <v>-1.0538156890249908</v>
      </c>
      <c r="K53" s="77">
        <f t="shared" si="58"/>
        <v>3.2031463609144231</v>
      </c>
      <c r="L53" s="91">
        <f t="shared" si="59"/>
        <v>3.3720430180937089</v>
      </c>
      <c r="M53" s="45"/>
      <c r="N53" s="28"/>
      <c r="O53" s="28"/>
      <c r="P53" s="89"/>
      <c r="T53" s="111">
        <f t="shared" si="60"/>
        <v>1.3296652658932775</v>
      </c>
      <c r="U53" s="111">
        <f t="shared" si="60"/>
        <v>-1.0610237068261252E-2</v>
      </c>
      <c r="AF53" s="7"/>
      <c r="AG53" s="7"/>
      <c r="AH53" s="7"/>
      <c r="AI53" s="7"/>
      <c r="AJ53" s="7"/>
      <c r="AK53" s="7"/>
      <c r="AL53" s="7"/>
      <c r="AM53" s="7"/>
      <c r="AN53" s="7"/>
      <c r="AR53" s="28"/>
      <c r="AS53" s="7"/>
      <c r="AT53" s="123"/>
      <c r="AU53" s="123"/>
      <c r="AV53" s="123"/>
      <c r="AW53" s="123"/>
      <c r="AX53" s="123"/>
      <c r="AY53" s="123"/>
      <c r="AZ53" s="7"/>
    </row>
    <row r="54" spans="1:52">
      <c r="A54" s="20">
        <f>A53-$F$33</f>
        <v>2.8228961572752405</v>
      </c>
      <c r="B54" s="26">
        <f t="shared" si="49"/>
        <v>-0.94964465020419542</v>
      </c>
      <c r="C54" s="26">
        <f t="shared" si="50"/>
        <v>1.3864611786556229</v>
      </c>
      <c r="D54" s="26">
        <f t="shared" si="51"/>
        <v>71.575225105099719</v>
      </c>
      <c r="E54" s="26">
        <f t="shared" si="52"/>
        <v>0.31332896185726489</v>
      </c>
      <c r="F54" s="77">
        <f t="shared" si="53"/>
        <v>0.9567155195122018</v>
      </c>
      <c r="G54" s="77">
        <f t="shared" si="54"/>
        <v>0.16006043899354622</v>
      </c>
      <c r="H54" s="100">
        <f t="shared" si="55"/>
        <v>1.6549923966607749</v>
      </c>
      <c r="I54" s="100">
        <f t="shared" si="56"/>
        <v>-0.94152526045222285</v>
      </c>
      <c r="J54" s="77">
        <f t="shared" si="57"/>
        <v>-1.0470990605470321</v>
      </c>
      <c r="K54" s="77">
        <f t="shared" si="58"/>
        <v>3.1735720030097569</v>
      </c>
      <c r="L54" s="91">
        <f t="shared" si="59"/>
        <v>3.3418521362989471</v>
      </c>
      <c r="M54" s="45"/>
      <c r="N54" s="28"/>
      <c r="O54" s="28"/>
      <c r="P54" s="28"/>
      <c r="T54" s="111">
        <f t="shared" si="60"/>
        <v>1.3151950055317678</v>
      </c>
      <c r="U54" s="111">
        <f t="shared" si="60"/>
        <v>2.5027466541007529E-2</v>
      </c>
      <c r="AF54" s="7"/>
      <c r="AG54" s="7"/>
      <c r="AH54" s="7"/>
      <c r="AI54" s="7"/>
      <c r="AJ54" s="7"/>
      <c r="AK54" s="7"/>
      <c r="AL54" s="7"/>
      <c r="AM54" s="7"/>
      <c r="AN54" s="7"/>
      <c r="AR54" s="28"/>
      <c r="AS54" s="7"/>
      <c r="AT54" s="123"/>
      <c r="AU54" s="123"/>
      <c r="AV54" s="123"/>
      <c r="AW54" s="123"/>
      <c r="AX54" s="123"/>
      <c r="AY54" s="123"/>
      <c r="AZ54" s="7"/>
    </row>
    <row r="55" spans="1:5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18"/>
      <c r="T55" s="111">
        <f t="shared" si="60"/>
        <v>1.3013712599259171</v>
      </c>
      <c r="U55" s="111">
        <f t="shared" si="60"/>
        <v>5.8316226530770163E-2</v>
      </c>
      <c r="AF55" s="7"/>
      <c r="AG55" s="7"/>
      <c r="AH55" s="7"/>
      <c r="AI55" s="7"/>
      <c r="AJ55" s="7"/>
      <c r="AK55" s="7"/>
      <c r="AL55" s="7"/>
      <c r="AM55" s="7"/>
      <c r="AN55" s="7"/>
      <c r="AR55" s="28"/>
      <c r="AS55" s="7"/>
      <c r="AT55" s="123"/>
      <c r="AU55" s="123"/>
      <c r="AV55" s="123"/>
      <c r="AW55" s="123"/>
      <c r="AX55" s="123"/>
      <c r="AY55" s="123"/>
      <c r="AZ55" s="7"/>
    </row>
    <row r="56" spans="1:52">
      <c r="A56" s="88" t="s">
        <v>73</v>
      </c>
      <c r="B56" s="88"/>
      <c r="C56" s="23" t="str">
        <f>CONCATENATE("m",Stufengrün!AH42)</f>
        <v>m-6</v>
      </c>
      <c r="D56" s="23" t="s">
        <v>30</v>
      </c>
      <c r="E56" s="28"/>
      <c r="F56" s="28"/>
      <c r="G56" s="28"/>
      <c r="H56" s="36" t="s">
        <v>57</v>
      </c>
      <c r="I56" s="36" t="s">
        <v>51</v>
      </c>
      <c r="J56" s="36" t="s">
        <v>58</v>
      </c>
      <c r="K56" s="36" t="s">
        <v>59</v>
      </c>
      <c r="L56" s="28"/>
      <c r="M56" s="28"/>
      <c r="N56" s="28"/>
      <c r="O56" s="28"/>
      <c r="P56" s="28"/>
      <c r="Q56" s="18"/>
      <c r="T56" s="111">
        <f t="shared" si="60"/>
        <v>1.2881521325461469</v>
      </c>
      <c r="U56" s="111">
        <f t="shared" si="60"/>
        <v>8.9452432063243534E-2</v>
      </c>
      <c r="AF56" s="7"/>
      <c r="AG56" s="7"/>
      <c r="AH56" s="7"/>
      <c r="AI56" s="7"/>
      <c r="AJ56" s="7"/>
      <c r="AK56" s="7"/>
      <c r="AL56" s="7"/>
      <c r="AM56" s="7"/>
      <c r="AN56" s="7"/>
      <c r="AR56" s="28"/>
      <c r="AS56" s="7"/>
      <c r="AT56" s="123"/>
      <c r="AU56" s="123"/>
      <c r="AV56" s="123"/>
      <c r="AW56" s="123"/>
      <c r="AX56" s="123"/>
      <c r="AY56" s="123"/>
      <c r="AZ56" s="7"/>
    </row>
    <row r="57" spans="1:52">
      <c r="A57" s="88" t="s">
        <v>69</v>
      </c>
      <c r="B57" s="88"/>
      <c r="C57" s="36">
        <f>Stufengrün!AI42</f>
        <v>5.9398558365054185E-2</v>
      </c>
      <c r="D57" s="26">
        <f>Stufengrün!AK42</f>
        <v>-0.66000334397619953</v>
      </c>
      <c r="E57" s="28"/>
      <c r="F57" s="28"/>
      <c r="G57" s="28"/>
      <c r="H57" s="78">
        <f>H46</f>
        <v>1.6511954061839587</v>
      </c>
      <c r="I57" s="78">
        <f>I46</f>
        <v>-0.93001918678854367</v>
      </c>
      <c r="J57" s="78">
        <f>J46</f>
        <v>-1.0463187776755118</v>
      </c>
      <c r="K57" s="78">
        <f>K46</f>
        <v>3.1701416579387152</v>
      </c>
      <c r="L57" s="28"/>
      <c r="M57" s="28"/>
      <c r="N57" s="28"/>
      <c r="O57" s="28"/>
      <c r="P57" s="28"/>
      <c r="Q57" s="18"/>
      <c r="T57" s="128">
        <f t="shared" ref="T57:U62" si="61">H265</f>
        <v>1.2879884436857663</v>
      </c>
      <c r="U57" s="128">
        <f t="shared" si="61"/>
        <v>8.9833694127449668E-2</v>
      </c>
      <c r="AF57" s="7"/>
      <c r="AG57" s="7"/>
      <c r="AH57" s="7"/>
      <c r="AI57" s="7"/>
      <c r="AJ57" s="7"/>
      <c r="AK57" s="7"/>
      <c r="AL57" s="7"/>
      <c r="AM57" s="7"/>
      <c r="AN57" s="7"/>
      <c r="AR57" s="28"/>
      <c r="AS57" s="7"/>
      <c r="AT57" s="123"/>
      <c r="AU57" s="123"/>
      <c r="AV57" s="123"/>
      <c r="AW57" s="123"/>
      <c r="AX57" s="123"/>
      <c r="AY57" s="123"/>
      <c r="AZ57" s="7"/>
    </row>
    <row r="58" spans="1:52">
      <c r="A58" s="95"/>
      <c r="B58" s="95"/>
      <c r="C58" s="28"/>
      <c r="D58" s="28"/>
      <c r="E58" s="28"/>
      <c r="F58" s="28"/>
      <c r="G58" s="28"/>
      <c r="H58" s="37" t="s">
        <v>8</v>
      </c>
      <c r="I58" s="37" t="s">
        <v>8</v>
      </c>
      <c r="J58" s="37" t="s">
        <v>9</v>
      </c>
      <c r="K58" s="37" t="s">
        <v>9</v>
      </c>
      <c r="L58" s="28"/>
      <c r="M58" s="28"/>
      <c r="N58" s="28"/>
      <c r="O58" s="28"/>
      <c r="P58" s="28"/>
      <c r="Q58" s="18"/>
      <c r="T58" s="128">
        <f t="shared" si="61"/>
        <v>1.2793261191348009</v>
      </c>
      <c r="U58" s="128">
        <f t="shared" si="61"/>
        <v>0.1098806583124063</v>
      </c>
      <c r="AF58" s="7"/>
      <c r="AG58" s="7"/>
      <c r="AH58" s="7"/>
      <c r="AI58" s="7"/>
      <c r="AJ58" s="7"/>
      <c r="AK58" s="7"/>
      <c r="AL58" s="7"/>
      <c r="AM58" s="7"/>
      <c r="AN58" s="7"/>
      <c r="AR58" s="28"/>
      <c r="AS58" s="7"/>
      <c r="AT58" s="123"/>
      <c r="AU58" s="123"/>
      <c r="AV58" s="123"/>
      <c r="AW58" s="123"/>
      <c r="AX58" s="123"/>
      <c r="AY58" s="123"/>
      <c r="AZ58" s="7"/>
    </row>
    <row r="59" spans="1:52">
      <c r="A59" s="88" t="s">
        <v>68</v>
      </c>
      <c r="B59" s="88"/>
      <c r="C59" s="115" t="s">
        <v>15</v>
      </c>
      <c r="D59" s="115" t="s">
        <v>55</v>
      </c>
      <c r="E59" s="115" t="s">
        <v>12</v>
      </c>
      <c r="F59" s="115" t="s">
        <v>10</v>
      </c>
      <c r="G59" s="115" t="s">
        <v>14</v>
      </c>
      <c r="H59" s="115" t="s">
        <v>21</v>
      </c>
      <c r="I59" s="115" t="s">
        <v>16</v>
      </c>
      <c r="J59" s="115" t="s">
        <v>17</v>
      </c>
      <c r="K59" s="115" t="s">
        <v>23</v>
      </c>
      <c r="L59" s="28"/>
      <c r="M59" s="28"/>
      <c r="N59" s="28"/>
      <c r="O59" s="28"/>
      <c r="P59" s="28"/>
      <c r="Q59" s="18"/>
      <c r="T59" s="128">
        <f t="shared" si="61"/>
        <v>1.2708855128228567</v>
      </c>
      <c r="U59" s="128">
        <f t="shared" si="61"/>
        <v>0.12917049342339165</v>
      </c>
      <c r="AF59" s="7"/>
      <c r="AG59" s="7"/>
      <c r="AH59" s="7"/>
      <c r="AI59" s="7"/>
      <c r="AJ59" s="7"/>
      <c r="AK59" s="7"/>
      <c r="AL59" s="7"/>
      <c r="AM59" s="7"/>
      <c r="AN59" s="7"/>
      <c r="AR59" s="28"/>
      <c r="AS59" s="7"/>
      <c r="AT59" s="123"/>
      <c r="AU59" s="123"/>
      <c r="AV59" s="123"/>
      <c r="AW59" s="123"/>
      <c r="AX59" s="123"/>
      <c r="AY59" s="123"/>
      <c r="AZ59" s="7"/>
    </row>
    <row r="60" spans="1:52">
      <c r="A60" s="28"/>
      <c r="B60" s="28"/>
      <c r="C60" s="23">
        <f>Mü/TAN($C57)</f>
        <v>1.1770934876266894</v>
      </c>
      <c r="D60" s="42">
        <f>SQRT($J57*$J57+$K57*$K57)</f>
        <v>3.33835005892354</v>
      </c>
      <c r="E60" s="20">
        <f>ATAN($J57/$K57)+PI()</f>
        <v>2.8227961572752402</v>
      </c>
      <c r="F60" s="23">
        <f>($E60-A73-0.0001)/5</f>
        <v>9.4995576049803124E-4</v>
      </c>
      <c r="G60" s="23">
        <f>COS($E60)</f>
        <v>-0.94961331255983861</v>
      </c>
      <c r="H60" s="23">
        <f>SIN($E60)</f>
        <v>0.31342392475548242</v>
      </c>
      <c r="I60" s="23">
        <f>$C60+$G60</f>
        <v>0.22748017506685081</v>
      </c>
      <c r="J60" s="23">
        <f>POWER(TAN($E60/2),$C60)</f>
        <v>8.597972282099402</v>
      </c>
      <c r="K60" s="23">
        <f>-$D60*$D60*SIN($E60)*SIN($E60)/(2*9.81*SIN($C57)*POWER(TAN($E60/2),2*$C60))</f>
        <v>-1.2715002756747043E-2</v>
      </c>
      <c r="L60" s="28"/>
      <c r="M60" s="28"/>
      <c r="N60" s="28"/>
      <c r="O60" s="28"/>
      <c r="P60" s="28"/>
      <c r="Q60" s="18"/>
      <c r="T60" s="128">
        <f t="shared" si="61"/>
        <v>1.2626583748821865</v>
      </c>
      <c r="U60" s="128">
        <f t="shared" si="61"/>
        <v>0.14773957990120343</v>
      </c>
      <c r="AF60" s="7"/>
      <c r="AG60" s="7"/>
      <c r="AH60" s="7"/>
      <c r="AI60" s="7"/>
      <c r="AJ60" s="7"/>
      <c r="AK60" s="7"/>
      <c r="AL60" s="7"/>
      <c r="AM60" s="7"/>
      <c r="AN60" s="7"/>
      <c r="AR60" s="28"/>
      <c r="AS60" s="7"/>
      <c r="AT60" s="123"/>
      <c r="AU60" s="123"/>
      <c r="AV60" s="123"/>
      <c r="AW60" s="123"/>
      <c r="AX60" s="123"/>
      <c r="AY60" s="123"/>
      <c r="AZ60" s="7"/>
    </row>
    <row r="61" spans="1:52">
      <c r="A61" s="88" t="s">
        <v>70</v>
      </c>
      <c r="B61" s="8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45"/>
      <c r="N61" s="28"/>
      <c r="O61" s="28"/>
      <c r="P61" s="28"/>
      <c r="Q61" s="18"/>
      <c r="T61" s="128">
        <f t="shared" si="61"/>
        <v>1.2546368487430728</v>
      </c>
      <c r="U61" s="128">
        <f t="shared" si="61"/>
        <v>0.16562217765166598</v>
      </c>
      <c r="AF61" s="7"/>
      <c r="AG61" s="7"/>
      <c r="AH61" s="7"/>
      <c r="AI61" s="7"/>
      <c r="AJ61" s="7"/>
      <c r="AK61" s="7"/>
      <c r="AL61" s="7"/>
      <c r="AM61" s="7"/>
      <c r="AN61" s="7"/>
      <c r="AR61" s="28"/>
      <c r="AS61" s="7"/>
      <c r="AT61" s="123"/>
      <c r="AU61" s="123"/>
      <c r="AV61" s="123"/>
      <c r="AW61" s="123"/>
      <c r="AX61" s="123"/>
      <c r="AY61" s="123"/>
      <c r="AZ61" s="7"/>
    </row>
    <row r="62" spans="1:52">
      <c r="A62" s="115" t="s">
        <v>11</v>
      </c>
      <c r="B62" s="115" t="s">
        <v>13</v>
      </c>
      <c r="C62" s="26" t="s">
        <v>22</v>
      </c>
      <c r="D62" s="26" t="s">
        <v>18</v>
      </c>
      <c r="E62" s="115" t="s">
        <v>19</v>
      </c>
      <c r="F62" s="26" t="s">
        <v>20</v>
      </c>
      <c r="G62" s="26" t="s">
        <v>2</v>
      </c>
      <c r="H62" s="26" t="s">
        <v>65</v>
      </c>
      <c r="I62" s="26" t="s">
        <v>66</v>
      </c>
      <c r="J62" s="76" t="s">
        <v>3</v>
      </c>
      <c r="K62" s="76" t="s">
        <v>4</v>
      </c>
      <c r="L62" s="116" t="s">
        <v>7</v>
      </c>
      <c r="M62" s="93"/>
      <c r="N62" s="26" t="s">
        <v>61</v>
      </c>
      <c r="O62" s="26" t="s">
        <v>62</v>
      </c>
      <c r="P62" s="115" t="s">
        <v>63</v>
      </c>
      <c r="Q62" s="18"/>
      <c r="T62" s="128">
        <f t="shared" si="61"/>
        <v>1.246813448358137</v>
      </c>
      <c r="U62" s="128">
        <f t="shared" si="61"/>
        <v>0.18285057087562068</v>
      </c>
      <c r="AF62" s="7"/>
      <c r="AG62" s="7"/>
      <c r="AH62" s="7"/>
      <c r="AI62" s="7"/>
      <c r="AJ62" s="7"/>
      <c r="AK62" s="7"/>
      <c r="AL62" s="7"/>
      <c r="AM62" s="7"/>
      <c r="AN62" s="7"/>
      <c r="AR62" s="28"/>
      <c r="AS62" s="7"/>
      <c r="AT62" s="123"/>
      <c r="AU62" s="123"/>
      <c r="AV62" s="123"/>
      <c r="AW62" s="123"/>
      <c r="AX62" s="123"/>
      <c r="AY62" s="123"/>
      <c r="AZ62" s="7"/>
    </row>
    <row r="63" spans="1:52">
      <c r="A63" s="19">
        <f>$E60</f>
        <v>2.8227961572752402</v>
      </c>
      <c r="B63" s="26">
        <f>COS(A63)</f>
        <v>-0.94961331255983861</v>
      </c>
      <c r="C63" s="26">
        <f>($C$60+B63)</f>
        <v>0.22748017506685081</v>
      </c>
      <c r="D63" s="26">
        <f>POWER(TAN(A63/2),$C$60)</f>
        <v>8.597972282099402</v>
      </c>
      <c r="E63" s="26">
        <f>SIN(A63)</f>
        <v>0.31342392475548242</v>
      </c>
      <c r="F63" s="77">
        <f>(C63*$H$60*D63/E63/$I$60/$J$60)</f>
        <v>1</v>
      </c>
      <c r="G63" s="77">
        <f>$D$60*($C$60+$G$60)/9.81/SIN($C$57)/(1-$C$60*$C$60)*(F63-1)</f>
        <v>0</v>
      </c>
      <c r="H63" s="75">
        <f>-(-$H$57+$K$60*((POWER(TAN(A63/2),2*$C$60-1)/(2*$C$60-1))+(POWER(TAN(A63/2),2*$C$60+1)/(2*$C$60+1))-(POWER(TAN($E$60/2),2*$C$60-1)/(2*$C$60-1))-(POWER(TAN($E$60/2),2*$C$60+1)/(2*$C$60+1))))</f>
        <v>1.6511954061839587</v>
      </c>
      <c r="I63" s="75">
        <f>-(-$I$57+0.5*$K$60*((POWER(TAN(A63/2),2*$C$60-2)/(2*$C$60-2))-(POWER(TAN(A63/2),2*$C$60+2)/(2*$C$60+2))-(POWER(TAN($E$60/2),2*$C$60-2)/(2*$C$60-2))+(POWER(TAN($E$60/2),2*$C$60+2)/(2*$C$60+2))))</f>
        <v>-0.93001918678854367</v>
      </c>
      <c r="J63" s="77">
        <f>-$D$60*SIN(A63)*($C$60+$G$60)/($C$60+B63)*F63</f>
        <v>-1.0463187776755118</v>
      </c>
      <c r="K63" s="77">
        <f>-$D$60*COS(A63)*($C$60+$G$60)/($C$60+B63)*F63</f>
        <v>3.1701416579387152</v>
      </c>
      <c r="L63" s="91">
        <f>SQRT(J63*J63+K63*K63)</f>
        <v>3.33835005892354</v>
      </c>
      <c r="M63" s="93"/>
      <c r="N63" s="75">
        <f>-(-$I$57+0.5*$K$60*((POWER(TAN(A63/2),2*$C$60-2)/(2*$C$60-2))-(POWER(TAN(A63/2),2*$C$60+2)/(2*$C$60+2))-(POWER(TAN($E$60/2),2*$C$60-2)/(2*$C$60-2))+(POWER(TAN($E$60/2),2*$C$60+2)/(2*$C$60+2))))-$D$57</f>
        <v>-0.27001584281234414</v>
      </c>
      <c r="O63" s="75">
        <f>-(-$I$57+0.5*$K$60*((POWER(TAN((A63+$M$9)/2),2*$C$60-2)/(2*$C$60-2))-(POWER(TAN((A63+$M$9)/2),2*$C$60+2)/(2*$C$60+2))-(POWER(TAN($E$60/2),2*$C$60-2)/(2*$C$60-2))+(POWER(TAN($E$60/2),2*$C$60+2)/(2*$C$60+2))))-$D$57</f>
        <v>-0.44846757482889743</v>
      </c>
      <c r="P63" s="75">
        <f>A63-N63/(O63-N63)*$M$9</f>
        <v>2.8182568484140527</v>
      </c>
      <c r="Q63" s="18"/>
      <c r="T63" s="120">
        <f t="shared" ref="T63:U68" si="62">H292</f>
        <v>1.2466453987438619</v>
      </c>
      <c r="U63" s="120">
        <f t="shared" si="62"/>
        <v>0.18321833372345692</v>
      </c>
      <c r="AF63" s="7"/>
      <c r="AG63" s="7"/>
      <c r="AH63" s="7"/>
      <c r="AI63" s="7"/>
      <c r="AJ63" s="7"/>
      <c r="AK63" s="7"/>
      <c r="AL63" s="7"/>
      <c r="AM63" s="7"/>
      <c r="AN63" s="7"/>
      <c r="AR63" s="28"/>
      <c r="AS63" s="7"/>
      <c r="AT63" s="123"/>
      <c r="AU63" s="123"/>
      <c r="AV63" s="123"/>
      <c r="AW63" s="123"/>
      <c r="AX63" s="123"/>
      <c r="AY63" s="123"/>
      <c r="AZ63" s="7"/>
    </row>
    <row r="64" spans="1:52">
      <c r="A64" s="19">
        <f>P63</f>
        <v>2.8182568484140527</v>
      </c>
      <c r="B64" s="26">
        <f>COS(A64)</f>
        <v>-0.9481808059182093</v>
      </c>
      <c r="C64" s="26">
        <f>($C$60+B64)</f>
        <v>0.22891268170848011</v>
      </c>
      <c r="D64" s="26">
        <f>POWER(TAN(A64/2),$C$60)</f>
        <v>8.4536195262079019</v>
      </c>
      <c r="E64" s="26">
        <f>SIN(A64)</f>
        <v>0.3177312689810291</v>
      </c>
      <c r="F64" s="77">
        <f>(C64*$H$60*D64/E64/$I$60/$J$60)</f>
        <v>0.97598949575395821</v>
      </c>
      <c r="G64" s="77">
        <f>$D$60*($C$60+$G$60)/9.81/SIN($C$57)/(1-$C$60*$C$60)*(F64-1)</f>
        <v>8.120963092400052E-2</v>
      </c>
      <c r="H64" s="75">
        <f>-(-$H$57+$K$60*((POWER(TAN(A64/2),2*$C$60-1)/(2*$C$60-1))+(POWER(TAN(A64/2),2*$C$60+1)/(2*$C$60+1))-(POWER(TAN($E$60/2),2*$C$60-1)/(2*$C$60-1))-(POWER(TAN($E$60/2),2*$C$60+1)/(2*$C$60+1))))</f>
        <v>1.5669359191130314</v>
      </c>
      <c r="I64" s="75">
        <f>-(-$I$57+0.5*$K$60*((POWER(TAN(A64/2),2*$C$60-2)/(2*$C$60-2))-(POWER(TAN(A64/2),2*$C$60+2)/(2*$C$60+2))-(POWER(TAN($E$60/2),2*$C$60-2)/(2*$C$60-2))+(POWER(TAN($E$60/2),2*$C$60+2)/(2*$C$60+2))))</f>
        <v>-0.67663892042475071</v>
      </c>
      <c r="J64" s="77">
        <f>-$D$60*SIN(A64)*($C$60+$G$60)/($C$60+B64)*F64</f>
        <v>-1.0287519614375784</v>
      </c>
      <c r="K64" s="77">
        <f>-$D$60*COS(A64)*($C$60+$G$60)/($C$60+B64)*F64</f>
        <v>3.0700247634237807</v>
      </c>
      <c r="L64" s="91">
        <f>SQRT(J64*J64+K64*K64)</f>
        <v>3.2378052205463046</v>
      </c>
      <c r="M64" s="93"/>
      <c r="N64" s="75">
        <f>-(-$I$57+0.5*$K$60*((POWER(TAN(A64/2),2*$C$60-2)/(2*$C$60-2))-(POWER(TAN(A64/2),2*$C$60+2)/(2*$C$60+2))-(POWER(TAN($E$60/2),2*$C$60-2)/(2*$C$60-2))+(POWER(TAN($E$60/2),2*$C$60+2)/(2*$C$60+2))))-$D$57</f>
        <v>-1.6635576448551181E-2</v>
      </c>
      <c r="O64" s="75">
        <f t="shared" ref="O64:O73" si="63">-(-$I$57+0.5*$K$60*((POWER(TAN((A64+$M$9)/2),2*$C$60-2)/(2*$C$60-2))-(POWER(TAN((A64+$M$9)/2),2*$C$60+2)/(2*$C$60+2))-(POWER(TAN($E$60/2),2*$C$60-2)/(2*$C$60-2))+(POWER(TAN($E$60/2),2*$C$60+2)/(2*$C$60+2))))-$D$57</f>
        <v>-0.18191569420583598</v>
      </c>
      <c r="P64" s="75">
        <f t="shared" ref="P64:P73" si="64">A64-N64/(O64-N64)*$M$9</f>
        <v>2.8179548960072971</v>
      </c>
      <c r="Q64" s="18"/>
      <c r="T64" s="120">
        <f t="shared" si="62"/>
        <v>1.2381264983483962</v>
      </c>
      <c r="U64" s="120">
        <f t="shared" si="62"/>
        <v>0.20175753321055223</v>
      </c>
      <c r="AF64" s="7"/>
      <c r="AG64" s="7"/>
      <c r="AH64" s="7"/>
      <c r="AI64" s="7"/>
      <c r="AJ64" s="7"/>
      <c r="AK64" s="7"/>
      <c r="AL64" s="7"/>
      <c r="AM64" s="7"/>
      <c r="AN64" s="7"/>
      <c r="AR64" s="28"/>
      <c r="AS64" s="7"/>
      <c r="AT64" s="123"/>
      <c r="AU64" s="123"/>
      <c r="AV64" s="123"/>
      <c r="AW64" s="123"/>
      <c r="AX64" s="123"/>
      <c r="AY64" s="123"/>
      <c r="AZ64" s="7"/>
    </row>
    <row r="65" spans="1:52">
      <c r="A65" s="19">
        <f t="shared" ref="A65:A73" si="65">P64</f>
        <v>2.8179548960072971</v>
      </c>
      <c r="B65" s="26">
        <f t="shared" ref="B65:B73" si="66">COS(A65)</f>
        <v>-0.94808482297298335</v>
      </c>
      <c r="C65" s="26">
        <f t="shared" ref="C65:C73" si="67">($C$60+B65)</f>
        <v>0.22900866465370606</v>
      </c>
      <c r="D65" s="26">
        <f t="shared" ref="D65:D73" si="68">POWER(TAN(A65/2),$C$60)</f>
        <v>8.4441725281564235</v>
      </c>
      <c r="E65" s="26">
        <f t="shared" ref="E65:E73" si="69">SIN(A65)</f>
        <v>0.3180175599684501</v>
      </c>
      <c r="F65" s="77">
        <f t="shared" ref="F65:F73" si="70">(C65*$H$60*D65/E65/$I$60/$J$60)</f>
        <v>0.97442958552050829</v>
      </c>
      <c r="G65" s="77">
        <f t="shared" ref="G65:G73" si="71">$D$60*($C$60+$G$60)/9.81/SIN($C$57)/(1-$C$60*$C$60)*(F65-1)</f>
        <v>8.6485643998733153E-2</v>
      </c>
      <c r="H65" s="75">
        <f t="shared" ref="H65:H73" si="72">-(-$H$57+$K$60*((POWER(TAN(A65/2),2*$C$60-1)/(2*$C$60-1))+(POWER(TAN(A65/2),2*$C$60+1)/(2*$C$60+1))-(POWER(TAN($E$60/2),2*$C$60-1)/(2*$C$60-1))-(POWER(TAN($E$60/2),2*$C$60+1)/(2*$C$60+1))))</f>
        <v>1.5615112426159987</v>
      </c>
      <c r="I65" s="75">
        <f t="shared" ref="I65:I73" si="73">-(-$I$57+0.5*$K$60*((POWER(TAN(A65/2),2*$C$60-2)/(2*$C$60-2))-(POWER(TAN(A65/2),2*$C$60+2)/(2*$C$60+2))-(POWER(TAN($E$60/2),2*$C$60-2)/(2*$C$60-2))+(POWER(TAN($E$60/2),2*$C$60+2)/(2*$C$60+2))))</f>
        <v>-0.66045858101739996</v>
      </c>
      <c r="J65" s="77">
        <f t="shared" ref="J65:J73" si="74">-$D$60*SIN(A65)*($C$60+$G$60)/($C$60+B65)*F65</f>
        <v>-1.0276023216004617</v>
      </c>
      <c r="K65" s="77">
        <f t="shared" ref="K65:K73" si="75">-$D$60*COS(A65)*($C$60+$G$60)/($C$60+B65)*F65</f>
        <v>3.0635231754430614</v>
      </c>
      <c r="L65" s="91">
        <f t="shared" ref="L65:L73" si="76">SQRT(J65*J65+K65*K65)</f>
        <v>3.2312754103968602</v>
      </c>
      <c r="M65" s="93"/>
      <c r="N65" s="75">
        <f t="shared" ref="N65:N73" si="77">-(-$I$57+0.5*$K$60*((POWER(TAN(A65/2),2*$C$60-2)/(2*$C$60-2))-(POWER(TAN(A65/2),2*$C$60+2)/(2*$C$60+2))-(POWER(TAN($E$60/2),2*$C$60-2)/(2*$C$60-2))+(POWER(TAN($E$60/2),2*$C$60+2)/(2*$C$60+2))))-$D$57</f>
        <v>-4.5523704120042918E-4</v>
      </c>
      <c r="O65" s="75">
        <f t="shared" si="63"/>
        <v>-0.16490070321752004</v>
      </c>
      <c r="P65" s="75">
        <f t="shared" si="64"/>
        <v>2.8179465910588219</v>
      </c>
      <c r="Q65" s="18"/>
      <c r="T65" s="120">
        <f t="shared" si="62"/>
        <v>1.2298024052286414</v>
      </c>
      <c r="U65" s="120">
        <f t="shared" si="62"/>
        <v>0.2196764997335294</v>
      </c>
      <c r="AF65" s="7"/>
      <c r="AG65" s="7"/>
      <c r="AH65" s="7"/>
      <c r="AI65" s="7"/>
      <c r="AJ65" s="7"/>
      <c r="AK65" s="7"/>
      <c r="AL65" s="7"/>
      <c r="AM65" s="7"/>
      <c r="AN65" s="7"/>
      <c r="AR65" s="28"/>
      <c r="AS65" s="7"/>
      <c r="AT65" s="123"/>
      <c r="AU65" s="123"/>
      <c r="AV65" s="123"/>
      <c r="AW65" s="123"/>
      <c r="AX65" s="123"/>
      <c r="AY65" s="123"/>
      <c r="AZ65" s="7"/>
    </row>
    <row r="66" spans="1:52">
      <c r="A66" s="19">
        <f t="shared" si="65"/>
        <v>2.8179465910588219</v>
      </c>
      <c r="B66" s="26">
        <f t="shared" si="66"/>
        <v>-0.94808218182083792</v>
      </c>
      <c r="C66" s="26">
        <f t="shared" si="67"/>
        <v>0.22901130580585149</v>
      </c>
      <c r="D66" s="26">
        <f t="shared" si="68"/>
        <v>8.4439129657181784</v>
      </c>
      <c r="E66" s="26">
        <f t="shared" si="69"/>
        <v>0.31802543375308773</v>
      </c>
      <c r="F66" s="77">
        <f t="shared" si="70"/>
        <v>0.97438674579982387</v>
      </c>
      <c r="G66" s="77">
        <f t="shared" si="71"/>
        <v>8.6630538827680459E-2</v>
      </c>
      <c r="H66" s="75">
        <f t="shared" si="72"/>
        <v>1.5613623506417791</v>
      </c>
      <c r="I66" s="75">
        <f t="shared" si="73"/>
        <v>-0.66001470528624617</v>
      </c>
      <c r="J66" s="77">
        <f t="shared" si="74"/>
        <v>-1.027570734495479</v>
      </c>
      <c r="K66" s="77">
        <f t="shared" si="75"/>
        <v>3.0633446276252614</v>
      </c>
      <c r="L66" s="91">
        <f t="shared" si="76"/>
        <v>3.2310960867780039</v>
      </c>
      <c r="M66" s="93"/>
      <c r="N66" s="75">
        <f t="shared" si="77"/>
        <v>-1.1361310046642537E-5</v>
      </c>
      <c r="O66" s="75">
        <f t="shared" si="63"/>
        <v>-0.16443394158085567</v>
      </c>
      <c r="P66" s="75">
        <f t="shared" si="64"/>
        <v>2.8179463837641179</v>
      </c>
      <c r="Q66" s="18"/>
      <c r="T66" s="120">
        <f t="shared" si="62"/>
        <v>1.2216667130369057</v>
      </c>
      <c r="U66" s="120">
        <f t="shared" si="62"/>
        <v>0.23700145598723632</v>
      </c>
      <c r="AF66" s="7"/>
      <c r="AG66" s="7"/>
      <c r="AH66" s="7"/>
      <c r="AI66" s="7"/>
      <c r="AJ66" s="7"/>
      <c r="AK66" s="7"/>
      <c r="AL66" s="7"/>
      <c r="AM66" s="7"/>
      <c r="AN66" s="7"/>
      <c r="AR66" s="28"/>
      <c r="AS66" s="7"/>
      <c r="AT66" s="123"/>
      <c r="AU66" s="123"/>
      <c r="AV66" s="123"/>
      <c r="AW66" s="123"/>
      <c r="AX66" s="123"/>
      <c r="AY66" s="123"/>
      <c r="AZ66" s="7"/>
    </row>
    <row r="67" spans="1:52">
      <c r="A67" s="19">
        <f t="shared" si="65"/>
        <v>2.8179463837641179</v>
      </c>
      <c r="B67" s="26">
        <f t="shared" si="66"/>
        <v>-0.94808211589582936</v>
      </c>
      <c r="C67" s="26">
        <f t="shared" si="67"/>
        <v>0.22901137173086006</v>
      </c>
      <c r="D67" s="26">
        <f t="shared" si="68"/>
        <v>8.4439064871242788</v>
      </c>
      <c r="E67" s="26">
        <f t="shared" si="69"/>
        <v>0.31802563028549619</v>
      </c>
      <c r="F67" s="77">
        <f t="shared" si="70"/>
        <v>0.97438567654791863</v>
      </c>
      <c r="G67" s="77">
        <f t="shared" si="71"/>
        <v>8.6634155309521052E-2</v>
      </c>
      <c r="H67" s="75">
        <f t="shared" si="72"/>
        <v>1.5613586344523034</v>
      </c>
      <c r="I67" s="75">
        <f t="shared" si="73"/>
        <v>-0.66000362676408975</v>
      </c>
      <c r="J67" s="77">
        <f t="shared" si="74"/>
        <v>-1.0275699460916283</v>
      </c>
      <c r="K67" s="77">
        <f t="shared" si="75"/>
        <v>3.0633401711897954</v>
      </c>
      <c r="L67" s="91">
        <f t="shared" si="76"/>
        <v>3.2310916109785368</v>
      </c>
      <c r="M67" s="93"/>
      <c r="N67" s="75">
        <f t="shared" si="77"/>
        <v>-2.8278789021563E-7</v>
      </c>
      <c r="O67" s="75">
        <f t="shared" si="63"/>
        <v>-0.16442229186586599</v>
      </c>
      <c r="P67" s="75">
        <f t="shared" si="64"/>
        <v>2.8179463786044456</v>
      </c>
      <c r="Q67" s="18"/>
      <c r="T67" s="120">
        <f t="shared" si="62"/>
        <v>1.2137132840970553</v>
      </c>
      <c r="U67" s="120">
        <f t="shared" si="62"/>
        <v>0.25375728401123337</v>
      </c>
      <c r="AF67" s="7"/>
      <c r="AG67" s="7"/>
      <c r="AH67" s="7"/>
      <c r="AI67" s="7"/>
      <c r="AJ67" s="7"/>
      <c r="AK67" s="7"/>
      <c r="AL67" s="7"/>
      <c r="AM67" s="7"/>
      <c r="AN67" s="7"/>
      <c r="AR67" s="28"/>
      <c r="AS67" s="7"/>
      <c r="AT67" s="123"/>
      <c r="AU67" s="123"/>
      <c r="AV67" s="123"/>
      <c r="AW67" s="123"/>
      <c r="AX67" s="123"/>
      <c r="AY67" s="123"/>
      <c r="AZ67" s="7"/>
    </row>
    <row r="68" spans="1:52">
      <c r="A68" s="19">
        <f t="shared" si="65"/>
        <v>2.8179463786044456</v>
      </c>
      <c r="B68" s="26">
        <f t="shared" si="66"/>
        <v>-0.94808211425492139</v>
      </c>
      <c r="C68" s="26">
        <f t="shared" si="67"/>
        <v>0.22901137337176802</v>
      </c>
      <c r="D68" s="26">
        <f t="shared" si="68"/>
        <v>8.4439063258688449</v>
      </c>
      <c r="E68" s="26">
        <f t="shared" si="69"/>
        <v>0.31802563517728916</v>
      </c>
      <c r="F68" s="77">
        <f t="shared" si="70"/>
        <v>0.97438564993371379</v>
      </c>
      <c r="G68" s="77">
        <f t="shared" si="71"/>
        <v>8.6634245325529463E-2</v>
      </c>
      <c r="H68" s="75">
        <f t="shared" si="72"/>
        <v>1.5613585419545601</v>
      </c>
      <c r="I68" s="75">
        <f t="shared" si="73"/>
        <v>-0.66000335101444341</v>
      </c>
      <c r="J68" s="77">
        <f t="shared" si="74"/>
        <v>-1.0275699264678637</v>
      </c>
      <c r="K68" s="77">
        <f t="shared" si="75"/>
        <v>3.0633400602669321</v>
      </c>
      <c r="L68" s="91">
        <f t="shared" si="76"/>
        <v>3.2310914995736941</v>
      </c>
      <c r="M68" s="93"/>
      <c r="N68" s="75">
        <f t="shared" si="77"/>
        <v>-7.0382438766003474E-9</v>
      </c>
      <c r="O68" s="75">
        <f t="shared" si="63"/>
        <v>-0.16442200189896017</v>
      </c>
      <c r="P68" s="75">
        <f t="shared" si="64"/>
        <v>2.8179463784760279</v>
      </c>
      <c r="Q68" s="18"/>
      <c r="T68" s="120">
        <f t="shared" si="62"/>
        <v>1.2059362357542076</v>
      </c>
      <c r="U68" s="120">
        <f t="shared" si="62"/>
        <v>0.2699676053703311</v>
      </c>
      <c r="AF68" s="7"/>
      <c r="AG68" s="7"/>
      <c r="AH68" s="7"/>
      <c r="AI68" s="7"/>
      <c r="AJ68" s="7"/>
      <c r="AK68" s="7"/>
      <c r="AL68" s="7"/>
      <c r="AM68" s="7"/>
      <c r="AN68" s="7"/>
      <c r="AR68" s="28"/>
      <c r="AS68" s="7"/>
      <c r="AT68" s="123"/>
      <c r="AU68" s="123"/>
      <c r="AV68" s="123"/>
      <c r="AW68" s="123"/>
      <c r="AX68" s="123"/>
      <c r="AY68" s="123"/>
      <c r="AZ68" s="7"/>
    </row>
    <row r="69" spans="1:52">
      <c r="A69" s="19">
        <f t="shared" si="65"/>
        <v>2.8179463784760279</v>
      </c>
      <c r="B69" s="26">
        <f t="shared" si="66"/>
        <v>-0.94808211421408128</v>
      </c>
      <c r="C69" s="26">
        <f t="shared" si="67"/>
        <v>0.22901137341260813</v>
      </c>
      <c r="D69" s="26">
        <f t="shared" si="68"/>
        <v>8.4439063218554029</v>
      </c>
      <c r="E69" s="26">
        <f t="shared" si="69"/>
        <v>0.31802563529903971</v>
      </c>
      <c r="F69" s="77">
        <f t="shared" si="70"/>
        <v>0.97438564927131999</v>
      </c>
      <c r="G69" s="77">
        <f t="shared" si="71"/>
        <v>8.6634247565913758E-2</v>
      </c>
      <c r="H69" s="75">
        <f t="shared" si="72"/>
        <v>1.5613585396524081</v>
      </c>
      <c r="I69" s="75">
        <f t="shared" si="73"/>
        <v>-0.66000334415138218</v>
      </c>
      <c r="J69" s="77">
        <f t="shared" si="74"/>
        <v>-1.0275699259794533</v>
      </c>
      <c r="K69" s="77">
        <f t="shared" si="75"/>
        <v>3.0633400575062031</v>
      </c>
      <c r="L69" s="91">
        <f t="shared" si="76"/>
        <v>3.2310914968009694</v>
      </c>
      <c r="M69" s="93"/>
      <c r="N69" s="75">
        <f t="shared" si="77"/>
        <v>-1.7518264616711576E-10</v>
      </c>
      <c r="O69" s="75">
        <f t="shared" si="63"/>
        <v>-0.1644219946820531</v>
      </c>
      <c r="P69" s="75">
        <f t="shared" si="64"/>
        <v>2.8179463784728314</v>
      </c>
      <c r="Q69" s="18"/>
      <c r="T69" s="133">
        <f t="shared" ref="T69:U74" si="78">H319</f>
        <v>1.2057508712377385</v>
      </c>
      <c r="U69" s="133">
        <f t="shared" si="78"/>
        <v>0.27035186996590749</v>
      </c>
      <c r="AF69" s="7"/>
      <c r="AG69" s="7"/>
      <c r="AH69" s="7"/>
      <c r="AI69" s="7"/>
      <c r="AJ69" s="7"/>
      <c r="AK69" s="7"/>
      <c r="AL69" s="7"/>
      <c r="AM69" s="7"/>
      <c r="AN69" s="7"/>
      <c r="AR69" s="28"/>
      <c r="AS69" s="7"/>
      <c r="AT69" s="123"/>
      <c r="AU69" s="123"/>
      <c r="AV69" s="123"/>
      <c r="AW69" s="123"/>
      <c r="AX69" s="123"/>
      <c r="AY69" s="123"/>
      <c r="AZ69" s="7"/>
    </row>
    <row r="70" spans="1:52">
      <c r="A70" s="19">
        <f>P69</f>
        <v>2.8179463784728314</v>
      </c>
      <c r="B70" s="26">
        <f t="shared" si="66"/>
        <v>-0.94808211421306465</v>
      </c>
      <c r="C70" s="26">
        <f t="shared" si="67"/>
        <v>0.22901137341362476</v>
      </c>
      <c r="D70" s="26">
        <f t="shared" si="68"/>
        <v>8.4439063217554988</v>
      </c>
      <c r="E70" s="26">
        <f t="shared" si="69"/>
        <v>0.31802563530207029</v>
      </c>
      <c r="F70" s="77">
        <f t="shared" si="70"/>
        <v>0.97438564925483173</v>
      </c>
      <c r="G70" s="77">
        <f t="shared" si="71"/>
        <v>8.6634247621681232E-2</v>
      </c>
      <c r="H70" s="75">
        <f t="shared" si="72"/>
        <v>1.5613585395951024</v>
      </c>
      <c r="I70" s="75">
        <f t="shared" si="73"/>
        <v>-0.6600033439805475</v>
      </c>
      <c r="J70" s="77">
        <f t="shared" si="74"/>
        <v>-1.0275699259672957</v>
      </c>
      <c r="K70" s="77">
        <f t="shared" si="75"/>
        <v>3.0633400574374821</v>
      </c>
      <c r="L70" s="91">
        <f t="shared" si="76"/>
        <v>3.2310914967319495</v>
      </c>
      <c r="M70" s="93"/>
      <c r="N70" s="75">
        <f t="shared" si="77"/>
        <v>-4.3479664313395006E-12</v>
      </c>
      <c r="O70" s="75">
        <f t="shared" si="63"/>
        <v>-0.16442199450240724</v>
      </c>
      <c r="P70" s="75">
        <f t="shared" si="64"/>
        <v>2.8179463784727519</v>
      </c>
      <c r="Q70" s="18"/>
      <c r="T70" s="133">
        <f t="shared" si="78"/>
        <v>1.1956143939214174</v>
      </c>
      <c r="U70" s="133">
        <f t="shared" si="78"/>
        <v>0.29124886445440518</v>
      </c>
      <c r="AF70" s="7"/>
      <c r="AG70" s="7"/>
      <c r="AH70" s="7"/>
      <c r="AI70" s="7"/>
      <c r="AJ70" s="7"/>
      <c r="AK70" s="7"/>
      <c r="AL70" s="7"/>
      <c r="AM70" s="7"/>
      <c r="AN70" s="7"/>
      <c r="AR70" s="28"/>
      <c r="AS70" s="7"/>
      <c r="AT70" s="123"/>
      <c r="AU70" s="123"/>
      <c r="AV70" s="123"/>
      <c r="AW70" s="123"/>
      <c r="AX70" s="123"/>
      <c r="AY70" s="123"/>
      <c r="AZ70" s="7"/>
    </row>
    <row r="71" spans="1:52">
      <c r="A71" s="19">
        <f t="shared" si="65"/>
        <v>2.8179463784727519</v>
      </c>
      <c r="B71" s="26">
        <f t="shared" si="66"/>
        <v>-0.94808211421303934</v>
      </c>
      <c r="C71" s="26">
        <f t="shared" si="67"/>
        <v>0.22901137341365008</v>
      </c>
      <c r="D71" s="26">
        <f t="shared" si="68"/>
        <v>8.4439063217530119</v>
      </c>
      <c r="E71" s="26">
        <f t="shared" si="69"/>
        <v>0.31802563530214567</v>
      </c>
      <c r="F71" s="77">
        <f t="shared" si="70"/>
        <v>0.9743856492544215</v>
      </c>
      <c r="G71" s="77">
        <f t="shared" si="71"/>
        <v>8.6634247623068719E-2</v>
      </c>
      <c r="H71" s="75">
        <f t="shared" si="72"/>
        <v>1.5613585395936771</v>
      </c>
      <c r="I71" s="75">
        <f t="shared" si="73"/>
        <v>-0.6600033439762969</v>
      </c>
      <c r="J71" s="77">
        <f t="shared" si="74"/>
        <v>-1.0275699259669928</v>
      </c>
      <c r="K71" s="77">
        <f t="shared" si="75"/>
        <v>3.0633400574357723</v>
      </c>
      <c r="L71" s="91">
        <f t="shared" si="76"/>
        <v>3.2310914967302322</v>
      </c>
      <c r="M71" s="93"/>
      <c r="N71" s="75">
        <f t="shared" si="77"/>
        <v>-9.7366559259626229E-14</v>
      </c>
      <c r="O71" s="75">
        <f t="shared" si="63"/>
        <v>-0.16442199449794126</v>
      </c>
      <c r="P71" s="75">
        <f t="shared" si="64"/>
        <v>2.8179463784727501</v>
      </c>
      <c r="Q71" s="18"/>
      <c r="T71" s="133">
        <f t="shared" si="78"/>
        <v>1.1857204096861205</v>
      </c>
      <c r="U71" s="133">
        <f t="shared" si="78"/>
        <v>0.31142613543294095</v>
      </c>
      <c r="AF71" s="7"/>
      <c r="AG71" s="7"/>
      <c r="AH71" s="7"/>
      <c r="AI71" s="7"/>
      <c r="AJ71" s="7"/>
      <c r="AK71" s="7"/>
      <c r="AL71" s="7"/>
      <c r="AM71" s="7"/>
      <c r="AN71" s="7"/>
      <c r="AR71" s="28"/>
      <c r="AS71" s="7"/>
      <c r="AT71" s="123"/>
      <c r="AU71" s="123"/>
      <c r="AV71" s="123"/>
      <c r="AW71" s="123"/>
      <c r="AX71" s="123"/>
      <c r="AY71" s="123"/>
      <c r="AZ71" s="7"/>
    </row>
    <row r="72" spans="1:52">
      <c r="A72" s="19">
        <f t="shared" si="65"/>
        <v>2.8179463784727501</v>
      </c>
      <c r="B72" s="26">
        <f t="shared" si="66"/>
        <v>-0.94808211421303878</v>
      </c>
      <c r="C72" s="26">
        <f t="shared" si="67"/>
        <v>0.22901137341365063</v>
      </c>
      <c r="D72" s="26">
        <f t="shared" si="68"/>
        <v>8.4439063217529604</v>
      </c>
      <c r="E72" s="26">
        <f t="shared" si="69"/>
        <v>0.31802563530214734</v>
      </c>
      <c r="F72" s="77">
        <f t="shared" si="70"/>
        <v>0.97438564925441296</v>
      </c>
      <c r="G72" s="77">
        <f t="shared" si="71"/>
        <v>8.663424762309764E-2</v>
      </c>
      <c r="H72" s="75">
        <f t="shared" si="72"/>
        <v>1.5613585395936456</v>
      </c>
      <c r="I72" s="75">
        <f t="shared" si="73"/>
        <v>-0.66000334397620364</v>
      </c>
      <c r="J72" s="77">
        <f t="shared" si="74"/>
        <v>-1.0275699259669866</v>
      </c>
      <c r="K72" s="77">
        <f t="shared" si="75"/>
        <v>3.0633400574357363</v>
      </c>
      <c r="L72" s="91">
        <f t="shared" si="76"/>
        <v>3.2310914967301958</v>
      </c>
      <c r="M72" s="93"/>
      <c r="N72" s="75">
        <f t="shared" si="77"/>
        <v>-4.1078251911130792E-15</v>
      </c>
      <c r="O72" s="75">
        <f t="shared" si="63"/>
        <v>-0.16442199449784367</v>
      </c>
      <c r="P72" s="75">
        <f t="shared" si="64"/>
        <v>2.8179463784727501</v>
      </c>
      <c r="Q72" s="18"/>
      <c r="T72" s="133">
        <f t="shared" si="78"/>
        <v>1.1760607397425538</v>
      </c>
      <c r="U72" s="133">
        <f t="shared" si="78"/>
        <v>0.33091465965151468</v>
      </c>
      <c r="AF72" s="7"/>
      <c r="AG72" s="7"/>
      <c r="AH72" s="7"/>
      <c r="AI72" s="7"/>
      <c r="AJ72" s="7"/>
      <c r="AK72" s="7"/>
      <c r="AL72" s="7"/>
      <c r="AM72" s="7"/>
      <c r="AN72" s="7"/>
      <c r="AR72" s="28"/>
      <c r="AS72" s="7"/>
      <c r="AT72" s="123"/>
      <c r="AU72" s="123"/>
      <c r="AV72" s="123"/>
      <c r="AW72" s="123"/>
      <c r="AX72" s="123"/>
      <c r="AY72" s="123"/>
      <c r="AZ72" s="7"/>
    </row>
    <row r="73" spans="1:52">
      <c r="A73" s="19">
        <f t="shared" si="65"/>
        <v>2.8179463784727501</v>
      </c>
      <c r="B73" s="26">
        <f t="shared" si="66"/>
        <v>-0.94808211421303878</v>
      </c>
      <c r="C73" s="26">
        <f t="shared" si="67"/>
        <v>0.22901137341365063</v>
      </c>
      <c r="D73" s="26">
        <f t="shared" si="68"/>
        <v>8.4439063217529604</v>
      </c>
      <c r="E73" s="26">
        <f t="shared" si="69"/>
        <v>0.31802563530214734</v>
      </c>
      <c r="F73" s="77">
        <f t="shared" si="70"/>
        <v>0.97438564925441296</v>
      </c>
      <c r="G73" s="77">
        <f t="shared" si="71"/>
        <v>8.663424762309764E-2</v>
      </c>
      <c r="H73" s="81">
        <f t="shared" si="72"/>
        <v>1.5613585395936456</v>
      </c>
      <c r="I73" s="81">
        <f t="shared" si="73"/>
        <v>-0.66000334397620364</v>
      </c>
      <c r="J73" s="80">
        <f t="shared" si="74"/>
        <v>-1.0275699259669866</v>
      </c>
      <c r="K73" s="80">
        <f t="shared" si="75"/>
        <v>3.0633400574357363</v>
      </c>
      <c r="L73" s="91">
        <f t="shared" si="76"/>
        <v>3.2310914967301958</v>
      </c>
      <c r="M73" s="93"/>
      <c r="N73" s="75">
        <f t="shared" si="77"/>
        <v>-4.1078251911130792E-15</v>
      </c>
      <c r="O73" s="75">
        <f t="shared" si="63"/>
        <v>-0.16442199449784367</v>
      </c>
      <c r="P73" s="75">
        <f t="shared" si="64"/>
        <v>2.8179463784727501</v>
      </c>
      <c r="Q73" s="18"/>
      <c r="T73" s="133">
        <f t="shared" si="78"/>
        <v>1.1666275540141029</v>
      </c>
      <c r="U73" s="133">
        <f t="shared" si="78"/>
        <v>0.34974381234853963</v>
      </c>
      <c r="AF73" s="7"/>
      <c r="AG73" s="7"/>
      <c r="AH73" s="7"/>
      <c r="AI73" s="7"/>
      <c r="AJ73" s="7"/>
      <c r="AK73" s="7"/>
      <c r="AL73" s="7"/>
      <c r="AM73" s="7"/>
      <c r="AN73" s="7"/>
      <c r="AR73" s="28"/>
      <c r="AS73" s="7"/>
      <c r="AT73" s="123"/>
      <c r="AU73" s="123"/>
      <c r="AV73" s="123"/>
      <c r="AW73" s="123"/>
      <c r="AX73" s="123"/>
      <c r="AY73" s="123"/>
      <c r="AZ73" s="7"/>
    </row>
    <row r="74" spans="1:52">
      <c r="A74" s="88" t="s">
        <v>60</v>
      </c>
      <c r="B74" s="8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18"/>
      <c r="T74" s="133">
        <f t="shared" si="78"/>
        <v>1.1574133532323936</v>
      </c>
      <c r="U74" s="133">
        <f t="shared" si="78"/>
        <v>0.3679414636785413</v>
      </c>
      <c r="AF74" s="7"/>
      <c r="AG74" s="7"/>
      <c r="AH74" s="7"/>
      <c r="AI74" s="7"/>
      <c r="AJ74" s="7"/>
      <c r="AK74" s="7"/>
      <c r="AL74" s="7"/>
      <c r="AM74" s="7"/>
      <c r="AN74" s="7"/>
      <c r="AR74" s="28"/>
      <c r="AS74" s="7"/>
      <c r="AT74" s="123"/>
      <c r="AU74" s="123"/>
      <c r="AV74" s="123"/>
      <c r="AW74" s="123"/>
      <c r="AX74" s="123"/>
      <c r="AY74" s="123"/>
      <c r="AZ74" s="7"/>
    </row>
    <row r="75" spans="1:52">
      <c r="A75" s="26" t="s">
        <v>11</v>
      </c>
      <c r="B75" s="26" t="s">
        <v>13</v>
      </c>
      <c r="C75" s="26" t="s">
        <v>22</v>
      </c>
      <c r="D75" s="26" t="s">
        <v>18</v>
      </c>
      <c r="E75" s="26" t="s">
        <v>19</v>
      </c>
      <c r="F75" s="26" t="s">
        <v>20</v>
      </c>
      <c r="G75" s="26" t="s">
        <v>2</v>
      </c>
      <c r="H75" s="26" t="s">
        <v>1</v>
      </c>
      <c r="I75" s="26" t="s">
        <v>0</v>
      </c>
      <c r="J75" s="76" t="s">
        <v>3</v>
      </c>
      <c r="K75" s="76" t="s">
        <v>4</v>
      </c>
      <c r="L75" s="44" t="s">
        <v>7</v>
      </c>
      <c r="M75" s="28"/>
      <c r="N75" s="28"/>
      <c r="O75" s="28"/>
      <c r="P75" s="31"/>
      <c r="Q75" s="18"/>
      <c r="T75" s="101">
        <f t="shared" ref="T75:U80" si="79">H346</f>
        <v>1.1572000671146074</v>
      </c>
      <c r="U75" s="101">
        <f t="shared" si="79"/>
        <v>0.36836040959449995</v>
      </c>
      <c r="AF75" s="7"/>
      <c r="AG75" s="7"/>
      <c r="AH75" s="7"/>
      <c r="AI75" s="7"/>
      <c r="AJ75" s="7"/>
      <c r="AK75" s="7"/>
      <c r="AL75" s="7"/>
      <c r="AM75" s="7"/>
      <c r="AN75" s="7"/>
      <c r="AR75" s="28"/>
      <c r="AS75" s="7"/>
      <c r="AT75" s="123"/>
      <c r="AU75" s="123"/>
      <c r="AV75" s="123"/>
      <c r="AW75" s="123"/>
      <c r="AX75" s="123"/>
      <c r="AY75" s="123"/>
      <c r="AZ75" s="7"/>
    </row>
    <row r="76" spans="1:52">
      <c r="A76" s="19">
        <f>$E60</f>
        <v>2.8227961572752402</v>
      </c>
      <c r="B76" s="26">
        <f t="shared" ref="B76:B81" si="80">COS(A76)</f>
        <v>-0.94961331255983861</v>
      </c>
      <c r="C76" s="26">
        <f t="shared" ref="C76:C81" si="81">($C$60+B76)</f>
        <v>0.22748017506685081</v>
      </c>
      <c r="D76" s="26">
        <f t="shared" ref="D76:D81" si="82">POWER(TAN(A76/2),$C$60)</f>
        <v>8.597972282099402</v>
      </c>
      <c r="E76" s="26">
        <f t="shared" ref="E76:E81" si="83">SIN(A76)</f>
        <v>0.31342392475548242</v>
      </c>
      <c r="F76" s="77">
        <f t="shared" ref="F76:F81" si="84">(C76*$H$60*D76/E76/$I$60/$J$60)</f>
        <v>1</v>
      </c>
      <c r="G76" s="77">
        <f t="shared" ref="G76:G81" si="85">$D$60*($C$60+$G$60)/9.81/SIN($C$57)/(1-$C$60*$C$60)*(F76-1)</f>
        <v>0</v>
      </c>
      <c r="H76" s="130">
        <f t="shared" ref="H76:H81" si="86">-(-$H$57+$K$60*((POWER(TAN(A76/2),2*$C$60-1)/(2*$C$60-1))+(POWER(TAN(A76/2),2*$C$60+1)/(2*$C$60+1))-(POWER(TAN($E$60/2),2*$C$60-1)/(2*$C$60-1))-(POWER(TAN($E$60/2),2*$C$60+1)/(2*$C$60+1))))</f>
        <v>1.6511954061839587</v>
      </c>
      <c r="I76" s="130">
        <f t="shared" ref="I76:I81" si="87">-(-$I$57+0.5*$K$60*((POWER(TAN(A76/2),2*$C$60-2)/(2*$C$60-2))-(POWER(TAN(A76/2),2*$C$60+2)/(2*$C$60+2))-(POWER(TAN($E$60/2),2*$C$60-2)/(2*$C$60-2))+(POWER(TAN($E$60/2),2*$C$60+2)/(2*$C$60+2))))</f>
        <v>-0.93001918678854367</v>
      </c>
      <c r="J76" s="77">
        <f t="shared" ref="J76:J81" si="88">-$D$60*SIN(A76)*($C$60+$G$60)/($C$60+B76)*F76</f>
        <v>-1.0463187776755118</v>
      </c>
      <c r="K76" s="77">
        <f t="shared" ref="K76:K81" si="89">-$D$60*COS(A76)*($C$60+$G$60)/($C$60+B76)*F76</f>
        <v>3.1701416579387152</v>
      </c>
      <c r="L76" s="91">
        <f t="shared" ref="L76:L81" si="90">SQRT(J76*J76+K76*K76)</f>
        <v>3.33835005892354</v>
      </c>
      <c r="M76" s="28"/>
      <c r="N76" s="28"/>
      <c r="O76" s="28"/>
      <c r="P76" s="31"/>
      <c r="Q76" s="18"/>
      <c r="T76" s="101">
        <f t="shared" si="79"/>
        <v>1.1437249713167472</v>
      </c>
      <c r="U76" s="101">
        <f t="shared" si="79"/>
        <v>0.39467492552460354</v>
      </c>
      <c r="AF76" s="7"/>
      <c r="AG76" s="7"/>
      <c r="AH76" s="7"/>
      <c r="AI76" s="7"/>
      <c r="AJ76" s="7"/>
      <c r="AK76" s="7"/>
      <c r="AL76" s="7"/>
      <c r="AM76" s="7"/>
      <c r="AN76" s="7"/>
      <c r="AR76" s="28"/>
      <c r="AS76" s="7"/>
      <c r="AT76" s="123"/>
      <c r="AU76" s="123"/>
      <c r="AV76" s="123"/>
      <c r="AW76" s="123"/>
      <c r="AX76" s="123"/>
      <c r="AY76" s="123"/>
      <c r="AZ76" s="7"/>
    </row>
    <row r="77" spans="1:52">
      <c r="A77" s="20">
        <f>A76-$F$60</f>
        <v>2.8218462015147421</v>
      </c>
      <c r="B77" s="26">
        <f t="shared" si="80"/>
        <v>-0.94931514526875382</v>
      </c>
      <c r="C77" s="26">
        <f t="shared" si="81"/>
        <v>0.22777834235793559</v>
      </c>
      <c r="D77" s="26">
        <f t="shared" si="82"/>
        <v>8.5673962803107973</v>
      </c>
      <c r="E77" s="26">
        <f t="shared" si="83"/>
        <v>0.31432587383695426</v>
      </c>
      <c r="F77" s="77">
        <f t="shared" si="84"/>
        <v>0.99488687621243355</v>
      </c>
      <c r="G77" s="77">
        <f t="shared" si="85"/>
        <v>1.7293884851479212E-2</v>
      </c>
      <c r="H77" s="130">
        <f t="shared" si="86"/>
        <v>1.6331326487736184</v>
      </c>
      <c r="I77" s="130">
        <f t="shared" si="87"/>
        <v>-0.87537953956733838</v>
      </c>
      <c r="J77" s="77">
        <f t="shared" si="88"/>
        <v>-1.0425978718888924</v>
      </c>
      <c r="K77" s="77">
        <f t="shared" si="89"/>
        <v>3.1488147575229464</v>
      </c>
      <c r="L77" s="91">
        <f t="shared" si="90"/>
        <v>3.3169330261043166</v>
      </c>
      <c r="M77" s="28"/>
      <c r="N77" s="28"/>
      <c r="O77" s="28"/>
      <c r="P77" s="31"/>
      <c r="Q77" s="18"/>
      <c r="T77" s="101">
        <f t="shared" si="79"/>
        <v>1.1306192767309975</v>
      </c>
      <c r="U77" s="101">
        <f t="shared" si="79"/>
        <v>0.41997729649725679</v>
      </c>
      <c r="AF77" s="7"/>
      <c r="AG77" s="7"/>
      <c r="AH77" s="7"/>
      <c r="AI77" s="7"/>
      <c r="AJ77" s="7"/>
      <c r="AK77" s="7"/>
      <c r="AL77" s="7"/>
      <c r="AM77" s="7"/>
      <c r="AN77" s="7"/>
      <c r="AR77" s="28"/>
      <c r="AS77" s="7"/>
      <c r="AT77" s="123"/>
      <c r="AU77" s="123"/>
      <c r="AV77" s="123"/>
      <c r="AW77" s="123"/>
      <c r="AX77" s="123"/>
      <c r="AY77" s="123"/>
      <c r="AZ77" s="7"/>
    </row>
    <row r="78" spans="1:52">
      <c r="A78" s="20">
        <f>A77-$F$60</f>
        <v>2.8208962457542439</v>
      </c>
      <c r="B78" s="26">
        <f t="shared" si="80"/>
        <v>-0.94901612130060764</v>
      </c>
      <c r="C78" s="26">
        <f t="shared" si="81"/>
        <v>0.22807736632608178</v>
      </c>
      <c r="D78" s="26">
        <f t="shared" si="82"/>
        <v>8.537016143719681</v>
      </c>
      <c r="E78" s="26">
        <f t="shared" si="83"/>
        <v>0.31522753926576641</v>
      </c>
      <c r="F78" s="77">
        <f t="shared" si="84"/>
        <v>0.98982106119293534</v>
      </c>
      <c r="G78" s="77">
        <f t="shared" si="85"/>
        <v>3.442775941933747E-2</v>
      </c>
      <c r="H78" s="130">
        <f t="shared" si="86"/>
        <v>1.6153005650599723</v>
      </c>
      <c r="I78" s="130">
        <f t="shared" si="87"/>
        <v>-0.8216091331882649</v>
      </c>
      <c r="J78" s="77">
        <f t="shared" si="88"/>
        <v>-1.0389008016564363</v>
      </c>
      <c r="K78" s="77">
        <f t="shared" si="89"/>
        <v>3.1276886895749563</v>
      </c>
      <c r="L78" s="91">
        <f t="shared" si="90"/>
        <v>3.2957171320635958</v>
      </c>
      <c r="M78" s="45"/>
      <c r="N78" s="28"/>
      <c r="O78" s="28"/>
      <c r="P78" s="31"/>
      <c r="Q78" s="18"/>
      <c r="T78" s="101">
        <f t="shared" si="79"/>
        <v>1.1178691399167484</v>
      </c>
      <c r="U78" s="101">
        <f t="shared" si="79"/>
        <v>0.44431536866138777</v>
      </c>
      <c r="AF78" s="7"/>
      <c r="AG78" s="7"/>
      <c r="AH78" s="7"/>
      <c r="AI78" s="7"/>
      <c r="AJ78" s="7"/>
      <c r="AK78" s="7"/>
      <c r="AL78" s="7"/>
      <c r="AM78" s="7"/>
      <c r="AN78" s="7"/>
      <c r="AR78" s="28"/>
      <c r="AS78" s="7"/>
      <c r="AT78" s="123"/>
      <c r="AU78" s="123"/>
      <c r="AV78" s="123"/>
      <c r="AW78" s="123"/>
      <c r="AX78" s="123"/>
      <c r="AY78" s="123"/>
      <c r="AZ78" s="7"/>
    </row>
    <row r="79" spans="1:52">
      <c r="A79" s="20">
        <f>A78-$F$60</f>
        <v>2.8199462899937457</v>
      </c>
      <c r="B79" s="26">
        <f t="shared" si="80"/>
        <v>-0.9487162409252442</v>
      </c>
      <c r="C79" s="26">
        <f t="shared" si="81"/>
        <v>0.22837724670144521</v>
      </c>
      <c r="D79" s="26">
        <f t="shared" si="82"/>
        <v>8.506830035563242</v>
      </c>
      <c r="E79" s="26">
        <f t="shared" si="83"/>
        <v>0.31612892022824157</v>
      </c>
      <c r="F79" s="77">
        <f t="shared" si="84"/>
        <v>0.9848019747263228</v>
      </c>
      <c r="G79" s="77">
        <f t="shared" si="85"/>
        <v>5.1403586138863512E-2</v>
      </c>
      <c r="H79" s="130">
        <f t="shared" si="86"/>
        <v>1.5976955302287648</v>
      </c>
      <c r="I79" s="130">
        <f t="shared" si="87"/>
        <v>-0.76869166948982959</v>
      </c>
      <c r="J79" s="77">
        <f t="shared" si="88"/>
        <v>-1.0352273434557417</v>
      </c>
      <c r="K79" s="77">
        <f t="shared" si="89"/>
        <v>3.1067609792779027</v>
      </c>
      <c r="L79" s="91">
        <f t="shared" si="90"/>
        <v>3.2746998999911772</v>
      </c>
      <c r="M79" s="45"/>
      <c r="N79" s="28"/>
      <c r="O79" s="28"/>
      <c r="P79" s="31"/>
      <c r="Q79" s="18"/>
      <c r="T79" s="101">
        <f t="shared" si="79"/>
        <v>1.1054613641504243</v>
      </c>
      <c r="U79" s="101">
        <f t="shared" si="79"/>
        <v>0.46773430019744522</v>
      </c>
      <c r="AF79" s="7"/>
      <c r="AG79" s="7"/>
      <c r="AH79" s="7"/>
      <c r="AI79" s="7"/>
      <c r="AJ79" s="7"/>
      <c r="AK79" s="7"/>
      <c r="AL79" s="7"/>
      <c r="AM79" s="7"/>
      <c r="AN79" s="7"/>
      <c r="AR79" s="28"/>
      <c r="AS79" s="7"/>
      <c r="AT79" s="123"/>
      <c r="AU79" s="123"/>
      <c r="AV79" s="123"/>
      <c r="AW79" s="123"/>
      <c r="AX79" s="123"/>
      <c r="AY79" s="123"/>
      <c r="AZ79" s="7"/>
    </row>
    <row r="80" spans="1:52">
      <c r="A80" s="20">
        <f>A79-$F$60</f>
        <v>2.8189963342332476</v>
      </c>
      <c r="B80" s="26">
        <f t="shared" si="80"/>
        <v>-0.94841550441328026</v>
      </c>
      <c r="C80" s="26">
        <f t="shared" si="81"/>
        <v>0.22867798321340915</v>
      </c>
      <c r="D80" s="26">
        <f t="shared" si="82"/>
        <v>8.476836141663231</v>
      </c>
      <c r="E80" s="26">
        <f t="shared" si="83"/>
        <v>0.31703001591095931</v>
      </c>
      <c r="F80" s="77">
        <f t="shared" si="84"/>
        <v>0.97982904541176341</v>
      </c>
      <c r="G80" s="77">
        <f t="shared" si="85"/>
        <v>6.8223297632972899E-2</v>
      </c>
      <c r="H80" s="130">
        <f t="shared" si="86"/>
        <v>1.5803139869553087</v>
      </c>
      <c r="I80" s="130">
        <f t="shared" si="87"/>
        <v>-0.71661120235878117</v>
      </c>
      <c r="J80" s="77">
        <f t="shared" si="88"/>
        <v>-1.0315772765128035</v>
      </c>
      <c r="K80" s="77">
        <f t="shared" si="89"/>
        <v>3.0860291894883249</v>
      </c>
      <c r="L80" s="91">
        <f t="shared" si="90"/>
        <v>3.2538788907689145</v>
      </c>
      <c r="M80" s="45"/>
      <c r="N80" s="28"/>
      <c r="O80" s="28"/>
      <c r="P80" s="89"/>
      <c r="Q80" s="18"/>
      <c r="T80" s="101">
        <f t="shared" si="79"/>
        <v>1.0933833633925054</v>
      </c>
      <c r="U80" s="101">
        <f t="shared" si="79"/>
        <v>0.49027673588483689</v>
      </c>
      <c r="AF80" s="7"/>
      <c r="AG80" s="7"/>
      <c r="AH80" s="7"/>
      <c r="AI80" s="7"/>
      <c r="AJ80" s="7"/>
      <c r="AK80" s="7"/>
      <c r="AL80" s="7"/>
      <c r="AM80" s="7"/>
      <c r="AN80" s="7"/>
      <c r="AR80" s="28"/>
      <c r="AS80" s="7"/>
      <c r="AT80" s="123"/>
      <c r="AU80" s="123"/>
      <c r="AV80" s="123"/>
      <c r="AW80" s="123"/>
      <c r="AX80" s="123"/>
      <c r="AY80" s="123"/>
      <c r="AZ80" s="7"/>
    </row>
    <row r="81" spans="1:52">
      <c r="A81" s="20">
        <f>A80-$F$60</f>
        <v>2.8180463784727494</v>
      </c>
      <c r="B81" s="26">
        <f t="shared" si="80"/>
        <v>-0.94811391203610529</v>
      </c>
      <c r="C81" s="26">
        <f t="shared" si="81"/>
        <v>0.22897957559058413</v>
      </c>
      <c r="D81" s="26">
        <f t="shared" si="82"/>
        <v>8.4470326700827876</v>
      </c>
      <c r="E81" s="26">
        <f t="shared" si="83"/>
        <v>0.31793082550075652</v>
      </c>
      <c r="F81" s="77">
        <f t="shared" si="84"/>
        <v>0.97490171050333885</v>
      </c>
      <c r="G81" s="77">
        <f t="shared" si="85"/>
        <v>8.4888797251460424E-2</v>
      </c>
      <c r="H81" s="130">
        <f t="shared" si="86"/>
        <v>1.563152443953534</v>
      </c>
      <c r="I81" s="130">
        <f t="shared" si="87"/>
        <v>-0.66535212912435227</v>
      </c>
      <c r="J81" s="77">
        <f t="shared" si="88"/>
        <v>-1.0279503827602543</v>
      </c>
      <c r="K81" s="77">
        <f t="shared" si="89"/>
        <v>3.0654909200539842</v>
      </c>
      <c r="L81" s="91">
        <f t="shared" si="90"/>
        <v>3.2332517022883285</v>
      </c>
      <c r="M81" s="45"/>
      <c r="N81" s="28"/>
      <c r="O81" s="28"/>
      <c r="P81" s="28"/>
      <c r="Q81" s="18"/>
      <c r="T81" s="131">
        <f t="shared" ref="T81:U86" si="91">H373</f>
        <v>1.0931272011400253</v>
      </c>
      <c r="U81" s="131">
        <f t="shared" si="91"/>
        <v>0.49075210650337298</v>
      </c>
      <c r="AF81" s="7"/>
      <c r="AG81" s="7"/>
      <c r="AH81" s="7"/>
      <c r="AI81" s="7"/>
      <c r="AJ81" s="7"/>
      <c r="AK81" s="7"/>
      <c r="AL81" s="7"/>
      <c r="AM81" s="7"/>
      <c r="AN81" s="7"/>
      <c r="AR81" s="28"/>
      <c r="AS81" s="7"/>
      <c r="AT81" s="123"/>
      <c r="AU81" s="123"/>
      <c r="AV81" s="123"/>
      <c r="AW81" s="123"/>
      <c r="AX81" s="123"/>
      <c r="AY81" s="123"/>
      <c r="AZ81" s="7"/>
    </row>
    <row r="82" spans="1:5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T82" s="131">
        <f t="shared" si="91"/>
        <v>1.0730163270764455</v>
      </c>
      <c r="U82" s="131">
        <f t="shared" si="91"/>
        <v>0.52782927040628858</v>
      </c>
      <c r="AF82" s="7"/>
      <c r="AG82" s="7"/>
      <c r="AH82" s="7"/>
      <c r="AI82" s="7"/>
      <c r="AJ82" s="7"/>
      <c r="AK82" s="7"/>
      <c r="AL82" s="7"/>
      <c r="AM82" s="7"/>
      <c r="AN82" s="7"/>
      <c r="AR82" s="28"/>
      <c r="AS82" s="7"/>
      <c r="AT82" s="123"/>
      <c r="AU82" s="123"/>
      <c r="AV82" s="123"/>
      <c r="AW82" s="123"/>
      <c r="AX82" s="123"/>
      <c r="AY82" s="123"/>
      <c r="AZ82" s="7"/>
    </row>
    <row r="83" spans="1:52">
      <c r="A83" s="88" t="s">
        <v>73</v>
      </c>
      <c r="B83" s="88"/>
      <c r="C83" s="23" t="str">
        <f>CONCATENATE("m",Stufengrün!AH43)</f>
        <v>m-5</v>
      </c>
      <c r="D83" s="23" t="s">
        <v>30</v>
      </c>
      <c r="E83" s="28"/>
      <c r="F83" s="28"/>
      <c r="G83" s="28"/>
      <c r="H83" s="36" t="s">
        <v>57</v>
      </c>
      <c r="I83" s="36" t="s">
        <v>51</v>
      </c>
      <c r="J83" s="36" t="s">
        <v>58</v>
      </c>
      <c r="K83" s="36" t="s">
        <v>59</v>
      </c>
      <c r="L83" s="28"/>
      <c r="M83" s="28"/>
      <c r="N83" s="28"/>
      <c r="O83" s="28"/>
      <c r="P83" s="28"/>
      <c r="T83" s="131">
        <f t="shared" si="91"/>
        <v>1.0536151866718706</v>
      </c>
      <c r="U83" s="131">
        <f t="shared" si="91"/>
        <v>0.56314022934166852</v>
      </c>
      <c r="AF83" s="7"/>
      <c r="AG83" s="7"/>
      <c r="AH83" s="7"/>
      <c r="AI83" s="7"/>
      <c r="AJ83" s="7"/>
      <c r="AK83" s="7"/>
      <c r="AL83" s="7"/>
      <c r="AM83" s="7"/>
      <c r="AN83" s="7"/>
      <c r="AR83" s="28"/>
      <c r="AS83" s="7"/>
      <c r="AT83" s="123"/>
      <c r="AU83" s="123"/>
      <c r="AV83" s="123"/>
      <c r="AW83" s="123"/>
      <c r="AX83" s="123"/>
      <c r="AY83" s="123"/>
      <c r="AZ83" s="7"/>
    </row>
    <row r="84" spans="1:52">
      <c r="A84" s="88" t="s">
        <v>69</v>
      </c>
      <c r="B84" s="88"/>
      <c r="C84" s="36">
        <f>Stufengrün!AI43</f>
        <v>9.8066350509976558E-2</v>
      </c>
      <c r="D84" s="26">
        <f>Stufengrün!AK43</f>
        <v>-0.49075210650337253</v>
      </c>
      <c r="E84" s="28"/>
      <c r="F84" s="28"/>
      <c r="G84" s="28"/>
      <c r="H84" s="78">
        <f>H73</f>
        <v>1.5613585395936456</v>
      </c>
      <c r="I84" s="78">
        <f>I73</f>
        <v>-0.66000334397620364</v>
      </c>
      <c r="J84" s="78">
        <f>J73</f>
        <v>-1.0275699259669866</v>
      </c>
      <c r="K84" s="78">
        <f>K73</f>
        <v>3.0633400574357363</v>
      </c>
      <c r="L84" s="28"/>
      <c r="M84" s="28"/>
      <c r="N84" s="28"/>
      <c r="O84" s="28"/>
      <c r="P84" s="28"/>
      <c r="T84" s="131">
        <f t="shared" si="91"/>
        <v>1.0348910412761883</v>
      </c>
      <c r="U84" s="131">
        <f t="shared" si="91"/>
        <v>0.59678591013124405</v>
      </c>
      <c r="AF84" s="7"/>
      <c r="AG84" s="7"/>
      <c r="AH84" s="7"/>
      <c r="AI84" s="7"/>
      <c r="AJ84" s="7"/>
      <c r="AK84" s="7"/>
      <c r="AL84" s="7"/>
      <c r="AM84" s="7"/>
      <c r="AN84" s="7"/>
      <c r="AR84" s="28"/>
      <c r="AS84" s="7"/>
      <c r="AT84" s="123"/>
      <c r="AU84" s="123"/>
      <c r="AV84" s="123"/>
      <c r="AW84" s="123"/>
      <c r="AX84" s="123"/>
      <c r="AY84" s="123"/>
      <c r="AZ84" s="7"/>
    </row>
    <row r="85" spans="1:52">
      <c r="A85" s="95"/>
      <c r="B85" s="95"/>
      <c r="C85" s="28"/>
      <c r="D85" s="28"/>
      <c r="E85" s="28"/>
      <c r="F85" s="28"/>
      <c r="G85" s="28"/>
      <c r="H85" s="37" t="s">
        <v>8</v>
      </c>
      <c r="I85" s="37" t="s">
        <v>8</v>
      </c>
      <c r="J85" s="37" t="s">
        <v>9</v>
      </c>
      <c r="K85" s="37" t="s">
        <v>9</v>
      </c>
      <c r="L85" s="28"/>
      <c r="M85" s="28"/>
      <c r="N85" s="28"/>
      <c r="O85" s="28"/>
      <c r="P85" s="28"/>
      <c r="T85" s="131">
        <f t="shared" si="91"/>
        <v>1.0168129938268857</v>
      </c>
      <c r="U85" s="131">
        <f t="shared" si="91"/>
        <v>0.62886049935123089</v>
      </c>
      <c r="AF85" s="7"/>
      <c r="AG85" s="7"/>
      <c r="AH85" s="7"/>
      <c r="AI85" s="7"/>
      <c r="AJ85" s="7"/>
      <c r="AK85" s="7"/>
      <c r="AL85" s="7"/>
      <c r="AM85" s="7"/>
      <c r="AN85" s="7"/>
      <c r="AR85" s="28"/>
      <c r="AS85" s="7"/>
      <c r="AT85" s="123"/>
      <c r="AU85" s="123"/>
      <c r="AV85" s="123"/>
      <c r="AW85" s="123"/>
      <c r="AX85" s="123"/>
      <c r="AY85" s="123"/>
      <c r="AZ85" s="7"/>
    </row>
    <row r="86" spans="1:52">
      <c r="A86" s="88" t="s">
        <v>68</v>
      </c>
      <c r="B86" s="88"/>
      <c r="C86" s="115" t="s">
        <v>15</v>
      </c>
      <c r="D86" s="115" t="s">
        <v>55</v>
      </c>
      <c r="E86" s="115" t="s">
        <v>12</v>
      </c>
      <c r="F86" s="115" t="s">
        <v>10</v>
      </c>
      <c r="G86" s="115" t="s">
        <v>14</v>
      </c>
      <c r="H86" s="115" t="s">
        <v>21</v>
      </c>
      <c r="I86" s="115" t="s">
        <v>16</v>
      </c>
      <c r="J86" s="115" t="s">
        <v>17</v>
      </c>
      <c r="K86" s="115" t="s">
        <v>23</v>
      </c>
      <c r="L86" s="28"/>
      <c r="M86" s="28"/>
      <c r="N86" s="28"/>
      <c r="O86" s="28"/>
      <c r="P86" s="28"/>
      <c r="T86" s="131">
        <f t="shared" si="91"/>
        <v>0.99935186717326674</v>
      </c>
      <c r="U86" s="131">
        <f t="shared" si="91"/>
        <v>0.65945195751763519</v>
      </c>
      <c r="AF86" s="7"/>
      <c r="AG86" s="7"/>
      <c r="AH86" s="7"/>
      <c r="AI86" s="7"/>
      <c r="AJ86" s="7"/>
      <c r="AK86" s="7"/>
      <c r="AL86" s="7"/>
      <c r="AM86" s="7"/>
      <c r="AN86" s="7"/>
      <c r="AR86" s="28"/>
      <c r="AS86" s="7"/>
      <c r="AT86" s="123"/>
      <c r="AU86" s="123"/>
      <c r="AV86" s="123"/>
      <c r="AW86" s="123"/>
      <c r="AX86" s="123"/>
      <c r="AY86" s="123"/>
      <c r="AZ86" s="7"/>
    </row>
    <row r="87" spans="1:52">
      <c r="A87" s="28"/>
      <c r="B87" s="28"/>
      <c r="C87" s="23">
        <f>Mü/TAN($C84)</f>
        <v>0.71151275394402314</v>
      </c>
      <c r="D87" s="42">
        <f>SQRT($J84*$J84+$K84*$K84)</f>
        <v>3.2310914967301958</v>
      </c>
      <c r="E87" s="20">
        <f>ATAN($J84/$K84)+PI()</f>
        <v>2.8179463784727501</v>
      </c>
      <c r="F87" s="23">
        <f>($E87-A100-0.0001)/5</f>
        <v>1.0638514474730942E-3</v>
      </c>
      <c r="G87" s="23">
        <f>COS($E87)</f>
        <v>-0.94808211421303878</v>
      </c>
      <c r="H87" s="23">
        <f>SIN($E87)</f>
        <v>0.31802563530214734</v>
      </c>
      <c r="I87" s="23">
        <f>$C87+$G87</f>
        <v>-0.23656936026901565</v>
      </c>
      <c r="J87" s="23">
        <f>POWER(TAN($E87/2),$C87)</f>
        <v>3.6313139606571032</v>
      </c>
      <c r="K87" s="23">
        <f>-$D87*$D87*SIN($E87)*SIN($E87)/(2*9.81*SIN($C84)*POWER(TAN($E87/2),2*$C87))</f>
        <v>-4.1684296930177701E-2</v>
      </c>
      <c r="L87" s="28"/>
      <c r="M87" s="28"/>
      <c r="N87" s="28"/>
      <c r="O87" s="28"/>
      <c r="P87" s="28"/>
      <c r="T87" s="129">
        <f t="shared" ref="T87:U92" si="92">H400</f>
        <v>0.99903511036118886</v>
      </c>
      <c r="U87" s="129">
        <f t="shared" si="92"/>
        <v>0.66000334397619898</v>
      </c>
      <c r="AF87" s="7"/>
      <c r="AG87" s="7"/>
      <c r="AH87" s="7"/>
      <c r="AI87" s="7"/>
      <c r="AJ87" s="7"/>
      <c r="AK87" s="7"/>
      <c r="AL87" s="7"/>
      <c r="AM87" s="7"/>
      <c r="AN87" s="7"/>
      <c r="AR87" s="28"/>
      <c r="AS87" s="7"/>
      <c r="AT87" s="123"/>
      <c r="AU87" s="123"/>
      <c r="AV87" s="123"/>
      <c r="AW87" s="123"/>
      <c r="AX87" s="123"/>
      <c r="AY87" s="123"/>
      <c r="AZ87" s="7"/>
    </row>
    <row r="88" spans="1:52">
      <c r="A88" s="88" t="s">
        <v>70</v>
      </c>
      <c r="B88" s="8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45"/>
      <c r="N88" s="28"/>
      <c r="O88" s="28"/>
      <c r="P88" s="28"/>
      <c r="T88" s="129">
        <f t="shared" si="92"/>
        <v>0.96314097568813706</v>
      </c>
      <c r="U88" s="129">
        <f t="shared" si="92"/>
        <v>0.72197542319156682</v>
      </c>
      <c r="AF88" s="7"/>
      <c r="AG88" s="7"/>
      <c r="AH88" s="7"/>
      <c r="AI88" s="7"/>
      <c r="AJ88" s="7"/>
      <c r="AK88" s="7"/>
      <c r="AL88" s="7"/>
      <c r="AM88" s="7"/>
      <c r="AN88" s="7"/>
      <c r="AR88" s="28"/>
      <c r="AS88" s="7"/>
      <c r="AT88" s="123"/>
      <c r="AU88" s="123"/>
      <c r="AV88" s="123"/>
      <c r="AW88" s="123"/>
      <c r="AX88" s="123"/>
      <c r="AY88" s="123"/>
      <c r="AZ88" s="7"/>
    </row>
    <row r="89" spans="1:52">
      <c r="A89" s="115" t="s">
        <v>11</v>
      </c>
      <c r="B89" s="115" t="s">
        <v>13</v>
      </c>
      <c r="C89" s="26" t="s">
        <v>22</v>
      </c>
      <c r="D89" s="26" t="s">
        <v>18</v>
      </c>
      <c r="E89" s="115" t="s">
        <v>19</v>
      </c>
      <c r="F89" s="26" t="s">
        <v>20</v>
      </c>
      <c r="G89" s="26" t="s">
        <v>2</v>
      </c>
      <c r="H89" s="26" t="s">
        <v>65</v>
      </c>
      <c r="I89" s="26" t="s">
        <v>66</v>
      </c>
      <c r="J89" s="76" t="s">
        <v>3</v>
      </c>
      <c r="K89" s="76" t="s">
        <v>4</v>
      </c>
      <c r="L89" s="116" t="s">
        <v>7</v>
      </c>
      <c r="M89" s="93"/>
      <c r="N89" s="26" t="s">
        <v>61</v>
      </c>
      <c r="O89" s="26" t="s">
        <v>62</v>
      </c>
      <c r="P89" s="115" t="s">
        <v>63</v>
      </c>
      <c r="T89" s="129">
        <f t="shared" si="92"/>
        <v>0.92924404785780146</v>
      </c>
      <c r="U89" s="129">
        <f t="shared" si="92"/>
        <v>0.77955623924614925</v>
      </c>
      <c r="AF89" s="7"/>
      <c r="AG89" s="7"/>
      <c r="AH89" s="7"/>
      <c r="AI89" s="7"/>
      <c r="AJ89" s="7"/>
      <c r="AK89" s="7"/>
      <c r="AL89" s="7"/>
      <c r="AM89" s="7"/>
      <c r="AN89" s="7"/>
      <c r="AR89" s="28"/>
      <c r="AS89" s="7"/>
      <c r="AT89" s="123"/>
      <c r="AU89" s="123"/>
      <c r="AV89" s="123"/>
      <c r="AW89" s="123"/>
      <c r="AX89" s="123"/>
      <c r="AY89" s="123"/>
      <c r="AZ89" s="7"/>
    </row>
    <row r="90" spans="1:52">
      <c r="A90" s="19">
        <f>$E87</f>
        <v>2.8179463784727501</v>
      </c>
      <c r="B90" s="26">
        <f>COS(A90)</f>
        <v>-0.94808211421303878</v>
      </c>
      <c r="C90" s="26">
        <f>($C$87+B90)</f>
        <v>-0.23656936026901565</v>
      </c>
      <c r="D90" s="26">
        <f>POWER(TAN(A90/2),$C$87)</f>
        <v>3.6313139606571032</v>
      </c>
      <c r="E90" s="26">
        <f>SIN(A90)</f>
        <v>0.31802563530214734</v>
      </c>
      <c r="F90" s="77">
        <f>(C90*$H$87*D90/E90/$I$87/$J$87)</f>
        <v>1</v>
      </c>
      <c r="G90" s="77">
        <f>$D$87*($C$87+$G$87)/9.81/SIN($C$84)/(1-$C$87*$C$84)*(F90-1)</f>
        <v>0</v>
      </c>
      <c r="H90" s="75">
        <f>-(-$H$84+$K$87*((POWER(TAN(A90/2),2*$C$87-1)/(2*$C$87-1))+(POWER(TAN(A90/2),2*$C$87+1)/(2*$C$87+1))-(POWER(TAN($E$87/2),2*$C$87-1)/(2*$C$87-1))-(POWER(TAN($E$87/2),2*$C$87+1)/(2*$C$87+1))))</f>
        <v>1.5613585395936456</v>
      </c>
      <c r="I90" s="75">
        <f>-(-$I$84+0.5*$K$87*((POWER(TAN(A90/2),2*$C$87-2)/(2*$C$87-2))-(POWER(TAN(A90/2),2*$C$87+2)/(2*$C$87+2))-(POWER(TAN($E$87/2),2*$C$87-2)/(2*$C$87-2))+(POWER(TAN($E$87/2),2*$C$87+2)/(2*$C$87+2))))</f>
        <v>-0.66000334397620364</v>
      </c>
      <c r="J90" s="77">
        <f>-$D$87*SIN(A90)*($C$87+$G$87)/($C$87+B90)*F90</f>
        <v>-1.0275699259669866</v>
      </c>
      <c r="K90" s="77">
        <f>-$D$87*COS(A90)*($C$87+$G$87)/($C$87+B90)*F90</f>
        <v>3.0633400574357359</v>
      </c>
      <c r="L90" s="91">
        <f>SQRT(J90*J90+K90*K90)</f>
        <v>3.2310914967301958</v>
      </c>
      <c r="M90" s="93"/>
      <c r="N90" s="75">
        <f>-(-$I$84+0.5*$K$87*((POWER(TAN(A90/2),2*$C$87-2)/(2*$C$87-2))-(POWER(TAN(A90/2),2*$C$87+2)/(2*$C$87+2))-(POWER(TAN($E$87/2),2*$C$87-2)/(2*$C$87-2))+(POWER(TAN($E$87/2),2*$C$87+2)/(2*$C$87+2))))-$D$84</f>
        <v>-0.16925123747283111</v>
      </c>
      <c r="O90" s="75">
        <f>-(-$I$84+0.5*$K$87*((POWER(TAN((A90+$M$9)/2),2*$C$87-2)/(2*$C$87-2))-(POWER(TAN((A90+$M$9)/2),2*$C$87+2)/(2*$C$87+2))-(POWER(TAN($E$87/2),2*$C$87-2)/(2*$C$87-2))+(POWER(TAN($E$87/2),2*$C$87+2)/(2*$C$87+2))))-$D$84</f>
        <v>-0.26850088580219511</v>
      </c>
      <c r="P90" s="75">
        <f>A90-N90/(O90-N90)*$M$9</f>
        <v>2.8128304539232394</v>
      </c>
      <c r="R90" s="122"/>
      <c r="T90" s="129">
        <f t="shared" si="92"/>
        <v>0.89720811459873862</v>
      </c>
      <c r="U90" s="129">
        <f t="shared" si="92"/>
        <v>0.83310568164417032</v>
      </c>
      <c r="AF90" s="7"/>
      <c r="AG90" s="7"/>
      <c r="AH90" s="7"/>
      <c r="AI90" s="7"/>
      <c r="AJ90" s="7"/>
      <c r="AK90" s="7"/>
      <c r="AL90" s="7"/>
      <c r="AM90" s="7"/>
      <c r="AN90" s="7"/>
      <c r="AR90" s="28"/>
      <c r="AS90" s="7"/>
      <c r="AT90" s="123"/>
      <c r="AU90" s="123"/>
      <c r="AV90" s="123"/>
      <c r="AW90" s="123"/>
      <c r="AX90" s="123"/>
      <c r="AY90" s="123"/>
      <c r="AZ90" s="7"/>
    </row>
    <row r="91" spans="1:52">
      <c r="A91" s="19">
        <f>$P90</f>
        <v>2.8128304539232394</v>
      </c>
      <c r="B91" s="26">
        <f>COS(A91)</f>
        <v>-0.94644271925542311</v>
      </c>
      <c r="C91" s="26">
        <f>($C$87+B91)</f>
        <v>-0.23492996531139998</v>
      </c>
      <c r="D91" s="26">
        <f>POWER(TAN(A91/2),$C$87)</f>
        <v>3.5902977907246778</v>
      </c>
      <c r="E91" s="26">
        <f>SIN(A91)</f>
        <v>0.32287176892444513</v>
      </c>
      <c r="F91" s="77">
        <f>(C91*$H$87*D91/E91/$I$87/$J$87)</f>
        <v>0.96711617608432709</v>
      </c>
      <c r="G91" s="77">
        <f>$D$87*($C$87+$G$87)/9.81/SIN($C$84)/(1-$C$87*$C$84)*(F91-1)</f>
        <v>2.8132580986853208E-2</v>
      </c>
      <c r="H91" s="75">
        <f>-(-$H$84+$K$87*((POWER(TAN(A91/2),2*$C$87-1)/(2*$C$87-1))+(POWER(TAN(A91/2),2*$C$87+1)/(2*$C$87+1))-(POWER(TAN($E$87/2),2*$C$87-1)/(2*$C$87-1))-(POWER(TAN($E$87/2),2*$C$87+1)/(2*$C$87+1))))</f>
        <v>1.5072022930828497</v>
      </c>
      <c r="I91" s="75">
        <f>-(-$I$84+0.5*$K$87*((POWER(TAN(A91/2),2*$C$87-2)/(2*$C$87-2))-(POWER(TAN(A91/2),2*$C$87+2)/(2*$C$87+2))-(POWER(TAN($E$87/2),2*$C$87-2)/(2*$C$87-2))+(POWER(TAN($E$87/2),2*$C$87+2)/(2*$C$87+2))))</f>
        <v>-0.49989945672690517</v>
      </c>
      <c r="J91" s="77">
        <f>-$D$87*SIN(A91)*($C$87+$G$87)/($C$87+B91)*F91</f>
        <v>-1.0159633881799635</v>
      </c>
      <c r="K91" s="77">
        <f>-$D$87*COS(A91)*($C$87+$G$87)/($C$87+B91)*F91</f>
        <v>2.9781208650608564</v>
      </c>
      <c r="L91" s="91">
        <f>SQRT(J91*J91+K91*K91)</f>
        <v>3.1466467061036472</v>
      </c>
      <c r="M91" s="93"/>
      <c r="N91" s="75">
        <f>-(-$I$84+0.5*$K$87*((POWER(TAN(A91/2),2*$C$87-2)/(2*$C$87-2))-(POWER(TAN(A91/2),2*$C$87+2)/(2*$C$87+2))-(POWER(TAN($E$87/2),2*$C$87-2)/(2*$C$87-2))+(POWER(TAN($E$87/2),2*$C$87+2)/(2*$C$87+2))))-$D$84</f>
        <v>-9.1473502235326354E-3</v>
      </c>
      <c r="O91" s="75">
        <f t="shared" ref="O91:O100" si="93">-(-$I$84+0.5*$K$87*((POWER(TAN((A91+$M$9)/2),2*$C$87-2)/(2*$C$87-2))-(POWER(TAN((A91+$M$9)/2),2*$C$87+2)/(2*$C$87+2))-(POWER(TAN($E$87/2),2*$C$87-2)/(2*$C$87-2))+(POWER(TAN($E$87/2),2*$C$87+2)/(2*$C$87+2))))-$D$84</f>
        <v>-0.10167417399109513</v>
      </c>
      <c r="P91" s="75">
        <f t="shared" ref="P91:P100" si="94">A91-N91/(O91-N91)*$M$9</f>
        <v>2.812533869110823</v>
      </c>
      <c r="R91" s="122"/>
      <c r="T91" s="129">
        <f t="shared" si="92"/>
        <v>0.86690788662117813</v>
      </c>
      <c r="U91" s="129">
        <f t="shared" si="92"/>
        <v>0.88295009925386814</v>
      </c>
      <c r="AF91" s="7"/>
      <c r="AG91" s="7"/>
      <c r="AH91" s="7"/>
      <c r="AI91" s="7"/>
      <c r="AJ91" s="7"/>
      <c r="AK91" s="7"/>
      <c r="AL91" s="7"/>
      <c r="AM91" s="7"/>
      <c r="AN91" s="7"/>
      <c r="AR91" s="28"/>
      <c r="AS91" s="7"/>
      <c r="AT91" s="123"/>
      <c r="AU91" s="123"/>
      <c r="AV91" s="123"/>
      <c r="AW91" s="123"/>
      <c r="AX91" s="123"/>
      <c r="AY91" s="123"/>
      <c r="AZ91" s="7"/>
    </row>
    <row r="92" spans="1:52">
      <c r="A92" s="19">
        <f t="shared" ref="A92:A100" si="95">$P91</f>
        <v>2.812533869110823</v>
      </c>
      <c r="B92" s="26">
        <f t="shared" ref="B92:B100" si="96">COS(A92)</f>
        <v>-0.94634691876804833</v>
      </c>
      <c r="C92" s="26">
        <f t="shared" ref="C92:C100" si="97">($C$87+B92)</f>
        <v>-0.23483416482402519</v>
      </c>
      <c r="D92" s="26">
        <f t="shared" ref="D92:D100" si="98">POWER(TAN(A92/2),$C$87)</f>
        <v>3.5879530143429808</v>
      </c>
      <c r="E92" s="26">
        <f t="shared" ref="E92:E100" si="99">SIN(A92)</f>
        <v>0.32315245525637099</v>
      </c>
      <c r="F92" s="77">
        <f t="shared" ref="F92:F100" si="100">(C92*$H$87*D92/E92/$I$87/$J$87)</f>
        <v>0.96525131452054924</v>
      </c>
      <c r="G92" s="77">
        <f t="shared" ref="G92:G100" si="101">$D$87*($C$87+$G$87)/9.81/SIN($C$84)/(1-$C$87*$C$84)*(F92-1)</f>
        <v>2.9727996687496386E-2</v>
      </c>
      <c r="H92" s="75">
        <f t="shared" ref="H92:H100" si="102">-(-$H$84+$K$87*((POWER(TAN(A92/2),2*$C$87-1)/(2*$C$87-1))+(POWER(TAN(A92/2),2*$C$87+1)/(2*$C$87+1))-(POWER(TAN($E$87/2),2*$C$87-1)/(2*$C$87-1))-(POWER(TAN($E$87/2),2*$C$87+1)/(2*$C$87+1))))</f>
        <v>1.5041495438141341</v>
      </c>
      <c r="I92" s="75">
        <f t="shared" ref="I92:I100" si="103">-(-$I$84+0.5*$K$87*((POWER(TAN(A92/2),2*$C$87-2)/(2*$C$87-2))-(POWER(TAN(A92/2),2*$C$87+2)/(2*$C$87+2))-(POWER(TAN($E$87/2),2*$C$87-2)/(2*$C$87-2))+(POWER(TAN($E$87/2),2*$C$87+2)/(2*$C$87+2))))</f>
        <v>-0.49095518839256402</v>
      </c>
      <c r="J92" s="77">
        <f t="shared" ref="J92:J100" si="104">-$D$87*SIN(A92)*($C$87+$G$87)/($C$87+B92)*F92</f>
        <v>-1.0152998758207861</v>
      </c>
      <c r="K92" s="77">
        <f t="shared" ref="K92:K100" si="105">-$D$87*COS(A92)*($C$87+$G$87)/($C$87+B92)*F92</f>
        <v>2.9732898310994353</v>
      </c>
      <c r="L92" s="91">
        <f t="shared" ref="L92:L100" si="106">SQRT(J92*J92+K92*K92)</f>
        <v>3.1418603179582973</v>
      </c>
      <c r="M92" s="93"/>
      <c r="N92" s="75">
        <f t="shared" ref="N92:N100" si="107">-(-$I$84+0.5*$K$87*((POWER(TAN(A92/2),2*$C$87-2)/(2*$C$87-2))-(POWER(TAN(A92/2),2*$C$87+2)/(2*$C$87+2))-(POWER(TAN($E$87/2),2*$C$87-2)/(2*$C$87-2))+(POWER(TAN($E$87/2),2*$C$87+2)/(2*$C$87+2))))-$D$84</f>
        <v>-2.0308188919149206E-4</v>
      </c>
      <c r="O92" s="75">
        <f t="shared" si="93"/>
        <v>-9.2357496806715011E-2</v>
      </c>
      <c r="P92" s="75">
        <f t="shared" si="94"/>
        <v>2.8125272579715941</v>
      </c>
      <c r="R92" s="122"/>
      <c r="T92" s="129">
        <f t="shared" si="92"/>
        <v>0.83822799495077216</v>
      </c>
      <c r="U92" s="129">
        <f t="shared" si="92"/>
        <v>0.92938579842943292</v>
      </c>
      <c r="AF92" s="7"/>
      <c r="AG92" s="7"/>
      <c r="AH92" s="7"/>
      <c r="AI92" s="7"/>
      <c r="AJ92" s="7"/>
      <c r="AK92" s="7"/>
      <c r="AL92" s="7"/>
      <c r="AM92" s="7"/>
      <c r="AN92" s="7"/>
      <c r="AR92" s="28"/>
      <c r="AS92" s="7"/>
      <c r="AT92" s="123"/>
      <c r="AU92" s="123"/>
      <c r="AV92" s="123"/>
      <c r="AW92" s="123"/>
      <c r="AX92" s="123"/>
      <c r="AY92" s="123"/>
      <c r="AZ92" s="7"/>
    </row>
    <row r="93" spans="1:52">
      <c r="A93" s="19">
        <f t="shared" si="95"/>
        <v>2.8125272579715941</v>
      </c>
      <c r="B93" s="26">
        <f t="shared" si="96"/>
        <v>-0.94634478234149344</v>
      </c>
      <c r="C93" s="26">
        <f t="shared" si="97"/>
        <v>-0.2348320283974703</v>
      </c>
      <c r="D93" s="26">
        <f t="shared" si="98"/>
        <v>3.5879007878438558</v>
      </c>
      <c r="E93" s="26">
        <f t="shared" si="99"/>
        <v>0.32315871168054777</v>
      </c>
      <c r="F93" s="77">
        <f t="shared" si="100"/>
        <v>0.96520979587727407</v>
      </c>
      <c r="G93" s="77">
        <f t="shared" si="101"/>
        <v>2.9763516479762588E-2</v>
      </c>
      <c r="H93" s="75">
        <f t="shared" si="102"/>
        <v>1.5040816011418141</v>
      </c>
      <c r="I93" s="75">
        <f t="shared" si="103"/>
        <v>-0.49075622148830994</v>
      </c>
      <c r="J93" s="77">
        <f t="shared" si="104"/>
        <v>-1.0152850970436211</v>
      </c>
      <c r="K93" s="77">
        <f t="shared" si="105"/>
        <v>2.973182276843886</v>
      </c>
      <c r="L93" s="91">
        <f t="shared" si="106"/>
        <v>3.14175375859049</v>
      </c>
      <c r="M93" s="93"/>
      <c r="N93" s="75">
        <f t="shared" si="107"/>
        <v>-4.1149849374089165E-6</v>
      </c>
      <c r="O93" s="75">
        <f t="shared" si="93"/>
        <v>-9.2150249457076505E-2</v>
      </c>
      <c r="P93" s="75">
        <f t="shared" si="94"/>
        <v>2.8125271240001055</v>
      </c>
      <c r="R93" s="122"/>
      <c r="T93" s="96">
        <f t="shared" ref="T93:U98" si="108">H427</f>
        <v>0.83783361839513948</v>
      </c>
      <c r="U93" s="96">
        <f t="shared" si="108"/>
        <v>0.9300191867885399</v>
      </c>
      <c r="AF93" s="7"/>
      <c r="AG93" s="7"/>
      <c r="AH93" s="7"/>
      <c r="AI93" s="7"/>
      <c r="AJ93" s="7"/>
      <c r="AK93" s="7"/>
      <c r="AL93" s="7"/>
      <c r="AM93" s="7"/>
      <c r="AN93" s="7"/>
      <c r="AR93" s="28"/>
      <c r="AS93" s="7"/>
      <c r="AT93" s="123"/>
      <c r="AU93" s="123"/>
      <c r="AV93" s="123"/>
      <c r="AW93" s="123"/>
      <c r="AX93" s="123"/>
      <c r="AY93" s="123"/>
      <c r="AZ93" s="7"/>
    </row>
    <row r="94" spans="1:52">
      <c r="A94" s="19">
        <f t="shared" si="95"/>
        <v>2.8125271240001055</v>
      </c>
      <c r="B94" s="26">
        <f t="shared" si="96"/>
        <v>-0.94634473904743133</v>
      </c>
      <c r="C94" s="26">
        <f t="shared" si="97"/>
        <v>-0.23483198510340819</v>
      </c>
      <c r="D94" s="26">
        <f t="shared" si="98"/>
        <v>3.5878997295178197</v>
      </c>
      <c r="E94" s="26">
        <f t="shared" si="99"/>
        <v>0.32315883846376409</v>
      </c>
      <c r="F94" s="77">
        <f t="shared" si="100"/>
        <v>0.96520895454523159</v>
      </c>
      <c r="G94" s="77">
        <f t="shared" si="101"/>
        <v>2.9764236251340326E-2</v>
      </c>
      <c r="H94" s="75">
        <f t="shared" si="102"/>
        <v>1.5040802243645826</v>
      </c>
      <c r="I94" s="75">
        <f t="shared" si="103"/>
        <v>-0.4907521897057272</v>
      </c>
      <c r="J94" s="77">
        <f t="shared" si="104"/>
        <v>-1.0152847975641441</v>
      </c>
      <c r="K94" s="77">
        <f t="shared" si="105"/>
        <v>2.9731800973699807</v>
      </c>
      <c r="L94" s="91">
        <f t="shared" si="106"/>
        <v>3.1417515992773573</v>
      </c>
      <c r="M94" s="93"/>
      <c r="N94" s="75">
        <f t="shared" si="107"/>
        <v>-8.3202354672629042E-8</v>
      </c>
      <c r="O94" s="75">
        <f t="shared" si="93"/>
        <v>-9.2146049884726855E-2</v>
      </c>
      <c r="P94" s="75">
        <f t="shared" si="94"/>
        <v>2.812527121291283</v>
      </c>
      <c r="R94" s="122"/>
      <c r="T94" s="96">
        <f t="shared" si="108"/>
        <v>0.7455218600699075</v>
      </c>
      <c r="U94" s="96">
        <f t="shared" si="108"/>
        <v>1.076236343727337</v>
      </c>
      <c r="AF94" s="7"/>
      <c r="AG94" s="7"/>
      <c r="AH94" s="7"/>
      <c r="AI94" s="7"/>
      <c r="AJ94" s="7"/>
      <c r="AK94" s="7"/>
      <c r="AL94" s="7"/>
      <c r="AM94" s="7"/>
      <c r="AN94" s="7"/>
      <c r="AR94" s="28"/>
      <c r="AS94" s="7"/>
      <c r="AT94" s="123"/>
      <c r="AU94" s="123"/>
      <c r="AV94" s="123"/>
      <c r="AW94" s="123"/>
      <c r="AX94" s="123"/>
      <c r="AY94" s="123"/>
      <c r="AZ94" s="7"/>
    </row>
    <row r="95" spans="1:52">
      <c r="A95" s="19">
        <f t="shared" si="95"/>
        <v>2.812527121291283</v>
      </c>
      <c r="B95" s="26">
        <f t="shared" si="96"/>
        <v>-0.94634473817205134</v>
      </c>
      <c r="C95" s="26">
        <f t="shared" si="97"/>
        <v>-0.2348319842280282</v>
      </c>
      <c r="D95" s="26">
        <f t="shared" si="98"/>
        <v>3.5878997081191146</v>
      </c>
      <c r="E95" s="26">
        <f t="shared" si="99"/>
        <v>0.32315884102724401</v>
      </c>
      <c r="F95" s="77">
        <f t="shared" si="100"/>
        <v>0.96520893753401527</v>
      </c>
      <c r="G95" s="77">
        <f t="shared" si="101"/>
        <v>2.9764250804678836E-2</v>
      </c>
      <c r="H95" s="75">
        <f t="shared" si="102"/>
        <v>1.5040801965269974</v>
      </c>
      <c r="I95" s="75">
        <f t="shared" si="103"/>
        <v>-0.49075210818559767</v>
      </c>
      <c r="J95" s="77">
        <f t="shared" si="104"/>
        <v>-1.0152847915088519</v>
      </c>
      <c r="K95" s="77">
        <f t="shared" si="105"/>
        <v>2.9731800533023605</v>
      </c>
      <c r="L95" s="91">
        <f t="shared" si="106"/>
        <v>3.1417515556173758</v>
      </c>
      <c r="M95" s="93"/>
      <c r="N95" s="75">
        <f t="shared" si="107"/>
        <v>-1.6822251369674746E-9</v>
      </c>
      <c r="O95" s="75">
        <f t="shared" si="93"/>
        <v>-9.2145964971992345E-2</v>
      </c>
      <c r="P95" s="75">
        <f t="shared" si="94"/>
        <v>2.8125271212365148</v>
      </c>
      <c r="R95" s="122"/>
      <c r="T95" s="96">
        <f t="shared" si="108"/>
        <v>0.66608076648234216</v>
      </c>
      <c r="U95" s="96">
        <f t="shared" si="108"/>
        <v>1.1985855023002385</v>
      </c>
      <c r="AF95" s="7"/>
      <c r="AG95" s="7"/>
      <c r="AH95" s="7"/>
      <c r="AI95" s="7"/>
      <c r="AJ95" s="7"/>
      <c r="AK95" s="7"/>
      <c r="AL95" s="7"/>
      <c r="AM95" s="7"/>
      <c r="AN95" s="7"/>
      <c r="AR95" s="28"/>
      <c r="AS95" s="7"/>
      <c r="AT95" s="123"/>
      <c r="AU95" s="123"/>
      <c r="AV95" s="123"/>
      <c r="AW95" s="123"/>
      <c r="AX95" s="123"/>
      <c r="AY95" s="123"/>
      <c r="AZ95" s="7"/>
    </row>
    <row r="96" spans="1:52">
      <c r="A96" s="19">
        <f t="shared" si="95"/>
        <v>2.8125271212365148</v>
      </c>
      <c r="B96" s="26">
        <f t="shared" si="96"/>
        <v>-0.94634473815435249</v>
      </c>
      <c r="C96" s="26">
        <f t="shared" si="97"/>
        <v>-0.23483198421032936</v>
      </c>
      <c r="D96" s="26">
        <f t="shared" si="98"/>
        <v>3.5878997076864665</v>
      </c>
      <c r="E96" s="26">
        <f t="shared" si="99"/>
        <v>0.32315884107907361</v>
      </c>
      <c r="F96" s="77">
        <f t="shared" si="100"/>
        <v>0.96520893719007517</v>
      </c>
      <c r="G96" s="77">
        <f t="shared" si="101"/>
        <v>2.9764251098924503E-2</v>
      </c>
      <c r="H96" s="75">
        <f t="shared" si="102"/>
        <v>1.504080195964165</v>
      </c>
      <c r="I96" s="75">
        <f t="shared" si="103"/>
        <v>-0.49075210653738699</v>
      </c>
      <c r="J96" s="77">
        <f t="shared" si="104"/>
        <v>-1.0152847913864238</v>
      </c>
      <c r="K96" s="77">
        <f t="shared" si="105"/>
        <v>2.9731800524113825</v>
      </c>
      <c r="L96" s="91">
        <f t="shared" si="106"/>
        <v>3.1417515547346397</v>
      </c>
      <c r="M96" s="93"/>
      <c r="N96" s="75">
        <f t="shared" si="107"/>
        <v>-3.4014457916953234E-11</v>
      </c>
      <c r="O96" s="75">
        <f t="shared" si="93"/>
        <v>-9.2145963255191865E-2</v>
      </c>
      <c r="P96" s="75">
        <f t="shared" si="94"/>
        <v>2.8125271212354073</v>
      </c>
      <c r="R96" s="122"/>
      <c r="T96" s="96">
        <f t="shared" si="108"/>
        <v>0.59749399923827839</v>
      </c>
      <c r="U96" s="96">
        <f t="shared" si="108"/>
        <v>1.3013275659828702</v>
      </c>
      <c r="AF96" s="7"/>
      <c r="AG96" s="7"/>
      <c r="AH96" s="7"/>
      <c r="AI96" s="7"/>
      <c r="AJ96" s="7"/>
      <c r="AK96" s="7"/>
      <c r="AL96" s="7"/>
      <c r="AM96" s="7"/>
      <c r="AN96" s="7"/>
      <c r="AR96" s="28"/>
      <c r="AS96" s="7"/>
      <c r="AT96" s="123"/>
      <c r="AU96" s="123"/>
      <c r="AV96" s="123"/>
      <c r="AW96" s="123"/>
      <c r="AX96" s="123"/>
      <c r="AY96" s="123"/>
      <c r="AZ96" s="7"/>
    </row>
    <row r="97" spans="1:52">
      <c r="A97" s="19">
        <f>$P96</f>
        <v>2.8125271212354073</v>
      </c>
      <c r="B97" s="26">
        <f t="shared" si="96"/>
        <v>-0.94634473815399467</v>
      </c>
      <c r="C97" s="26">
        <f t="shared" si="97"/>
        <v>-0.23483198420997153</v>
      </c>
      <c r="D97" s="26">
        <f t="shared" si="98"/>
        <v>3.5878997076777175</v>
      </c>
      <c r="E97" s="26">
        <f t="shared" si="99"/>
        <v>0.32315884108012172</v>
      </c>
      <c r="F97" s="77">
        <f t="shared" si="100"/>
        <v>0.96520893718312029</v>
      </c>
      <c r="G97" s="77">
        <f t="shared" si="101"/>
        <v>2.9764251104874503E-2</v>
      </c>
      <c r="H97" s="75">
        <f t="shared" si="102"/>
        <v>1.5040801959527841</v>
      </c>
      <c r="I97" s="75">
        <f t="shared" si="103"/>
        <v>-0.49075210650405499</v>
      </c>
      <c r="J97" s="77">
        <f t="shared" si="104"/>
        <v>-1.015284791383948</v>
      </c>
      <c r="K97" s="77">
        <f t="shared" si="105"/>
        <v>2.9731800523933658</v>
      </c>
      <c r="L97" s="91">
        <f t="shared" si="106"/>
        <v>3.1417515547167896</v>
      </c>
      <c r="M97" s="93"/>
      <c r="N97" s="75">
        <f t="shared" si="107"/>
        <v>-6.8245409323708373E-13</v>
      </c>
      <c r="O97" s="75">
        <f t="shared" si="93"/>
        <v>-9.2145963220473082E-2</v>
      </c>
      <c r="P97" s="75">
        <f t="shared" si="94"/>
        <v>2.8125271212353851</v>
      </c>
      <c r="R97" s="122"/>
      <c r="T97" s="96">
        <f t="shared" si="108"/>
        <v>0.53809468260445992</v>
      </c>
      <c r="U97" s="96">
        <f t="shared" si="108"/>
        <v>1.3878977925967957</v>
      </c>
      <c r="AF97" s="7"/>
      <c r="AG97" s="7"/>
      <c r="AH97" s="7"/>
      <c r="AI97" s="7"/>
      <c r="AJ97" s="7"/>
      <c r="AK97" s="7"/>
      <c r="AL97" s="7"/>
      <c r="AM97" s="7"/>
      <c r="AN97" s="7"/>
      <c r="AR97" s="28"/>
      <c r="AS97" s="7"/>
      <c r="AT97" s="123"/>
      <c r="AU97" s="123"/>
      <c r="AV97" s="123"/>
      <c r="AW97" s="123"/>
      <c r="AX97" s="123"/>
      <c r="AY97" s="123"/>
      <c r="AZ97" s="7"/>
    </row>
    <row r="98" spans="1:52">
      <c r="A98" s="19">
        <f t="shared" si="95"/>
        <v>2.8125271212353851</v>
      </c>
      <c r="B98" s="26">
        <f t="shared" si="96"/>
        <v>-0.94634473815398745</v>
      </c>
      <c r="C98" s="26">
        <f t="shared" si="97"/>
        <v>-0.23483198420996432</v>
      </c>
      <c r="D98" s="26">
        <f t="shared" si="98"/>
        <v>3.5878997076775412</v>
      </c>
      <c r="E98" s="26">
        <f t="shared" si="99"/>
        <v>0.32315884108014276</v>
      </c>
      <c r="F98" s="77">
        <f t="shared" si="100"/>
        <v>0.96520893718298029</v>
      </c>
      <c r="G98" s="77">
        <f t="shared" si="101"/>
        <v>2.9764251104994276E-2</v>
      </c>
      <c r="H98" s="75">
        <f t="shared" si="102"/>
        <v>1.5040801959525552</v>
      </c>
      <c r="I98" s="75">
        <f t="shared" si="103"/>
        <v>-0.49075210650338619</v>
      </c>
      <c r="J98" s="77">
        <f t="shared" si="104"/>
        <v>-1.015284791383898</v>
      </c>
      <c r="K98" s="77">
        <f t="shared" si="105"/>
        <v>2.9731800523930021</v>
      </c>
      <c r="L98" s="91">
        <f t="shared" si="106"/>
        <v>3.1417515547164294</v>
      </c>
      <c r="M98" s="93"/>
      <c r="N98" s="75">
        <f t="shared" si="107"/>
        <v>-1.3655743202889425E-14</v>
      </c>
      <c r="O98" s="75">
        <f t="shared" si="93"/>
        <v>-9.2145963219776528E-2</v>
      </c>
      <c r="P98" s="75">
        <f t="shared" si="94"/>
        <v>2.8125271212353846</v>
      </c>
      <c r="R98" s="122"/>
      <c r="T98" s="96">
        <f t="shared" si="108"/>
        <v>0.48649922757191771</v>
      </c>
      <c r="U98" s="96">
        <f t="shared" si="108"/>
        <v>1.4610781357008662</v>
      </c>
      <c r="AF98" s="7"/>
      <c r="AG98" s="7"/>
      <c r="AH98" s="7"/>
      <c r="AI98" s="7"/>
      <c r="AJ98" s="7"/>
      <c r="AK98" s="7"/>
      <c r="AL98" s="7"/>
      <c r="AM98" s="7"/>
      <c r="AN98" s="7"/>
      <c r="AR98" s="28"/>
      <c r="AS98" s="7"/>
      <c r="AT98" s="123"/>
      <c r="AU98" s="123"/>
      <c r="AV98" s="123"/>
      <c r="AW98" s="123"/>
      <c r="AX98" s="123"/>
      <c r="AY98" s="123"/>
      <c r="AZ98" s="7"/>
    </row>
    <row r="99" spans="1:52">
      <c r="A99" s="19">
        <f t="shared" si="95"/>
        <v>2.8125271212353846</v>
      </c>
      <c r="B99" s="26">
        <f t="shared" si="96"/>
        <v>-0.94634473815398734</v>
      </c>
      <c r="C99" s="26">
        <f t="shared" si="97"/>
        <v>-0.23483198420996421</v>
      </c>
      <c r="D99" s="26">
        <f t="shared" si="98"/>
        <v>3.5878997076775381</v>
      </c>
      <c r="E99" s="26">
        <f t="shared" si="99"/>
        <v>0.32315884108014314</v>
      </c>
      <c r="F99" s="77">
        <f t="shared" si="100"/>
        <v>0.96520893718297796</v>
      </c>
      <c r="G99" s="77">
        <f t="shared" si="101"/>
        <v>2.9764251104996271E-2</v>
      </c>
      <c r="H99" s="75">
        <f t="shared" si="102"/>
        <v>1.5040801959525505</v>
      </c>
      <c r="I99" s="75">
        <f t="shared" si="103"/>
        <v>-0.49075210650337375</v>
      </c>
      <c r="J99" s="77">
        <f t="shared" si="104"/>
        <v>-1.0152847913838974</v>
      </c>
      <c r="K99" s="77">
        <f t="shared" si="105"/>
        <v>2.9731800523929963</v>
      </c>
      <c r="L99" s="91">
        <f t="shared" si="106"/>
        <v>3.1417515547164232</v>
      </c>
      <c r="M99" s="93"/>
      <c r="N99" s="75">
        <f t="shared" si="107"/>
        <v>-1.2212453270876722E-15</v>
      </c>
      <c r="O99" s="75">
        <f t="shared" si="93"/>
        <v>-9.2145963219761096E-2</v>
      </c>
      <c r="P99" s="75">
        <f t="shared" si="94"/>
        <v>2.8125271212353846</v>
      </c>
      <c r="R99" s="122"/>
      <c r="T99" s="126">
        <f>H443</f>
        <v>0.48612183295985489</v>
      </c>
      <c r="U99" s="126">
        <f>I443</f>
        <v>1.4616059968409461</v>
      </c>
      <c r="AF99" s="7"/>
      <c r="AG99" s="7"/>
      <c r="AH99" s="7"/>
      <c r="AI99" s="7"/>
      <c r="AJ99" s="7"/>
      <c r="AK99" s="7"/>
      <c r="AL99" s="7"/>
      <c r="AM99" s="7"/>
      <c r="AN99" s="7"/>
      <c r="AR99" s="28"/>
      <c r="AS99" s="7"/>
      <c r="AT99" s="123"/>
      <c r="AU99" s="123"/>
      <c r="AV99" s="123"/>
      <c r="AW99" s="123"/>
      <c r="AX99" s="123"/>
      <c r="AY99" s="123"/>
      <c r="AZ99" s="7"/>
    </row>
    <row r="100" spans="1:52">
      <c r="A100" s="19">
        <f t="shared" si="95"/>
        <v>2.8125271212353846</v>
      </c>
      <c r="B100" s="26">
        <f t="shared" si="96"/>
        <v>-0.94634473815398734</v>
      </c>
      <c r="C100" s="26">
        <f t="shared" si="97"/>
        <v>-0.23483198420996421</v>
      </c>
      <c r="D100" s="26">
        <f t="shared" si="98"/>
        <v>3.5878997076775381</v>
      </c>
      <c r="E100" s="26">
        <f t="shared" si="99"/>
        <v>0.32315884108014314</v>
      </c>
      <c r="F100" s="77">
        <f t="shared" si="100"/>
        <v>0.96520893718297796</v>
      </c>
      <c r="G100" s="77">
        <f t="shared" si="101"/>
        <v>2.9764251104996271E-2</v>
      </c>
      <c r="H100" s="81">
        <f t="shared" si="102"/>
        <v>1.5040801959525505</v>
      </c>
      <c r="I100" s="81">
        <f t="shared" si="103"/>
        <v>-0.49075210650337375</v>
      </c>
      <c r="J100" s="80">
        <f t="shared" si="104"/>
        <v>-1.0152847913838974</v>
      </c>
      <c r="K100" s="80">
        <f t="shared" si="105"/>
        <v>2.9731800523929963</v>
      </c>
      <c r="L100" s="91">
        <f t="shared" si="106"/>
        <v>3.1417515547164232</v>
      </c>
      <c r="M100" s="93"/>
      <c r="N100" s="75">
        <f t="shared" si="107"/>
        <v>-1.2212453270876722E-15</v>
      </c>
      <c r="O100" s="75">
        <f t="shared" si="93"/>
        <v>-9.2145963219761096E-2</v>
      </c>
      <c r="P100" s="75">
        <f t="shared" si="94"/>
        <v>2.8125271212353846</v>
      </c>
      <c r="R100" s="122"/>
      <c r="T100" s="126">
        <f t="shared" ref="T100:U108" si="109">H444</f>
        <v>0.28334308171972666</v>
      </c>
      <c r="U100" s="126">
        <f t="shared" si="109"/>
        <v>1.7386016704410707</v>
      </c>
      <c r="AF100" s="7"/>
      <c r="AG100" s="7"/>
      <c r="AH100" s="7"/>
      <c r="AI100" s="7"/>
      <c r="AJ100" s="7"/>
      <c r="AK100" s="7"/>
      <c r="AL100" s="7"/>
      <c r="AM100" s="7"/>
      <c r="AN100" s="7"/>
      <c r="AR100" s="28"/>
      <c r="AS100" s="7"/>
      <c r="AT100" s="123"/>
      <c r="AU100" s="123"/>
      <c r="AV100" s="123"/>
      <c r="AW100" s="123"/>
      <c r="AX100" s="123"/>
      <c r="AY100" s="123"/>
      <c r="AZ100" s="7"/>
    </row>
    <row r="101" spans="1:52">
      <c r="A101" s="88" t="s">
        <v>60</v>
      </c>
      <c r="B101" s="8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T101" s="126">
        <f t="shared" si="109"/>
        <v>0.17600047963705701</v>
      </c>
      <c r="U101" s="126">
        <f t="shared" si="109"/>
        <v>1.8777190146083838</v>
      </c>
      <c r="AF101" s="7"/>
      <c r="AG101" s="7"/>
      <c r="AH101" s="7"/>
      <c r="AI101" s="7"/>
      <c r="AJ101" s="7"/>
      <c r="AK101" s="7"/>
      <c r="AL101" s="7"/>
      <c r="AM101" s="7"/>
      <c r="AN101" s="7"/>
      <c r="AR101" s="28"/>
      <c r="AS101" s="7"/>
      <c r="AT101" s="123"/>
      <c r="AU101" s="123"/>
      <c r="AV101" s="123"/>
      <c r="AW101" s="123"/>
      <c r="AX101" s="123"/>
      <c r="AY101" s="123"/>
      <c r="AZ101" s="7"/>
    </row>
    <row r="102" spans="1:52">
      <c r="A102" s="26" t="s">
        <v>11</v>
      </c>
      <c r="B102" s="26" t="s">
        <v>13</v>
      </c>
      <c r="C102" s="26" t="s">
        <v>22</v>
      </c>
      <c r="D102" s="26" t="s">
        <v>18</v>
      </c>
      <c r="E102" s="26" t="s">
        <v>19</v>
      </c>
      <c r="F102" s="26" t="s">
        <v>20</v>
      </c>
      <c r="G102" s="26" t="s">
        <v>2</v>
      </c>
      <c r="H102" s="26" t="s">
        <v>1</v>
      </c>
      <c r="I102" s="26" t="s">
        <v>0</v>
      </c>
      <c r="J102" s="76" t="s">
        <v>3</v>
      </c>
      <c r="K102" s="76" t="s">
        <v>4</v>
      </c>
      <c r="L102" s="44" t="s">
        <v>7</v>
      </c>
      <c r="M102" s="28"/>
      <c r="N102" s="28"/>
      <c r="O102" s="28"/>
      <c r="P102" s="31"/>
      <c r="T102" s="126">
        <f t="shared" si="109"/>
        <v>0.11792865964710414</v>
      </c>
      <c r="U102" s="126">
        <f t="shared" si="109"/>
        <v>1.949174790706854</v>
      </c>
      <c r="AF102" s="7"/>
      <c r="AG102" s="7"/>
      <c r="AH102" s="7"/>
      <c r="AI102" s="7"/>
      <c r="AJ102" s="7"/>
      <c r="AK102" s="7"/>
      <c r="AL102" s="7"/>
      <c r="AM102" s="7"/>
      <c r="AN102" s="7"/>
      <c r="AR102" s="28"/>
      <c r="AS102" s="7"/>
      <c r="AT102" s="123"/>
      <c r="AU102" s="123"/>
      <c r="AV102" s="123"/>
      <c r="AW102" s="123"/>
      <c r="AX102" s="123"/>
      <c r="AY102" s="123"/>
      <c r="AZ102" s="7"/>
    </row>
    <row r="103" spans="1:52">
      <c r="A103" s="19">
        <f>$E87</f>
        <v>2.8179463784727501</v>
      </c>
      <c r="B103" s="26">
        <f t="shared" ref="B103:B108" si="110">COS(A103)</f>
        <v>-0.94808211421303878</v>
      </c>
      <c r="C103" s="26">
        <f t="shared" ref="C103:C108" si="111">($C$87+B103)</f>
        <v>-0.23656936026901565</v>
      </c>
      <c r="D103" s="26">
        <f t="shared" ref="D103:D108" si="112">POWER(TAN(A103/2),$C$87)</f>
        <v>3.6313139606571032</v>
      </c>
      <c r="E103" s="26">
        <f t="shared" ref="E103:E108" si="113">SIN(A103)</f>
        <v>0.31802563530214734</v>
      </c>
      <c r="F103" s="77">
        <f t="shared" ref="F103:F108" si="114">(C103*$H$87*D103/E103/$I$87/$J$87)</f>
        <v>1</v>
      </c>
      <c r="G103" s="77">
        <f t="shared" ref="G103:G108" si="115">$D$87*($C$87+$G$87)/9.81/SIN($C$84)/(1-$C$87*$C$84)*(F103-1)</f>
        <v>0</v>
      </c>
      <c r="H103" s="132">
        <f t="shared" ref="H103:H108" si="116">-(-$H$84+$K$87*((POWER(TAN(A103/2),2*$C$87-1)/(2*$C$87-1))+(POWER(TAN(A103/2),2*$C$87+1)/(2*$C$87+1))-(POWER(TAN($E$87/2),2*$C$87-1)/(2*$C$87-1))-(POWER(TAN($E$87/2),2*$C$87+1)/(2*$C$87+1))))</f>
        <v>1.5613585395936456</v>
      </c>
      <c r="I103" s="132">
        <f t="shared" ref="I103:I108" si="117">-(-$I$84+0.5*$K$87*((POWER(TAN(A103/2),2*$C$87-2)/(2*$C$87-2))-(POWER(TAN(A103/2),2*$C$87+2)/(2*$C$87+2))-(POWER(TAN($E$87/2),2*$C$87-2)/(2*$C$87-2))+(POWER(TAN($E$87/2),2*$C$87+2)/(2*$C$87+2))))</f>
        <v>-0.66000334397620364</v>
      </c>
      <c r="J103" s="77">
        <f t="shared" ref="J103:J108" si="118">-$D$87*SIN(A103)*($C$87+$G$87)/($C$87+B103)*F103</f>
        <v>-1.0275699259669866</v>
      </c>
      <c r="K103" s="77">
        <f t="shared" ref="K103:K108" si="119">-$D$87*COS(A103)*($C$87+$G$87)/($C$87+B103)*F103</f>
        <v>3.0633400574357359</v>
      </c>
      <c r="L103" s="91">
        <f t="shared" ref="L103:L108" si="120">SQRT(J103*J103+K103*K103)</f>
        <v>3.2310914967301958</v>
      </c>
      <c r="M103" s="28"/>
      <c r="N103" s="28"/>
      <c r="O103" s="28"/>
      <c r="P103" s="31"/>
      <c r="T103" s="126">
        <f t="shared" si="109"/>
        <v>8.587561939721039E-2</v>
      </c>
      <c r="U103" s="126">
        <f t="shared" si="109"/>
        <v>1.9866413281248199</v>
      </c>
      <c r="AF103" s="7"/>
      <c r="AG103" s="7"/>
      <c r="AH103" s="7"/>
      <c r="AI103" s="7"/>
      <c r="AJ103" s="7"/>
      <c r="AK103" s="7"/>
      <c r="AL103" s="7"/>
      <c r="AM103" s="7"/>
      <c r="AN103" s="7"/>
      <c r="AR103" s="28"/>
      <c r="AS103" s="7"/>
      <c r="AT103" s="123"/>
      <c r="AU103" s="123"/>
      <c r="AV103" s="123"/>
      <c r="AW103" s="123"/>
      <c r="AX103" s="123"/>
      <c r="AY103" s="123"/>
      <c r="AZ103" s="7"/>
    </row>
    <row r="104" spans="1:52">
      <c r="A104" s="20">
        <f>A103-$F$87</f>
        <v>2.8168825270252769</v>
      </c>
      <c r="B104" s="26">
        <f t="shared" si="110"/>
        <v>-0.9477432457343179</v>
      </c>
      <c r="C104" s="26">
        <f t="shared" si="111"/>
        <v>-0.23623049179029476</v>
      </c>
      <c r="D104" s="26">
        <f t="shared" si="112"/>
        <v>3.6226948642944072</v>
      </c>
      <c r="E104" s="26">
        <f t="shared" si="113"/>
        <v>0.31903407367392644</v>
      </c>
      <c r="F104" s="77">
        <f t="shared" si="114"/>
        <v>0.99304853321004805</v>
      </c>
      <c r="G104" s="77">
        <f t="shared" si="115"/>
        <v>5.9470791154716002E-3</v>
      </c>
      <c r="H104" s="132">
        <f t="shared" si="116"/>
        <v>1.5498589936348113</v>
      </c>
      <c r="I104" s="132">
        <f t="shared" si="117"/>
        <v>-0.62578171330392929</v>
      </c>
      <c r="J104" s="77">
        <f t="shared" si="118"/>
        <v>-1.025130939884463</v>
      </c>
      <c r="K104" s="77">
        <f t="shared" si="119"/>
        <v>3.0453202477105039</v>
      </c>
      <c r="L104" s="91">
        <f t="shared" si="120"/>
        <v>3.2132333956661112</v>
      </c>
      <c r="M104" s="28"/>
      <c r="N104" s="28"/>
      <c r="O104" s="28"/>
      <c r="P104" s="31"/>
      <c r="T104" s="126">
        <f t="shared" si="109"/>
        <v>6.7852639628824263E-2</v>
      </c>
      <c r="U104" s="126">
        <f t="shared" si="109"/>
        <v>2.006662149474904</v>
      </c>
      <c r="AF104" s="7"/>
      <c r="AG104" s="7"/>
      <c r="AH104" s="7"/>
      <c r="AI104" s="7"/>
      <c r="AJ104" s="7"/>
      <c r="AK104" s="7"/>
      <c r="AL104" s="7"/>
      <c r="AM104" s="7"/>
      <c r="AN104" s="7"/>
      <c r="AR104" s="28"/>
      <c r="AS104" s="7"/>
      <c r="AT104" s="123"/>
      <c r="AU104" s="123"/>
      <c r="AV104" s="123"/>
      <c r="AW104" s="123"/>
      <c r="AX104" s="123"/>
      <c r="AY104" s="123"/>
      <c r="AZ104" s="7"/>
    </row>
    <row r="105" spans="1:52">
      <c r="A105" s="20">
        <f>A104-$F$87</f>
        <v>2.8158186755778036</v>
      </c>
      <c r="B105" s="26">
        <f t="shared" si="110"/>
        <v>-0.94740330461894007</v>
      </c>
      <c r="C105" s="26">
        <f t="shared" si="111"/>
        <v>-0.23589055067491693</v>
      </c>
      <c r="D105" s="26">
        <f t="shared" si="112"/>
        <v>3.6141233254952723</v>
      </c>
      <c r="E105" s="26">
        <f t="shared" si="113"/>
        <v>0.32004215096938687</v>
      </c>
      <c r="F105" s="77">
        <f t="shared" si="114"/>
        <v>0.9861572359723596</v>
      </c>
      <c r="G105" s="77">
        <f t="shared" si="115"/>
        <v>1.1842682319676409E-2</v>
      </c>
      <c r="H105" s="132">
        <f t="shared" si="116"/>
        <v>1.5384859997920273</v>
      </c>
      <c r="I105" s="132">
        <f t="shared" si="117"/>
        <v>-0.59205556477321586</v>
      </c>
      <c r="J105" s="77">
        <f t="shared" si="118"/>
        <v>-1.0227054113885303</v>
      </c>
      <c r="K105" s="77">
        <f t="shared" si="119"/>
        <v>3.0274589877189215</v>
      </c>
      <c r="L105" s="91">
        <f t="shared" si="120"/>
        <v>3.1955334892320342</v>
      </c>
      <c r="M105" s="45"/>
      <c r="N105" s="28"/>
      <c r="O105" s="28"/>
      <c r="P105" s="31"/>
      <c r="T105" s="126">
        <f t="shared" si="109"/>
        <v>5.7542929386571962E-2</v>
      </c>
      <c r="U105" s="126">
        <f t="shared" si="109"/>
        <v>2.0175490066974624</v>
      </c>
      <c r="AF105" s="7"/>
      <c r="AG105" s="7"/>
      <c r="AH105" s="7"/>
      <c r="AI105" s="7"/>
      <c r="AJ105" s="7"/>
      <c r="AK105" s="7"/>
      <c r="AL105" s="7"/>
      <c r="AM105" s="7"/>
      <c r="AN105" s="7"/>
      <c r="AR105" s="28"/>
      <c r="AS105" s="7"/>
      <c r="AT105" s="123"/>
      <c r="AU105" s="123"/>
      <c r="AV105" s="123"/>
      <c r="AW105" s="123"/>
      <c r="AX105" s="123"/>
      <c r="AY105" s="123"/>
      <c r="AZ105" s="7"/>
    </row>
    <row r="106" spans="1:52">
      <c r="A106" s="20">
        <f>A105-$F$87</f>
        <v>2.8147548241303304</v>
      </c>
      <c r="B106" s="26">
        <f t="shared" si="110"/>
        <v>-0.94706229125164387</v>
      </c>
      <c r="C106" s="26">
        <f t="shared" si="111"/>
        <v>-0.23554953730762074</v>
      </c>
      <c r="D106" s="26">
        <f t="shared" si="112"/>
        <v>3.60559892365678</v>
      </c>
      <c r="E106" s="26">
        <f t="shared" si="113"/>
        <v>0.32104986604760705</v>
      </c>
      <c r="F106" s="77">
        <f t="shared" si="114"/>
        <v>0.97932538496767363</v>
      </c>
      <c r="G106" s="77">
        <f t="shared" si="115"/>
        <v>1.768742842257226E-2</v>
      </c>
      <c r="H106" s="132">
        <f t="shared" si="116"/>
        <v>1.5272377478784616</v>
      </c>
      <c r="I106" s="132">
        <f t="shared" si="117"/>
        <v>-0.55881616424408509</v>
      </c>
      <c r="J106" s="77">
        <f t="shared" si="118"/>
        <v>-1.0202932214592115</v>
      </c>
      <c r="K106" s="77">
        <f t="shared" si="119"/>
        <v>3.0097543660722041</v>
      </c>
      <c r="L106" s="91">
        <f t="shared" si="120"/>
        <v>3.1779898681157421</v>
      </c>
      <c r="M106" s="45"/>
      <c r="N106" s="28"/>
      <c r="O106" s="28"/>
      <c r="P106" s="31"/>
      <c r="T106" s="126">
        <f t="shared" si="109"/>
        <v>5.1550611592683815E-2</v>
      </c>
      <c r="U106" s="126">
        <f t="shared" si="109"/>
        <v>2.0235650970623724</v>
      </c>
      <c r="AF106" s="7"/>
      <c r="AG106" s="7"/>
      <c r="AH106" s="7"/>
      <c r="AI106" s="7"/>
      <c r="AJ106" s="7"/>
      <c r="AK106" s="7"/>
      <c r="AL106" s="7"/>
      <c r="AM106" s="7"/>
      <c r="AN106" s="7"/>
      <c r="AR106" s="28"/>
      <c r="AS106" s="7"/>
      <c r="AT106" s="123"/>
      <c r="AU106" s="123"/>
      <c r="AV106" s="123"/>
      <c r="AW106" s="123"/>
      <c r="AX106" s="123"/>
      <c r="AY106" s="123"/>
      <c r="AZ106" s="7"/>
    </row>
    <row r="107" spans="1:52">
      <c r="A107" s="20">
        <f>A106-$F$87</f>
        <v>2.8136909726828572</v>
      </c>
      <c r="B107" s="26">
        <f t="shared" si="110"/>
        <v>-0.94672020601838136</v>
      </c>
      <c r="C107" s="26">
        <f t="shared" si="111"/>
        <v>-0.23520745207435823</v>
      </c>
      <c r="D107" s="26">
        <f t="shared" si="112"/>
        <v>3.5971212432442154</v>
      </c>
      <c r="E107" s="26">
        <f t="shared" si="113"/>
        <v>0.32205721776807555</v>
      </c>
      <c r="F107" s="77">
        <f t="shared" si="114"/>
        <v>0.97255226790412985</v>
      </c>
      <c r="G107" s="77">
        <f t="shared" si="115"/>
        <v>2.3481926800018142E-2</v>
      </c>
      <c r="H107" s="132">
        <f t="shared" si="116"/>
        <v>1.5161124594232582</v>
      </c>
      <c r="I107" s="132">
        <f t="shared" si="117"/>
        <v>-0.52605495911825528</v>
      </c>
      <c r="J107" s="77">
        <f t="shared" si="118"/>
        <v>-1.0178942525107006</v>
      </c>
      <c r="K107" s="77">
        <f t="shared" si="119"/>
        <v>2.9922045005549984</v>
      </c>
      <c r="L107" s="91">
        <f t="shared" si="120"/>
        <v>3.1606006521602672</v>
      </c>
      <c r="M107" s="45"/>
      <c r="N107" s="28"/>
      <c r="O107" s="28"/>
      <c r="P107" s="89"/>
      <c r="T107" s="126">
        <f t="shared" si="109"/>
        <v>4.8015627227383173E-2</v>
      </c>
      <c r="U107" s="126">
        <f t="shared" si="109"/>
        <v>2.0269393437948136</v>
      </c>
      <c r="AF107" s="7"/>
      <c r="AG107" s="7"/>
      <c r="AH107" s="7"/>
      <c r="AI107" s="7"/>
      <c r="AJ107" s="7"/>
      <c r="AK107" s="7"/>
      <c r="AL107" s="7"/>
      <c r="AM107" s="7"/>
      <c r="AN107" s="7"/>
      <c r="AR107" s="28"/>
      <c r="AS107" s="7"/>
      <c r="AT107" s="123"/>
      <c r="AU107" s="123"/>
      <c r="AV107" s="123"/>
      <c r="AW107" s="123"/>
      <c r="AX107" s="123"/>
      <c r="AY107" s="123"/>
      <c r="AZ107" s="7"/>
    </row>
    <row r="108" spans="1:52">
      <c r="A108" s="20">
        <f>A107-$F$87</f>
        <v>2.8126271212353839</v>
      </c>
      <c r="B108" s="26">
        <f t="shared" si="110"/>
        <v>-0.9463770493063175</v>
      </c>
      <c r="C108" s="26">
        <f t="shared" si="111"/>
        <v>-0.23486429536229436</v>
      </c>
      <c r="D108" s="26">
        <f t="shared" si="112"/>
        <v>3.5886898737138013</v>
      </c>
      <c r="E108" s="26">
        <f t="shared" si="113"/>
        <v>0.32306420499069194</v>
      </c>
      <c r="F108" s="77">
        <f t="shared" si="114"/>
        <v>0.96583718331396617</v>
      </c>
      <c r="G108" s="77">
        <f t="shared" si="115"/>
        <v>2.9226777567702467E-2</v>
      </c>
      <c r="H108" s="132">
        <f t="shared" si="116"/>
        <v>1.5051083870149313</v>
      </c>
      <c r="I108" s="132">
        <f t="shared" si="117"/>
        <v>-0.49376357399471577</v>
      </c>
      <c r="J108" s="77">
        <f t="shared" si="118"/>
        <v>-1.0155083883695013</v>
      </c>
      <c r="K108" s="77">
        <f t="shared" si="119"/>
        <v>2.9748075375872496</v>
      </c>
      <c r="L108" s="91">
        <f t="shared" si="120"/>
        <v>3.1433639898259851</v>
      </c>
      <c r="M108" s="45"/>
      <c r="N108" s="28"/>
      <c r="O108" s="28"/>
      <c r="P108" s="28"/>
      <c r="T108" s="126">
        <f t="shared" si="109"/>
        <v>4.5901243776528933E-2</v>
      </c>
      <c r="U108" s="126">
        <f t="shared" si="109"/>
        <v>2.0288579821030499</v>
      </c>
      <c r="W108" s="18"/>
      <c r="X108" s="18"/>
      <c r="Y108" s="18"/>
      <c r="Z108" s="18"/>
      <c r="AA108" s="18"/>
      <c r="AB108" s="18"/>
      <c r="AC108" s="18"/>
      <c r="AD108" s="18"/>
      <c r="AE108" s="18"/>
      <c r="AF108" s="7"/>
      <c r="AG108" s="7"/>
      <c r="AH108" s="7"/>
      <c r="AI108" s="7"/>
      <c r="AJ108" s="7"/>
      <c r="AK108" s="7"/>
      <c r="AL108" s="7"/>
      <c r="AM108" s="7"/>
      <c r="AN108" s="7"/>
      <c r="AO108" s="18"/>
      <c r="AP108" s="18"/>
      <c r="AQ108" s="18"/>
      <c r="AR108" s="92"/>
      <c r="AS108" s="7"/>
      <c r="AT108" s="123"/>
      <c r="AU108" s="123"/>
      <c r="AV108" s="123"/>
      <c r="AW108" s="123"/>
      <c r="AX108" s="123"/>
      <c r="AY108" s="123"/>
      <c r="AZ108" s="7"/>
    </row>
    <row r="109" spans="1:52" s="1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T109" s="126">
        <f t="shared" ref="T109:T116" si="121">H453</f>
        <v>4.4620149257383224E-2</v>
      </c>
      <c r="U109" s="126">
        <f t="shared" ref="U109:U116" si="122">I453</f>
        <v>2.0299628337162243</v>
      </c>
      <c r="AF109" s="7"/>
      <c r="AG109" s="7"/>
      <c r="AH109" s="7"/>
      <c r="AI109" s="7"/>
      <c r="AJ109" s="7"/>
      <c r="AK109" s="7"/>
      <c r="AL109" s="7"/>
      <c r="AM109" s="7"/>
      <c r="AN109" s="7"/>
      <c r="AR109" s="92"/>
      <c r="AS109" s="7"/>
      <c r="AT109" s="123"/>
      <c r="AU109" s="123"/>
      <c r="AV109" s="123"/>
      <c r="AW109" s="123"/>
      <c r="AX109" s="123"/>
      <c r="AY109" s="123"/>
      <c r="AZ109" s="7"/>
    </row>
    <row r="110" spans="1:52" s="18" customFormat="1">
      <c r="A110" s="88" t="s">
        <v>73</v>
      </c>
      <c r="B110" s="88"/>
      <c r="C110" s="23" t="str">
        <f>CONCATENATE("m",Stufengrün!AH44)</f>
        <v>m-4</v>
      </c>
      <c r="D110" s="23" t="s">
        <v>30</v>
      </c>
      <c r="E110" s="28"/>
      <c r="F110" s="28"/>
      <c r="G110" s="28"/>
      <c r="H110" s="36" t="s">
        <v>57</v>
      </c>
      <c r="I110" s="36" t="s">
        <v>51</v>
      </c>
      <c r="J110" s="36" t="s">
        <v>58</v>
      </c>
      <c r="K110" s="36" t="s">
        <v>59</v>
      </c>
      <c r="L110" s="28"/>
      <c r="M110" s="28"/>
      <c r="N110" s="28"/>
      <c r="O110" s="28"/>
      <c r="P110" s="28"/>
      <c r="T110" s="126">
        <f t="shared" si="121"/>
        <v>4.383453187171632E-2</v>
      </c>
      <c r="U110" s="126">
        <f t="shared" si="122"/>
        <v>2.0306065322613764</v>
      </c>
      <c r="AF110" s="7"/>
      <c r="AG110" s="7"/>
      <c r="AH110" s="7"/>
      <c r="AI110" s="7"/>
      <c r="AJ110" s="7"/>
      <c r="AK110" s="7"/>
      <c r="AL110" s="7"/>
      <c r="AM110" s="7"/>
      <c r="AN110" s="7"/>
      <c r="AR110" s="92"/>
      <c r="AS110" s="7"/>
      <c r="AT110" s="123"/>
      <c r="AU110" s="123"/>
      <c r="AV110" s="123"/>
      <c r="AW110" s="123"/>
      <c r="AX110" s="123"/>
      <c r="AY110" s="123"/>
      <c r="AZ110" s="7"/>
    </row>
    <row r="111" spans="1:52" s="18" customFormat="1">
      <c r="A111" s="88" t="s">
        <v>69</v>
      </c>
      <c r="B111" s="88"/>
      <c r="C111" s="36">
        <f>Stufengrün!AI44</f>
        <v>0.14505155745746634</v>
      </c>
      <c r="D111" s="26">
        <f>Stufengrün!AK44</f>
        <v>-0.36836040959449939</v>
      </c>
      <c r="E111" s="28"/>
      <c r="F111" s="28"/>
      <c r="G111" s="28"/>
      <c r="H111" s="78">
        <f>H100</f>
        <v>1.5040801959525505</v>
      </c>
      <c r="I111" s="78">
        <f>I100</f>
        <v>-0.49075210650337375</v>
      </c>
      <c r="J111" s="78">
        <f>J100</f>
        <v>-1.0152847913838974</v>
      </c>
      <c r="K111" s="78">
        <f>K100</f>
        <v>2.9731800523929963</v>
      </c>
      <c r="L111" s="28"/>
      <c r="M111" s="28"/>
      <c r="N111" s="28"/>
      <c r="O111" s="28"/>
      <c r="P111" s="28"/>
      <c r="T111" s="126">
        <f t="shared" si="121"/>
        <v>4.3347301136267335E-2</v>
      </c>
      <c r="U111" s="126">
        <f t="shared" si="122"/>
        <v>2.0309856112507978</v>
      </c>
      <c r="AF111" s="7"/>
      <c r="AG111" s="7"/>
      <c r="AH111" s="7"/>
      <c r="AI111" s="7"/>
      <c r="AJ111" s="7"/>
      <c r="AK111" s="7"/>
      <c r="AL111" s="7"/>
      <c r="AM111" s="7"/>
      <c r="AN111" s="7"/>
      <c r="AR111" s="92"/>
      <c r="AS111" s="7"/>
      <c r="AT111" s="123"/>
      <c r="AU111" s="123"/>
      <c r="AV111" s="123"/>
      <c r="AW111" s="123"/>
      <c r="AX111" s="123"/>
      <c r="AY111" s="123"/>
      <c r="AZ111" s="7"/>
    </row>
    <row r="112" spans="1:52" s="18" customFormat="1">
      <c r="A112" s="95"/>
      <c r="B112" s="95"/>
      <c r="C112" s="28"/>
      <c r="D112" s="28"/>
      <c r="E112" s="28"/>
      <c r="F112" s="28"/>
      <c r="G112" s="28"/>
      <c r="H112" s="37" t="s">
        <v>8</v>
      </c>
      <c r="I112" s="37" t="s">
        <v>8</v>
      </c>
      <c r="J112" s="37" t="s">
        <v>9</v>
      </c>
      <c r="K112" s="37" t="s">
        <v>9</v>
      </c>
      <c r="L112" s="28"/>
      <c r="M112" s="28"/>
      <c r="N112" s="28"/>
      <c r="O112" s="28"/>
      <c r="P112" s="28"/>
      <c r="T112" s="126">
        <f t="shared" si="121"/>
        <v>4.304192179894939E-2</v>
      </c>
      <c r="U112" s="126">
        <f t="shared" si="122"/>
        <v>2.0312110714605471</v>
      </c>
      <c r="AF112" s="7"/>
      <c r="AG112" s="7"/>
      <c r="AH112" s="7"/>
      <c r="AI112" s="7"/>
      <c r="AJ112" s="7"/>
      <c r="AK112" s="7"/>
      <c r="AL112" s="7"/>
      <c r="AM112" s="7"/>
      <c r="AN112" s="7"/>
      <c r="AR112" s="92"/>
      <c r="AS112" s="7"/>
      <c r="AT112" s="123"/>
      <c r="AU112" s="123"/>
      <c r="AV112" s="123"/>
      <c r="AW112" s="123"/>
      <c r="AX112" s="123"/>
      <c r="AY112" s="123"/>
      <c r="AZ112" s="7"/>
    </row>
    <row r="113" spans="1:52" s="18" customFormat="1">
      <c r="A113" s="88" t="s">
        <v>68</v>
      </c>
      <c r="B113" s="88"/>
      <c r="C113" s="115" t="s">
        <v>15</v>
      </c>
      <c r="D113" s="115" t="s">
        <v>55</v>
      </c>
      <c r="E113" s="115" t="s">
        <v>12</v>
      </c>
      <c r="F113" s="115" t="s">
        <v>10</v>
      </c>
      <c r="G113" s="115" t="s">
        <v>14</v>
      </c>
      <c r="H113" s="115" t="s">
        <v>21</v>
      </c>
      <c r="I113" s="115" t="s">
        <v>16</v>
      </c>
      <c r="J113" s="115" t="s">
        <v>17</v>
      </c>
      <c r="K113" s="115" t="s">
        <v>23</v>
      </c>
      <c r="L113" s="28"/>
      <c r="M113" s="28"/>
      <c r="N113" s="28"/>
      <c r="O113" s="28"/>
      <c r="P113" s="28"/>
      <c r="T113" s="126">
        <f t="shared" si="121"/>
        <v>4.2848619369695418E-2</v>
      </c>
      <c r="U113" s="126">
        <f t="shared" si="122"/>
        <v>2.0313463868350099</v>
      </c>
      <c r="AF113" s="7"/>
      <c r="AG113" s="7"/>
      <c r="AH113" s="7"/>
      <c r="AI113" s="7"/>
      <c r="AJ113" s="7"/>
      <c r="AK113" s="7"/>
      <c r="AL113" s="7"/>
      <c r="AM113" s="7"/>
      <c r="AN113" s="7"/>
      <c r="AR113" s="92"/>
      <c r="AS113" s="7"/>
      <c r="AT113" s="123"/>
      <c r="AU113" s="123"/>
      <c r="AV113" s="123"/>
      <c r="AW113" s="123"/>
      <c r="AX113" s="123"/>
      <c r="AY113" s="123"/>
      <c r="AZ113" s="7"/>
    </row>
    <row r="114" spans="1:52" s="18" customFormat="1">
      <c r="A114" s="28"/>
      <c r="B114" s="28"/>
      <c r="C114" s="23">
        <f>Mü/TAN($C111)</f>
        <v>0.47919773462141801</v>
      </c>
      <c r="D114" s="42">
        <f>SQRT($J111*$J111+$K111*$K111)</f>
        <v>3.1417515547164232</v>
      </c>
      <c r="E114" s="20">
        <f>ATAN($J111/$K111)+PI()</f>
        <v>2.8125271212353846</v>
      </c>
      <c r="F114" s="23">
        <f>($E114-A127-0.0001)/5</f>
        <v>1.2263321344507783E-3</v>
      </c>
      <c r="G114" s="23">
        <f>COS($E114)</f>
        <v>-0.94634473815398734</v>
      </c>
      <c r="H114" s="23">
        <f>SIN($E114)</f>
        <v>0.32315884108014314</v>
      </c>
      <c r="I114" s="23">
        <f>$C114+$G114</f>
        <v>-0.46714700353256933</v>
      </c>
      <c r="J114" s="23">
        <f>POWER(TAN($E114/2),$C114)</f>
        <v>2.3641780327515161</v>
      </c>
      <c r="K114" s="23">
        <f>-$D114*$D114*SIN($E114)*SIN($E114)/(2*9.81*SIN($C111)*POWER(TAN($E114/2),2*$C114))</f>
        <v>-6.5030635603132561E-2</v>
      </c>
      <c r="L114" s="28"/>
      <c r="M114" s="28"/>
      <c r="N114" s="28"/>
      <c r="O114" s="28"/>
      <c r="P114" s="28"/>
      <c r="T114" s="126">
        <f t="shared" si="121"/>
        <v>4.2725121332701788E-2</v>
      </c>
      <c r="U114" s="126">
        <f t="shared" si="122"/>
        <v>2.0314282750645534</v>
      </c>
      <c r="AF114" s="7"/>
      <c r="AG114" s="7"/>
      <c r="AH114" s="7"/>
      <c r="AI114" s="7"/>
      <c r="AJ114" s="7"/>
      <c r="AK114" s="7"/>
      <c r="AL114" s="7"/>
      <c r="AM114" s="7"/>
      <c r="AN114" s="7"/>
      <c r="AR114" s="92"/>
      <c r="AS114" s="7"/>
      <c r="AT114" s="123"/>
      <c r="AU114" s="123"/>
      <c r="AV114" s="123"/>
      <c r="AW114" s="123"/>
      <c r="AX114" s="123"/>
      <c r="AY114" s="123"/>
      <c r="AZ114" s="7"/>
    </row>
    <row r="115" spans="1:52" s="18" customFormat="1">
      <c r="A115" s="88" t="s">
        <v>70</v>
      </c>
      <c r="B115" s="8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45"/>
      <c r="N115" s="28"/>
      <c r="O115" s="28"/>
      <c r="P115" s="28"/>
      <c r="T115" s="126">
        <f t="shared" si="121"/>
        <v>4.2645531219024924E-2</v>
      </c>
      <c r="U115" s="126">
        <f t="shared" si="122"/>
        <v>2.0314782055166662</v>
      </c>
      <c r="AF115" s="7"/>
      <c r="AG115" s="7"/>
      <c r="AH115" s="7"/>
      <c r="AI115" s="7"/>
      <c r="AJ115" s="7"/>
      <c r="AK115" s="7"/>
      <c r="AL115" s="7"/>
      <c r="AM115" s="7"/>
      <c r="AN115" s="7"/>
      <c r="AR115" s="92"/>
      <c r="AS115" s="7"/>
      <c r="AT115" s="123"/>
      <c r="AU115" s="123"/>
      <c r="AV115" s="123"/>
      <c r="AW115" s="123"/>
      <c r="AX115" s="123"/>
      <c r="AY115" s="123"/>
      <c r="AZ115" s="7"/>
    </row>
    <row r="116" spans="1:52" s="18" customFormat="1">
      <c r="A116" s="115" t="s">
        <v>11</v>
      </c>
      <c r="B116" s="115" t="s">
        <v>13</v>
      </c>
      <c r="C116" s="105" t="s">
        <v>22</v>
      </c>
      <c r="D116" s="105" t="s">
        <v>18</v>
      </c>
      <c r="E116" s="115" t="s">
        <v>19</v>
      </c>
      <c r="F116" s="105" t="s">
        <v>20</v>
      </c>
      <c r="G116" s="105" t="s">
        <v>2</v>
      </c>
      <c r="H116" s="105" t="s">
        <v>65</v>
      </c>
      <c r="I116" s="105" t="s">
        <v>66</v>
      </c>
      <c r="J116" s="106" t="s">
        <v>3</v>
      </c>
      <c r="K116" s="106" t="s">
        <v>4</v>
      </c>
      <c r="L116" s="116" t="s">
        <v>7</v>
      </c>
      <c r="M116" s="93"/>
      <c r="N116" s="105" t="s">
        <v>61</v>
      </c>
      <c r="O116" s="105" t="s">
        <v>62</v>
      </c>
      <c r="P116" s="115" t="s">
        <v>63</v>
      </c>
      <c r="T116" s="126">
        <f t="shared" si="121"/>
        <v>4.2593817867076611E-2</v>
      </c>
      <c r="U116" s="126">
        <f t="shared" si="122"/>
        <v>2.0315088576582783</v>
      </c>
      <c r="AF116" s="7"/>
      <c r="AG116" s="7"/>
      <c r="AH116" s="7"/>
      <c r="AI116" s="7"/>
      <c r="AJ116" s="7"/>
      <c r="AK116" s="7"/>
      <c r="AL116" s="7"/>
      <c r="AM116" s="7"/>
      <c r="AN116" s="7"/>
      <c r="AR116" s="92"/>
      <c r="AS116" s="7"/>
      <c r="AT116" s="123"/>
      <c r="AU116" s="123"/>
      <c r="AV116" s="123"/>
      <c r="AW116" s="123"/>
      <c r="AX116" s="123"/>
      <c r="AY116" s="123"/>
      <c r="AZ116" s="7"/>
    </row>
    <row r="117" spans="1:52" s="18" customFormat="1">
      <c r="A117" s="19">
        <f>$E114</f>
        <v>2.8125271212353846</v>
      </c>
      <c r="B117" s="26">
        <f>COS(A117)</f>
        <v>-0.94634473815398734</v>
      </c>
      <c r="C117" s="26">
        <f>($C$114+B117)</f>
        <v>-0.46714700353256933</v>
      </c>
      <c r="D117" s="26">
        <f>POWER(TAN(A117/2),$C$114)</f>
        <v>2.3641780327515161</v>
      </c>
      <c r="E117" s="26">
        <f>SIN(A117)</f>
        <v>0.32315884108014314</v>
      </c>
      <c r="F117" s="77">
        <f>(C117*$H$114*D117/E117/$I$114/$J$114)</f>
        <v>1</v>
      </c>
      <c r="G117" s="77">
        <f>$D$114*($C$114+$G$114)/9.81/SIN($C$111)/(1-$C$114*$C$111)*(F117-1)</f>
        <v>0</v>
      </c>
      <c r="H117" s="75">
        <f>-(-$H$111+$K$114*((POWER(TAN(A117/2),2*$C$114-1)/(2*$C$114-1))+(POWER(TAN(A117/2),2*$C$114+1)/(2*$C$114+1))-(POWER(TAN($E$114/2),2*$C$114-1)/(2*$C$114-1))-(POWER(TAN($E$114/2),2*$C$114+1)/(2*$C$114+1))))</f>
        <v>1.5040801959525505</v>
      </c>
      <c r="I117" s="75">
        <f>-(-$I$111+0.5*$K$114*((POWER(TAN(A117/2),2*$C$114-2)/(2*$C$114-2))-(POWER(TAN(A117/2),2*$C$114+2)/(2*$C$114+2))-(POWER(TAN($E$114/2),2*$C$114-2)/(2*$C$114-2))+(POWER(TAN($E$114/2),2*$C$114+2)/(2*$C$114+2))))</f>
        <v>-0.49075210650337375</v>
      </c>
      <c r="J117" s="77">
        <f>-$D$114*SIN(A117)*($C$114+$G$114)/($C$114+B117)*F117</f>
        <v>-1.0152847913838972</v>
      </c>
      <c r="K117" s="77">
        <f>-$D$114*COS(A117)*($C$114+$G$114)/($C$114+B117)*F117</f>
        <v>2.9731800523929963</v>
      </c>
      <c r="L117" s="91">
        <f>SQRT(J117*J117+K117*K117)</f>
        <v>3.1417515547164232</v>
      </c>
      <c r="M117" s="93"/>
      <c r="N117" s="75">
        <f>-(-$I$111+0.5*$K$114*((POWER(TAN(A117/2),2*$C$114-2)/(2*$C$114-2))-(POWER(TAN(A117/2),2*$C$114+2)/(2*$C$114+2))-(POWER(TAN($E$114/2),2*$C$114-2)/(2*$C$114-2))+(POWER(TAN($E$114/2),2*$C$114+2)/(2*$C$114+2))))-$D$111</f>
        <v>-0.12239169690887436</v>
      </c>
      <c r="O117" s="75">
        <f>-(-$I$111+0.5*$K$114*((POWER(TAN((A117+$M$9)/2),2*$C$114-2)/(2*$C$114-2))-(POWER(TAN((A117+$M$9)/2),2*$C$114+2)/(2*$C$114+2))-(POWER(TAN($E$114/2),2*$C$114-2)/(2*$C$114-2))+(POWER(TAN($E$114/2),2*$C$114+2)/(2*$C$114+2))))-$D$111</f>
        <v>-0.18467278072877197</v>
      </c>
      <c r="P117" s="75">
        <f>A117-N117/(O117-N117)*$M$9</f>
        <v>2.8066316700292302</v>
      </c>
      <c r="T117" s="126">
        <f>H470</f>
        <v>4.2494175537927448E-2</v>
      </c>
      <c r="U117" s="126">
        <f>I470</f>
        <v>2.0315587858884054</v>
      </c>
      <c r="AF117" s="7"/>
      <c r="AG117" s="7"/>
      <c r="AH117" s="7"/>
      <c r="AI117" s="7"/>
      <c r="AJ117" s="7"/>
      <c r="AK117" s="7"/>
      <c r="AL117" s="7"/>
      <c r="AM117" s="7"/>
      <c r="AN117" s="7"/>
      <c r="AR117" s="92"/>
      <c r="AS117" s="7"/>
      <c r="AT117" s="123"/>
      <c r="AU117" s="123"/>
      <c r="AV117" s="123"/>
      <c r="AW117" s="123"/>
      <c r="AX117" s="123"/>
      <c r="AY117" s="123"/>
      <c r="AZ117" s="7"/>
    </row>
    <row r="118" spans="1:52" s="18" customFormat="1">
      <c r="A118" s="19">
        <f>$P117</f>
        <v>2.8066316700292302</v>
      </c>
      <c r="B118" s="26">
        <f>COS(A118)</f>
        <v>-0.94442313631621522</v>
      </c>
      <c r="C118" s="26">
        <f>($C$114+B118)</f>
        <v>-0.4652254016947972</v>
      </c>
      <c r="D118" s="26">
        <f>POWER(TAN(A118/2),$C$114)</f>
        <v>2.3437749666934247</v>
      </c>
      <c r="E118" s="26">
        <f>SIN(A118)</f>
        <v>0.32873232209602327</v>
      </c>
      <c r="F118" s="77">
        <f>(C118*$H$114*D118/E118/$I$114/$J$114)</f>
        <v>0.97055291930118948</v>
      </c>
      <c r="G118" s="77">
        <f>$D$114*($C$114+$G$114)/9.81/SIN($C$111)/(1-$C$114*$C$111)*(F118-1)</f>
        <v>3.2755767048526126E-2</v>
      </c>
      <c r="H118" s="75">
        <f>-(-$H$111+$K$114*((POWER(TAN(A118/2),2*$C$114-1)/(2*$C$114-1))+(POWER(TAN(A118/2),2*$C$114+1)/(2*$C$114+1))-(POWER(TAN($E$114/2),2*$C$114-1)/(2*$C$114-1))-(POWER(TAN($E$114/2),2*$C$114+1)/(2*$C$114+1))))</f>
        <v>1.4640842168119441</v>
      </c>
      <c r="I118" s="75">
        <f>-(-$I$111+0.5*$K$114*((POWER(TAN(A118/2),2*$C$114-2)/(2*$C$114-2))-(POWER(TAN(A118/2),2*$C$114+2)/(2*$C$114+2))-(POWER(TAN($E$114/2),2*$C$114-2)/(2*$C$114-2))+(POWER(TAN($E$114/2),2*$C$114+2)/(2*$C$114+2))))</f>
        <v>-0.37473367838699251</v>
      </c>
      <c r="J118" s="77">
        <f>-$D$114*SIN(A118)*($C$114+$G$114)/($C$114+B118)*F118</f>
        <v>-1.0065227936073284</v>
      </c>
      <c r="K118" s="77">
        <f>-$D$114*COS(A118)*($C$114+$G$114)/($C$114+B118)*F118</f>
        <v>2.891663975879819</v>
      </c>
      <c r="L118" s="91">
        <f>SQRT(J118*J118+K118*K118)</f>
        <v>3.0618309364581489</v>
      </c>
      <c r="M118" s="93"/>
      <c r="N118" s="75">
        <f>-(-$I$111+0.5*$K$114*((POWER(TAN(A118/2),2*$C$114-2)/(2*$C$114-2))-(POWER(TAN(A118/2),2*$C$114+2)/(2*$C$114+2))-(POWER(TAN($E$114/2),2*$C$114-2)/(2*$C$114-2))+(POWER(TAN($E$114/2),2*$C$114+2)/(2*$C$114+2))))-$D$111</f>
        <v>-6.3732687924931142E-3</v>
      </c>
      <c r="O118" s="75">
        <f t="shared" ref="O118:O127" si="123">-(-$I$111+0.5*$K$114*((POWER(TAN((A118+$M$9)/2),2*$C$114-2)/(2*$C$114-2))-(POWER(TAN((A118+$M$9)/2),2*$C$114+2)/(2*$C$114+2))-(POWER(TAN($E$114/2),2*$C$114-2)/(2*$C$114-2))+(POWER(TAN($E$114/2),2*$C$114+2)/(2*$C$114+2))))-$D$111</f>
        <v>-6.4386518363602929E-2</v>
      </c>
      <c r="P118" s="75">
        <f t="shared" ref="P118:P127" si="124">A118-N118/(O118-N118)*$M$9</f>
        <v>2.8063020934838923</v>
      </c>
      <c r="T118" s="126">
        <f>H480</f>
        <v>4.2491978824945764E-2</v>
      </c>
      <c r="U118" s="126">
        <f>I480</f>
        <v>2.0315592464409411</v>
      </c>
      <c r="AF118" s="7"/>
      <c r="AG118" s="7"/>
      <c r="AH118" s="7"/>
      <c r="AI118" s="7"/>
      <c r="AJ118" s="7"/>
      <c r="AK118" s="7"/>
      <c r="AL118" s="7"/>
      <c r="AM118" s="7"/>
      <c r="AN118" s="7"/>
      <c r="AR118" s="92"/>
      <c r="AS118" s="7"/>
      <c r="AT118" s="123"/>
      <c r="AU118" s="123"/>
      <c r="AV118" s="123"/>
      <c r="AW118" s="123"/>
      <c r="AX118" s="123"/>
      <c r="AY118" s="123"/>
      <c r="AZ118" s="7"/>
    </row>
    <row r="119" spans="1:52" s="18" customFormat="1">
      <c r="A119" s="19">
        <f t="shared" ref="A119:A127" si="125">$P118</f>
        <v>2.8063020934838923</v>
      </c>
      <c r="B119" s="26">
        <f t="shared" ref="B119:B127" si="126">COS(A119)</f>
        <v>-0.94431474256316905</v>
      </c>
      <c r="C119" s="26">
        <f t="shared" ref="C119:C127" si="127">($C$114+B119)</f>
        <v>-0.46511700794175104</v>
      </c>
      <c r="D119" s="26">
        <f t="shared" ref="D119:D127" si="128">POWER(TAN(A119/2),$C$114)</f>
        <v>2.342649753617378</v>
      </c>
      <c r="E119" s="26">
        <f t="shared" ref="E119:E127" si="129">SIN(A119)</f>
        <v>0.32904356395142553</v>
      </c>
      <c r="F119" s="77">
        <f t="shared" ref="F119:F127" si="130">(C119*$H$114*D119/E119/$I$114/$J$114)</f>
        <v>0.96894355807643129</v>
      </c>
      <c r="G119" s="77">
        <f t="shared" ref="G119:G127" si="131">$D$114*($C$114+$G$114)/9.81/SIN($C$111)/(1-$C$114*$C$111)*(F119-1)</f>
        <v>3.4545956776136005E-2</v>
      </c>
      <c r="H119" s="75">
        <f t="shared" ref="H119:H127" si="132">-(-$H$111+$K$114*((POWER(TAN(A119/2),2*$C$114-1)/(2*$C$114-1))+(POWER(TAN(A119/2),2*$C$114+1)/(2*$C$114+1))-(POWER(TAN($E$114/2),2*$C$114-1)/(2*$C$114-1))-(POWER(TAN($E$114/2),2*$C$114+1)/(2*$C$114+1))))</f>
        <v>1.461908352548777</v>
      </c>
      <c r="I119" s="75">
        <f t="shared" ref="I119:I127" si="133">-(-$I$111+0.5*$K$114*((POWER(TAN(A119/2),2*$C$114-2)/(2*$C$114-2))-(POWER(TAN(A119/2),2*$C$114+2)/(2*$C$114+2))-(POWER(TAN($E$114/2),2*$C$114-2)/(2*$C$114-2))+(POWER(TAN($E$114/2),2*$C$114+2)/(2*$C$114+2))))</f>
        <v>-0.36848589898211326</v>
      </c>
      <c r="J119" s="77">
        <f t="shared" ref="J119:J127" si="134">-$D$114*SIN(A119)*($C$114+$G$114)/($C$114+B119)*F119</f>
        <v>-1.0060395763083987</v>
      </c>
      <c r="K119" s="77">
        <f t="shared" ref="K119:K127" si="135">-$D$114*COS(A119)*($C$114+$G$114)/($C$114+B119)*F119</f>
        <v>2.8872104109906545</v>
      </c>
      <c r="L119" s="91">
        <f t="shared" ref="L119:L127" si="136">SQRT(J119*J119+K119*K119)</f>
        <v>3.0574662036450388</v>
      </c>
      <c r="M119" s="93"/>
      <c r="N119" s="75">
        <f t="shared" ref="N119:N127" si="137">-(-$I$111+0.5*$K$114*((POWER(TAN(A119/2),2*$C$114-2)/(2*$C$114-2))-(POWER(TAN(A119/2),2*$C$114+2)/(2*$C$114+2))-(POWER(TAN($E$114/2),2*$C$114-2)/(2*$C$114-2))+(POWER(TAN($E$114/2),2*$C$114+2)/(2*$C$114+2))))-$D$111</f>
        <v>-1.2548938761386408E-4</v>
      </c>
      <c r="O119" s="75">
        <f t="shared" si="123"/>
        <v>-5.7911094772491845E-2</v>
      </c>
      <c r="P119" s="75">
        <f t="shared" si="124"/>
        <v>2.8062955785713921</v>
      </c>
      <c r="T119" s="127">
        <f>H507</f>
        <v>4.2491909099868275E-2</v>
      </c>
      <c r="U119" s="127">
        <f>I507</f>
        <v>2.0315592424380267</v>
      </c>
      <c r="AF119" s="7"/>
      <c r="AG119" s="7"/>
      <c r="AH119" s="7"/>
      <c r="AI119" s="7"/>
      <c r="AJ119" s="7"/>
      <c r="AK119" s="7"/>
      <c r="AL119" s="7"/>
      <c r="AM119" s="7"/>
      <c r="AN119" s="7"/>
      <c r="AR119" s="92"/>
      <c r="AS119" s="7"/>
      <c r="AT119" s="123"/>
      <c r="AU119" s="123"/>
      <c r="AV119" s="123"/>
      <c r="AW119" s="123"/>
      <c r="AX119" s="123"/>
      <c r="AY119" s="123"/>
      <c r="AZ119" s="7"/>
    </row>
    <row r="120" spans="1:52" s="18" customFormat="1">
      <c r="A120" s="19">
        <f t="shared" si="125"/>
        <v>2.8062955785713921</v>
      </c>
      <c r="B120" s="26">
        <f t="shared" si="126"/>
        <v>-0.94431259885310082</v>
      </c>
      <c r="C120" s="26">
        <f t="shared" si="127"/>
        <v>-0.4651148642316828</v>
      </c>
      <c r="D120" s="26">
        <f t="shared" si="128"/>
        <v>2.3426275271119734</v>
      </c>
      <c r="E120" s="26">
        <f t="shared" si="129"/>
        <v>0.32904971607236289</v>
      </c>
      <c r="F120" s="77">
        <f t="shared" si="130"/>
        <v>0.96891178345658702</v>
      </c>
      <c r="G120" s="77">
        <f t="shared" si="131"/>
        <v>3.4581301605605519E-2</v>
      </c>
      <c r="H120" s="75">
        <f t="shared" si="132"/>
        <v>1.4618654036269803</v>
      </c>
      <c r="I120" s="75">
        <f t="shared" si="133"/>
        <v>-0.36836264212710046</v>
      </c>
      <c r="J120" s="77">
        <f t="shared" si="134"/>
        <v>-1.0060300312434372</v>
      </c>
      <c r="K120" s="77">
        <f t="shared" si="135"/>
        <v>2.887122483092603</v>
      </c>
      <c r="L120" s="91">
        <f t="shared" si="136"/>
        <v>3.057380031357317</v>
      </c>
      <c r="M120" s="93"/>
      <c r="N120" s="75">
        <f t="shared" si="137"/>
        <v>-2.2325326010652624E-6</v>
      </c>
      <c r="O120" s="75">
        <f t="shared" si="123"/>
        <v>-5.7783349202901069E-2</v>
      </c>
      <c r="P120" s="75">
        <f t="shared" si="124"/>
        <v>2.8062954626581287</v>
      </c>
      <c r="AF120" s="7"/>
      <c r="AG120" s="7"/>
      <c r="AH120" s="7"/>
      <c r="AI120" s="7"/>
      <c r="AJ120" s="7"/>
      <c r="AK120" s="7"/>
      <c r="AL120" s="7"/>
      <c r="AM120" s="7"/>
      <c r="AN120" s="7"/>
      <c r="AR120" s="92"/>
      <c r="AS120" s="7"/>
      <c r="AT120" s="123"/>
      <c r="AU120" s="123"/>
      <c r="AV120" s="123"/>
      <c r="AW120" s="123"/>
      <c r="AX120" s="123"/>
      <c r="AY120" s="123"/>
      <c r="AZ120" s="7"/>
    </row>
    <row r="121" spans="1:52" s="18" customFormat="1">
      <c r="A121" s="19">
        <f t="shared" si="125"/>
        <v>2.8062954626581287</v>
      </c>
      <c r="B121" s="26">
        <f t="shared" si="126"/>
        <v>-0.94431256071186809</v>
      </c>
      <c r="C121" s="26">
        <f t="shared" si="127"/>
        <v>-0.46511482609045007</v>
      </c>
      <c r="D121" s="26">
        <f t="shared" si="128"/>
        <v>2.3426271316638654</v>
      </c>
      <c r="E121" s="26">
        <f t="shared" si="129"/>
        <v>0.32904982553071571</v>
      </c>
      <c r="F121" s="77">
        <f t="shared" si="130"/>
        <v>0.96891121813632963</v>
      </c>
      <c r="G121" s="77">
        <f t="shared" si="131"/>
        <v>3.4581930445484355E-2</v>
      </c>
      <c r="H121" s="75">
        <f t="shared" si="132"/>
        <v>1.4618646395020782</v>
      </c>
      <c r="I121" s="75">
        <f t="shared" si="133"/>
        <v>-0.36836044922857281</v>
      </c>
      <c r="J121" s="77">
        <f t="shared" si="134"/>
        <v>-1.0060298614201644</v>
      </c>
      <c r="K121" s="77">
        <f t="shared" si="135"/>
        <v>2.8871209187181326</v>
      </c>
      <c r="L121" s="91">
        <f t="shared" si="136"/>
        <v>3.0573784982185161</v>
      </c>
      <c r="M121" s="93"/>
      <c r="N121" s="75">
        <f t="shared" si="137"/>
        <v>-3.963407341212033E-8</v>
      </c>
      <c r="O121" s="75">
        <f t="shared" si="123"/>
        <v>-5.7781076445144297E-2</v>
      </c>
      <c r="P121" s="75">
        <f t="shared" si="124"/>
        <v>2.8062954606003219</v>
      </c>
      <c r="AF121" s="7"/>
      <c r="AG121" s="7"/>
      <c r="AH121" s="7"/>
      <c r="AI121" s="7"/>
      <c r="AJ121" s="7"/>
      <c r="AK121" s="7"/>
      <c r="AL121" s="7"/>
      <c r="AM121" s="7"/>
      <c r="AN121" s="7"/>
      <c r="AR121" s="92"/>
      <c r="AS121" s="7"/>
      <c r="AT121" s="123"/>
      <c r="AU121" s="123"/>
      <c r="AV121" s="123"/>
      <c r="AW121" s="123"/>
      <c r="AX121" s="123"/>
      <c r="AY121" s="123"/>
      <c r="AZ121" s="7"/>
    </row>
    <row r="122" spans="1:52" s="18" customFormat="1">
      <c r="A122" s="19">
        <f t="shared" si="125"/>
        <v>2.8062954606003219</v>
      </c>
      <c r="B122" s="26">
        <f t="shared" si="126"/>
        <v>-0.94431256003474706</v>
      </c>
      <c r="C122" s="26">
        <f t="shared" si="127"/>
        <v>-0.46511482541332905</v>
      </c>
      <c r="D122" s="26">
        <f t="shared" si="128"/>
        <v>2.3426271246434816</v>
      </c>
      <c r="E122" s="26">
        <f t="shared" si="129"/>
        <v>0.32904982747392852</v>
      </c>
      <c r="F122" s="77">
        <f t="shared" si="130"/>
        <v>0.96891120810021003</v>
      </c>
      <c r="G122" s="77">
        <f t="shared" si="131"/>
        <v>3.4581941609266566E-2</v>
      </c>
      <c r="H122" s="75">
        <f t="shared" si="132"/>
        <v>1.4618646259365842</v>
      </c>
      <c r="I122" s="75">
        <f t="shared" si="133"/>
        <v>-0.36836041029809807</v>
      </c>
      <c r="J122" s="77">
        <f t="shared" si="134"/>
        <v>-1.0060298584052947</v>
      </c>
      <c r="K122" s="77">
        <f t="shared" si="135"/>
        <v>2.8871208909458241</v>
      </c>
      <c r="L122" s="91">
        <f t="shared" si="136"/>
        <v>3.0573784710007339</v>
      </c>
      <c r="M122" s="93"/>
      <c r="N122" s="75">
        <f t="shared" si="137"/>
        <v>-7.0359867931912845E-10</v>
      </c>
      <c r="O122" s="75">
        <f t="shared" si="123"/>
        <v>-5.7781036096932026E-2</v>
      </c>
      <c r="P122" s="75">
        <f t="shared" si="124"/>
        <v>2.8062954605637911</v>
      </c>
      <c r="AF122" s="7"/>
      <c r="AG122" s="7"/>
      <c r="AH122" s="7"/>
      <c r="AI122" s="7"/>
      <c r="AJ122" s="7"/>
      <c r="AK122" s="7"/>
      <c r="AL122" s="7"/>
      <c r="AM122" s="7"/>
      <c r="AN122" s="7"/>
      <c r="AR122" s="92"/>
      <c r="AS122" s="7"/>
      <c r="AT122" s="123"/>
      <c r="AU122" s="123"/>
      <c r="AV122" s="123"/>
      <c r="AW122" s="123"/>
      <c r="AX122" s="123"/>
      <c r="AY122" s="123"/>
      <c r="AZ122" s="7"/>
    </row>
    <row r="123" spans="1:52" s="18" customFormat="1">
      <c r="A123" s="19">
        <f t="shared" si="125"/>
        <v>2.8062954605637911</v>
      </c>
      <c r="B123" s="26">
        <f t="shared" si="126"/>
        <v>-0.94431256002272668</v>
      </c>
      <c r="C123" s="26">
        <f t="shared" si="127"/>
        <v>-0.46511482540130866</v>
      </c>
      <c r="D123" s="26">
        <f t="shared" si="128"/>
        <v>2.3426271245188532</v>
      </c>
      <c r="E123" s="26">
        <f t="shared" si="129"/>
        <v>0.32904982750842499</v>
      </c>
      <c r="F123" s="77">
        <f t="shared" si="130"/>
        <v>0.96891120792204577</v>
      </c>
      <c r="G123" s="77">
        <f t="shared" si="131"/>
        <v>3.4581941807449439E-2</v>
      </c>
      <c r="H123" s="75">
        <f t="shared" si="132"/>
        <v>1.4618646256957653</v>
      </c>
      <c r="I123" s="75">
        <f t="shared" si="133"/>
        <v>-0.36836040960699223</v>
      </c>
      <c r="J123" s="77">
        <f t="shared" si="134"/>
        <v>-1.0060298583517737</v>
      </c>
      <c r="K123" s="77">
        <f t="shared" si="135"/>
        <v>2.8871208904528003</v>
      </c>
      <c r="L123" s="91">
        <f t="shared" si="136"/>
        <v>3.0573784705175546</v>
      </c>
      <c r="M123" s="93"/>
      <c r="N123" s="75">
        <f t="shared" si="137"/>
        <v>-1.2492840095745805E-11</v>
      </c>
      <c r="O123" s="75">
        <f t="shared" si="123"/>
        <v>-5.778103538065954E-2</v>
      </c>
      <c r="P123" s="75">
        <f t="shared" si="124"/>
        <v>2.8062954605631423</v>
      </c>
      <c r="AF123" s="7"/>
      <c r="AG123" s="7"/>
      <c r="AH123" s="7"/>
      <c r="AI123" s="7"/>
      <c r="AJ123" s="7"/>
      <c r="AK123" s="7"/>
      <c r="AL123" s="7"/>
      <c r="AM123" s="7"/>
      <c r="AN123" s="7"/>
      <c r="AR123" s="92"/>
      <c r="AS123" s="7"/>
      <c r="AT123" s="123"/>
      <c r="AU123" s="123"/>
      <c r="AV123" s="123"/>
      <c r="AW123" s="123"/>
      <c r="AX123" s="123"/>
      <c r="AY123" s="123"/>
      <c r="AZ123" s="7"/>
    </row>
    <row r="124" spans="1:52" s="18" customFormat="1">
      <c r="A124" s="19">
        <f>$P123</f>
        <v>2.8062954605631423</v>
      </c>
      <c r="B124" s="26">
        <f t="shared" si="126"/>
        <v>-0.94431256002251318</v>
      </c>
      <c r="C124" s="26">
        <f t="shared" si="127"/>
        <v>-0.46511482540109517</v>
      </c>
      <c r="D124" s="26">
        <f t="shared" si="128"/>
        <v>2.3426271245166399</v>
      </c>
      <c r="E124" s="26">
        <f t="shared" si="129"/>
        <v>0.32904982750903766</v>
      </c>
      <c r="F124" s="77">
        <f t="shared" si="130"/>
        <v>0.96891120791888141</v>
      </c>
      <c r="G124" s="77">
        <f t="shared" si="131"/>
        <v>3.4581941810969345E-2</v>
      </c>
      <c r="H124" s="75">
        <f t="shared" si="132"/>
        <v>1.4618646256914882</v>
      </c>
      <c r="I124" s="75">
        <f t="shared" si="133"/>
        <v>-0.36836040959471872</v>
      </c>
      <c r="J124" s="77">
        <f t="shared" si="134"/>
        <v>-1.0060298583508229</v>
      </c>
      <c r="K124" s="77">
        <f t="shared" si="135"/>
        <v>2.8871208904440442</v>
      </c>
      <c r="L124" s="91">
        <f t="shared" si="136"/>
        <v>3.057378470508973</v>
      </c>
      <c r="M124" s="93"/>
      <c r="N124" s="75">
        <f t="shared" si="137"/>
        <v>-2.1932455851469967E-13</v>
      </c>
      <c r="O124" s="75">
        <f t="shared" si="123"/>
        <v>-5.7781035367937772E-2</v>
      </c>
      <c r="P124" s="75">
        <f t="shared" si="124"/>
        <v>2.8062954605631307</v>
      </c>
      <c r="AF124" s="7"/>
      <c r="AG124" s="7"/>
      <c r="AH124" s="7"/>
      <c r="AI124" s="7"/>
      <c r="AJ124" s="7"/>
      <c r="AK124" s="7"/>
      <c r="AL124" s="7"/>
      <c r="AM124" s="7"/>
      <c r="AN124" s="7"/>
      <c r="AR124" s="92"/>
      <c r="AS124" s="7"/>
      <c r="AT124" s="123"/>
      <c r="AU124" s="123"/>
      <c r="AV124" s="123"/>
      <c r="AW124" s="123"/>
      <c r="AX124" s="123"/>
      <c r="AY124" s="123"/>
      <c r="AZ124" s="7"/>
    </row>
    <row r="125" spans="1:52" s="18" customFormat="1">
      <c r="A125" s="19">
        <f t="shared" si="125"/>
        <v>2.8062954605631307</v>
      </c>
      <c r="B125" s="26">
        <f t="shared" si="126"/>
        <v>-0.94431256002250941</v>
      </c>
      <c r="C125" s="26">
        <f t="shared" si="127"/>
        <v>-0.46511482540109139</v>
      </c>
      <c r="D125" s="26">
        <f t="shared" si="128"/>
        <v>2.3426271245166004</v>
      </c>
      <c r="E125" s="26">
        <f t="shared" si="129"/>
        <v>0.3290498275090486</v>
      </c>
      <c r="F125" s="77">
        <f t="shared" si="130"/>
        <v>0.96891120791882523</v>
      </c>
      <c r="G125" s="77">
        <f t="shared" si="131"/>
        <v>3.4581941811031837E-2</v>
      </c>
      <c r="H125" s="75">
        <f t="shared" si="132"/>
        <v>1.4618646256914121</v>
      </c>
      <c r="I125" s="75">
        <f t="shared" si="133"/>
        <v>-0.36836040959450012</v>
      </c>
      <c r="J125" s="77">
        <f t="shared" si="134"/>
        <v>-1.0060298583508063</v>
      </c>
      <c r="K125" s="77">
        <f t="shared" si="135"/>
        <v>2.8871208904438888</v>
      </c>
      <c r="L125" s="91">
        <f t="shared" si="136"/>
        <v>3.0573784705088207</v>
      </c>
      <c r="M125" s="93"/>
      <c r="N125" s="75">
        <f t="shared" si="137"/>
        <v>-7.2164496600635175E-16</v>
      </c>
      <c r="O125" s="75">
        <f t="shared" si="123"/>
        <v>-5.7781035367711342E-2</v>
      </c>
      <c r="P125" s="75">
        <f t="shared" si="124"/>
        <v>2.8062954605631307</v>
      </c>
      <c r="AF125" s="7"/>
      <c r="AG125" s="7"/>
      <c r="AH125" s="7"/>
      <c r="AI125" s="7"/>
      <c r="AJ125" s="7"/>
      <c r="AK125" s="7"/>
      <c r="AL125" s="7"/>
      <c r="AM125" s="7"/>
      <c r="AN125" s="7"/>
      <c r="AR125" s="92"/>
      <c r="AS125" s="7"/>
      <c r="AT125" s="123"/>
      <c r="AU125" s="123"/>
      <c r="AV125" s="123"/>
      <c r="AW125" s="123"/>
      <c r="AX125" s="123"/>
      <c r="AY125" s="123"/>
      <c r="AZ125" s="7"/>
    </row>
    <row r="126" spans="1:52" s="18" customFormat="1">
      <c r="A126" s="19">
        <f t="shared" si="125"/>
        <v>2.8062954605631307</v>
      </c>
      <c r="B126" s="26">
        <f t="shared" si="126"/>
        <v>-0.94431256002250941</v>
      </c>
      <c r="C126" s="26">
        <f t="shared" si="127"/>
        <v>-0.46511482540109139</v>
      </c>
      <c r="D126" s="26">
        <f t="shared" si="128"/>
        <v>2.3426271245166004</v>
      </c>
      <c r="E126" s="26">
        <f t="shared" si="129"/>
        <v>0.3290498275090486</v>
      </c>
      <c r="F126" s="77">
        <f t="shared" si="130"/>
        <v>0.96891120791882523</v>
      </c>
      <c r="G126" s="77">
        <f t="shared" si="131"/>
        <v>3.4581941811031837E-2</v>
      </c>
      <c r="H126" s="75">
        <f t="shared" si="132"/>
        <v>1.4618646256914121</v>
      </c>
      <c r="I126" s="75">
        <f t="shared" si="133"/>
        <v>-0.36836040959450012</v>
      </c>
      <c r="J126" s="77">
        <f t="shared" si="134"/>
        <v>-1.0060298583508063</v>
      </c>
      <c r="K126" s="77">
        <f t="shared" si="135"/>
        <v>2.8871208904438888</v>
      </c>
      <c r="L126" s="91">
        <f t="shared" si="136"/>
        <v>3.0573784705088207</v>
      </c>
      <c r="M126" s="93"/>
      <c r="N126" s="75">
        <f t="shared" si="137"/>
        <v>-7.2164496600635175E-16</v>
      </c>
      <c r="O126" s="75">
        <f t="shared" si="123"/>
        <v>-5.7781035367711342E-2</v>
      </c>
      <c r="P126" s="75">
        <f t="shared" si="124"/>
        <v>2.8062954605631307</v>
      </c>
      <c r="AF126" s="7"/>
      <c r="AG126" s="7"/>
      <c r="AH126" s="7"/>
      <c r="AI126" s="7"/>
      <c r="AJ126" s="7"/>
      <c r="AK126" s="7"/>
      <c r="AL126" s="7"/>
      <c r="AM126" s="7"/>
      <c r="AN126" s="7"/>
      <c r="AR126" s="92"/>
      <c r="AS126" s="7"/>
      <c r="AT126" s="123"/>
      <c r="AU126" s="123"/>
      <c r="AV126" s="123"/>
      <c r="AW126" s="123"/>
      <c r="AX126" s="123"/>
      <c r="AY126" s="123"/>
      <c r="AZ126" s="7"/>
    </row>
    <row r="127" spans="1:52" s="18" customFormat="1">
      <c r="A127" s="19">
        <f t="shared" si="125"/>
        <v>2.8062954605631307</v>
      </c>
      <c r="B127" s="26">
        <f t="shared" si="126"/>
        <v>-0.94431256002250941</v>
      </c>
      <c r="C127" s="26">
        <f t="shared" si="127"/>
        <v>-0.46511482540109139</v>
      </c>
      <c r="D127" s="26">
        <f t="shared" si="128"/>
        <v>2.3426271245166004</v>
      </c>
      <c r="E127" s="26">
        <f t="shared" si="129"/>
        <v>0.3290498275090486</v>
      </c>
      <c r="F127" s="77">
        <f t="shared" si="130"/>
        <v>0.96891120791882523</v>
      </c>
      <c r="G127" s="77">
        <f t="shared" si="131"/>
        <v>3.4581941811031837E-2</v>
      </c>
      <c r="H127" s="81">
        <f t="shared" si="132"/>
        <v>1.4618646256914121</v>
      </c>
      <c r="I127" s="81">
        <f t="shared" si="133"/>
        <v>-0.36836040959450012</v>
      </c>
      <c r="J127" s="80">
        <f t="shared" si="134"/>
        <v>-1.0060298583508063</v>
      </c>
      <c r="K127" s="80">
        <f t="shared" si="135"/>
        <v>2.8871208904438888</v>
      </c>
      <c r="L127" s="91">
        <f t="shared" si="136"/>
        <v>3.0573784705088207</v>
      </c>
      <c r="M127" s="93"/>
      <c r="N127" s="75">
        <f t="shared" si="137"/>
        <v>-7.2164496600635175E-16</v>
      </c>
      <c r="O127" s="75">
        <f t="shared" si="123"/>
        <v>-5.7781035367711342E-2</v>
      </c>
      <c r="P127" s="75">
        <f t="shared" si="124"/>
        <v>2.8062954605631307</v>
      </c>
      <c r="AF127" s="7"/>
      <c r="AG127" s="7"/>
      <c r="AH127" s="7"/>
      <c r="AI127" s="7"/>
      <c r="AJ127" s="7"/>
      <c r="AK127" s="7"/>
      <c r="AL127" s="7"/>
      <c r="AM127" s="7"/>
      <c r="AN127" s="7"/>
      <c r="AR127" s="92"/>
      <c r="AS127" s="7"/>
      <c r="AT127" s="123"/>
      <c r="AU127" s="123"/>
      <c r="AV127" s="123"/>
      <c r="AW127" s="123"/>
      <c r="AX127" s="123"/>
      <c r="AY127" s="123"/>
      <c r="AZ127" s="7"/>
    </row>
    <row r="128" spans="1:52" s="18" customFormat="1">
      <c r="A128" s="88" t="s">
        <v>60</v>
      </c>
      <c r="B128" s="8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AF128" s="7"/>
      <c r="AG128" s="7"/>
      <c r="AH128" s="7"/>
      <c r="AI128" s="7"/>
      <c r="AJ128" s="7"/>
      <c r="AK128" s="7"/>
      <c r="AL128" s="7"/>
      <c r="AM128" s="7"/>
      <c r="AN128" s="7"/>
      <c r="AR128" s="92"/>
      <c r="AS128" s="7"/>
      <c r="AT128" s="123"/>
      <c r="AU128" s="123"/>
      <c r="AV128" s="123"/>
      <c r="AW128" s="123"/>
      <c r="AX128" s="123"/>
      <c r="AY128" s="123"/>
      <c r="AZ128" s="7"/>
    </row>
    <row r="129" spans="1:52" s="18" customFormat="1">
      <c r="A129" s="26" t="s">
        <v>11</v>
      </c>
      <c r="B129" s="26" t="s">
        <v>13</v>
      </c>
      <c r="C129" s="26" t="s">
        <v>22</v>
      </c>
      <c r="D129" s="26" t="s">
        <v>18</v>
      </c>
      <c r="E129" s="26" t="s">
        <v>19</v>
      </c>
      <c r="F129" s="26" t="s">
        <v>20</v>
      </c>
      <c r="G129" s="26" t="s">
        <v>2</v>
      </c>
      <c r="H129" s="26" t="s">
        <v>1</v>
      </c>
      <c r="I129" s="26" t="s">
        <v>0</v>
      </c>
      <c r="J129" s="76" t="s">
        <v>3</v>
      </c>
      <c r="K129" s="76" t="s">
        <v>4</v>
      </c>
      <c r="L129" s="44" t="s">
        <v>7</v>
      </c>
      <c r="M129" s="28"/>
      <c r="N129" s="28"/>
      <c r="O129" s="28"/>
      <c r="P129" s="31"/>
      <c r="AF129" s="7"/>
      <c r="AG129" s="7"/>
      <c r="AH129" s="7"/>
      <c r="AI129" s="7"/>
      <c r="AJ129" s="7"/>
      <c r="AK129" s="7"/>
      <c r="AL129" s="7"/>
      <c r="AM129" s="7"/>
      <c r="AN129" s="7"/>
      <c r="AR129" s="92"/>
      <c r="AS129" s="7"/>
      <c r="AT129" s="123"/>
      <c r="AU129" s="123"/>
      <c r="AV129" s="123"/>
      <c r="AW129" s="123"/>
      <c r="AX129" s="123"/>
      <c r="AY129" s="123"/>
      <c r="AZ129" s="7"/>
    </row>
    <row r="130" spans="1:52" s="18" customFormat="1">
      <c r="A130" s="19">
        <f>$E114</f>
        <v>2.8125271212353846</v>
      </c>
      <c r="B130" s="26">
        <f t="shared" ref="B130:B135" si="138">COS(A130)</f>
        <v>-0.94634473815398734</v>
      </c>
      <c r="C130" s="26">
        <f t="shared" ref="C130:C135" si="139">($C$114+B130)</f>
        <v>-0.46714700353256933</v>
      </c>
      <c r="D130" s="26">
        <f t="shared" ref="D130:D135" si="140">POWER(TAN(A130/2),$C$114)</f>
        <v>2.3641780327515161</v>
      </c>
      <c r="E130" s="26">
        <f t="shared" ref="E130:E135" si="141">SIN(A130)</f>
        <v>0.32315884108014314</v>
      </c>
      <c r="F130" s="77">
        <f t="shared" ref="F130:F135" si="142">(C130*$H$114*D130/E130/$I$114/$J$114)</f>
        <v>1</v>
      </c>
      <c r="G130" s="77">
        <f t="shared" ref="G130:G135" si="143">$D$114*($C$114+$G$114)/9.81/SIN($C$111)/(1-$C$114*$C$111)*(F130-1)</f>
        <v>0</v>
      </c>
      <c r="H130" s="99">
        <f t="shared" ref="H130:H135" si="144">-(-$H$111+$K$114*((POWER(TAN(A130/2),2*$C$114-1)/(2*$C$114-1))+(POWER(TAN(A130/2),2*$C$114+1)/(2*$C$114+1))-(POWER(TAN($E$114/2),2*$C$114-1)/(2*$C$114-1))-(POWER(TAN($E$114/2),2*$C$114+1)/(2*$C$114+1))))</f>
        <v>1.5040801959525505</v>
      </c>
      <c r="I130" s="99">
        <f t="shared" ref="I130:I135" si="145">-(-$I$111+0.5*$K$114*((POWER(TAN(A130/2),2*$C$114-2)/(2*$C$114-2))-(POWER(TAN(A130/2),2*$C$114+2)/(2*$C$114+2))-(POWER(TAN($E$114/2),2*$C$114-2)/(2*$C$114-2))+(POWER(TAN($E$114/2),2*$C$114+2)/(2*$C$114+2))))</f>
        <v>-0.49075210650337375</v>
      </c>
      <c r="J130" s="77">
        <f t="shared" ref="J130:J135" si="146">-$D$114*SIN(A130)*($C$114+$G$114)/($C$114+B130)*F130</f>
        <v>-1.0152847913838972</v>
      </c>
      <c r="K130" s="77">
        <f t="shared" ref="K130:K135" si="147">-$D$114*COS(A130)*($C$114+$G$114)/($C$114+B130)*F130</f>
        <v>2.9731800523929963</v>
      </c>
      <c r="L130" s="91">
        <f t="shared" ref="L130:L135" si="148">SQRT(J130*J130+K130*K130)</f>
        <v>3.1417515547164232</v>
      </c>
      <c r="M130" s="28"/>
      <c r="N130" s="28"/>
      <c r="O130" s="28"/>
      <c r="P130" s="31"/>
      <c r="T130" s="92"/>
      <c r="U130" s="92"/>
      <c r="AF130" s="7"/>
      <c r="AG130" s="7"/>
      <c r="AH130" s="7"/>
      <c r="AI130" s="7"/>
      <c r="AJ130" s="7"/>
      <c r="AK130" s="7"/>
      <c r="AL130" s="7"/>
      <c r="AM130" s="7"/>
      <c r="AN130" s="7"/>
      <c r="AR130" s="92"/>
      <c r="AS130" s="7"/>
      <c r="AT130" s="123"/>
      <c r="AU130" s="123"/>
      <c r="AV130" s="123"/>
      <c r="AW130" s="123"/>
      <c r="AX130" s="123"/>
      <c r="AY130" s="123"/>
      <c r="AZ130" s="7"/>
    </row>
    <row r="131" spans="1:52" s="18" customFormat="1">
      <c r="A131" s="20">
        <f>A130-$F$114</f>
        <v>2.8113007891009341</v>
      </c>
      <c r="B131" s="26">
        <f t="shared" si="138"/>
        <v>-0.94594772658262749</v>
      </c>
      <c r="C131" s="26">
        <f t="shared" si="139"/>
        <v>-0.46674999196120948</v>
      </c>
      <c r="D131" s="26">
        <f t="shared" si="140"/>
        <v>2.3598904319693284</v>
      </c>
      <c r="E131" s="26">
        <f t="shared" si="141"/>
        <v>0.3243191307541981</v>
      </c>
      <c r="F131" s="77">
        <f t="shared" si="142"/>
        <v>0.99377001374440432</v>
      </c>
      <c r="G131" s="77">
        <f t="shared" si="143"/>
        <v>6.9299901267311217E-3</v>
      </c>
      <c r="H131" s="99">
        <f t="shared" si="144"/>
        <v>1.4955895621306845</v>
      </c>
      <c r="I131" s="99">
        <f t="shared" si="145"/>
        <v>-0.46593761056997274</v>
      </c>
      <c r="J131" s="77">
        <f t="shared" si="146"/>
        <v>-1.0134435020201624</v>
      </c>
      <c r="K131" s="77">
        <f t="shared" si="147"/>
        <v>2.9559297798022355</v>
      </c>
      <c r="L131" s="91">
        <f t="shared" si="148"/>
        <v>3.1248341707854808</v>
      </c>
      <c r="M131" s="28"/>
      <c r="N131" s="28"/>
      <c r="O131" s="28"/>
      <c r="P131" s="31"/>
      <c r="AF131" s="7"/>
      <c r="AG131" s="7"/>
      <c r="AH131" s="7"/>
      <c r="AI131" s="7"/>
      <c r="AJ131" s="7"/>
      <c r="AK131" s="7"/>
      <c r="AL131" s="7"/>
      <c r="AM131" s="7"/>
      <c r="AN131" s="7"/>
      <c r="AR131" s="92"/>
      <c r="AS131" s="7"/>
      <c r="AT131" s="123"/>
      <c r="AU131" s="123"/>
      <c r="AV131" s="123"/>
      <c r="AW131" s="123"/>
      <c r="AX131" s="123"/>
      <c r="AY131" s="123"/>
      <c r="AZ131" s="7"/>
    </row>
    <row r="132" spans="1:52" s="18" customFormat="1">
      <c r="A132" s="20">
        <f>A131-$F$114</f>
        <v>2.8100744569664835</v>
      </c>
      <c r="B132" s="26">
        <f t="shared" si="138"/>
        <v>-0.94554929240964269</v>
      </c>
      <c r="C132" s="26">
        <f t="shared" si="139"/>
        <v>-0.46635155778822468</v>
      </c>
      <c r="D132" s="26">
        <f t="shared" si="140"/>
        <v>2.3556258743025937</v>
      </c>
      <c r="E132" s="26">
        <f t="shared" si="141"/>
        <v>0.32547893268785322</v>
      </c>
      <c r="F132" s="77">
        <f t="shared" si="142"/>
        <v>0.98759563431568476</v>
      </c>
      <c r="G132" s="77">
        <f t="shared" si="143"/>
        <v>1.3798125420173619E-2</v>
      </c>
      <c r="H132" s="99">
        <f t="shared" si="144"/>
        <v>1.4871899466907805</v>
      </c>
      <c r="I132" s="99">
        <f t="shared" si="145"/>
        <v>-0.4414870556017817</v>
      </c>
      <c r="J132" s="77">
        <f t="shared" si="146"/>
        <v>-1.0116121084106142</v>
      </c>
      <c r="K132" s="77">
        <f t="shared" si="147"/>
        <v>2.938835719416689</v>
      </c>
      <c r="L132" s="91">
        <f t="shared" si="148"/>
        <v>3.1080724643422291</v>
      </c>
      <c r="M132" s="45"/>
      <c r="N132" s="28"/>
      <c r="O132" s="28"/>
      <c r="P132" s="31"/>
      <c r="AF132" s="7"/>
      <c r="AG132" s="7"/>
      <c r="AH132" s="7"/>
      <c r="AI132" s="7"/>
      <c r="AJ132" s="7"/>
      <c r="AK132" s="7"/>
      <c r="AL132" s="7"/>
      <c r="AM132" s="7"/>
      <c r="AN132" s="7"/>
      <c r="AR132" s="92"/>
      <c r="AS132" s="7"/>
      <c r="AT132" s="123"/>
      <c r="AU132" s="123"/>
      <c r="AV132" s="123"/>
      <c r="AW132" s="123"/>
      <c r="AX132" s="123"/>
      <c r="AY132" s="123"/>
      <c r="AZ132" s="7"/>
    </row>
    <row r="133" spans="1:52" s="18" customFormat="1">
      <c r="A133" s="20">
        <f>A132-$F$114</f>
        <v>2.8088481248320329</v>
      </c>
      <c r="B133" s="26">
        <f t="shared" si="138"/>
        <v>-0.9451494362342342</v>
      </c>
      <c r="C133" s="26">
        <f t="shared" si="139"/>
        <v>-0.46595170161281618</v>
      </c>
      <c r="D133" s="26">
        <f t="shared" si="140"/>
        <v>2.3513841480900846</v>
      </c>
      <c r="E133" s="26">
        <f t="shared" si="141"/>
        <v>0.32663824513689355</v>
      </c>
      <c r="F133" s="77">
        <f t="shared" si="142"/>
        <v>0.98147615150680589</v>
      </c>
      <c r="G133" s="77">
        <f t="shared" si="143"/>
        <v>2.0605195886523556E-2</v>
      </c>
      <c r="H133" s="99">
        <f t="shared" si="144"/>
        <v>1.4788800298394562</v>
      </c>
      <c r="I133" s="99">
        <f t="shared" si="145"/>
        <v>-0.41739380349966526</v>
      </c>
      <c r="J133" s="77">
        <f t="shared" si="146"/>
        <v>-1.0097905196583652</v>
      </c>
      <c r="K133" s="77">
        <f t="shared" si="147"/>
        <v>2.9218958728173106</v>
      </c>
      <c r="L133" s="91">
        <f t="shared" si="148"/>
        <v>3.0914644402254967</v>
      </c>
      <c r="M133" s="45"/>
      <c r="N133" s="28"/>
      <c r="O133" s="28"/>
      <c r="P133" s="31"/>
      <c r="AF133" s="7"/>
      <c r="AG133" s="7"/>
      <c r="AH133" s="7"/>
      <c r="AI133" s="7"/>
      <c r="AJ133" s="7"/>
      <c r="AK133" s="7"/>
      <c r="AL133" s="7"/>
      <c r="AM133" s="7"/>
      <c r="AN133" s="7"/>
      <c r="AR133" s="92"/>
      <c r="AS133" s="7"/>
      <c r="AT133" s="123"/>
      <c r="AU133" s="123"/>
      <c r="AV133" s="123"/>
      <c r="AW133" s="123"/>
      <c r="AX133" s="123"/>
      <c r="AY133" s="123"/>
      <c r="AZ133" s="7"/>
    </row>
    <row r="134" spans="1:52" s="18" customFormat="1">
      <c r="A134" s="20">
        <f>A133-$F$114</f>
        <v>2.8076217926975824</v>
      </c>
      <c r="B134" s="26">
        <f t="shared" si="138"/>
        <v>-0.94474815865774175</v>
      </c>
      <c r="C134" s="26">
        <f t="shared" si="139"/>
        <v>-0.46555042403632374</v>
      </c>
      <c r="D134" s="26">
        <f t="shared" si="140"/>
        <v>2.3471650443782499</v>
      </c>
      <c r="E134" s="26">
        <f t="shared" si="141"/>
        <v>0.32779706635784034</v>
      </c>
      <c r="F134" s="77">
        <f t="shared" si="142"/>
        <v>0.97541086676714284</v>
      </c>
      <c r="G134" s="77">
        <f t="shared" si="143"/>
        <v>2.7351978565847302E-2</v>
      </c>
      <c r="H134" s="99">
        <f t="shared" si="144"/>
        <v>1.47065851572783</v>
      </c>
      <c r="I134" s="99">
        <f t="shared" si="145"/>
        <v>-0.39365136100237708</v>
      </c>
      <c r="J134" s="77">
        <f t="shared" si="146"/>
        <v>-1.0079786460293254</v>
      </c>
      <c r="K134" s="77">
        <f t="shared" si="147"/>
        <v>2.9051082744070809</v>
      </c>
      <c r="L134" s="91">
        <f t="shared" si="148"/>
        <v>3.0750081360672201</v>
      </c>
      <c r="M134" s="45"/>
      <c r="N134" s="28"/>
      <c r="O134" s="28"/>
      <c r="P134" s="89"/>
      <c r="AF134" s="7"/>
      <c r="AG134" s="7"/>
      <c r="AH134" s="7"/>
      <c r="AI134" s="7"/>
      <c r="AJ134" s="7"/>
      <c r="AK134" s="7"/>
      <c r="AL134" s="7"/>
      <c r="AM134" s="7"/>
      <c r="AN134" s="7"/>
      <c r="AR134" s="92"/>
      <c r="AS134" s="7"/>
      <c r="AT134" s="123"/>
      <c r="AU134" s="123"/>
      <c r="AV134" s="123"/>
      <c r="AW134" s="123"/>
      <c r="AX134" s="123"/>
      <c r="AY134" s="123"/>
      <c r="AZ134" s="7"/>
    </row>
    <row r="135" spans="1:52" s="18" customFormat="1">
      <c r="A135" s="20">
        <f>A134-$F$114</f>
        <v>2.8063954605631318</v>
      </c>
      <c r="B135" s="26">
        <f t="shared" si="138"/>
        <v>-0.94434546028364297</v>
      </c>
      <c r="C135" s="26">
        <f t="shared" si="139"/>
        <v>-0.46514772566222495</v>
      </c>
      <c r="D135" s="26">
        <f t="shared" si="140"/>
        <v>2.3429683568767956</v>
      </c>
      <c r="E135" s="26">
        <f t="shared" si="141"/>
        <v>0.32895539460795353</v>
      </c>
      <c r="F135" s="77">
        <f t="shared" si="142"/>
        <v>0.96939909296914861</v>
      </c>
      <c r="G135" s="77">
        <f t="shared" si="143"/>
        <v>3.4039237791631483E-2</v>
      </c>
      <c r="H135" s="99">
        <f t="shared" si="144"/>
        <v>1.4625241319309235</v>
      </c>
      <c r="I135" s="99">
        <f t="shared" si="145"/>
        <v>-0.37025337601076436</v>
      </c>
      <c r="J135" s="77">
        <f t="shared" si="146"/>
        <v>-1.0061763989331294</v>
      </c>
      <c r="K135" s="77">
        <f t="shared" si="147"/>
        <v>2.8884709907538046</v>
      </c>
      <c r="L135" s="91">
        <f t="shared" si="148"/>
        <v>3.0587016216356093</v>
      </c>
      <c r="M135" s="45"/>
      <c r="N135" s="28"/>
      <c r="O135" s="28"/>
      <c r="P135" s="28"/>
      <c r="AF135" s="7"/>
      <c r="AG135" s="7"/>
      <c r="AH135" s="7"/>
      <c r="AI135" s="7"/>
      <c r="AJ135" s="7"/>
      <c r="AK135" s="7"/>
      <c r="AL135" s="7"/>
      <c r="AM135" s="7"/>
      <c r="AN135" s="7"/>
      <c r="AR135" s="92"/>
      <c r="AS135" s="7"/>
      <c r="AT135" s="123"/>
      <c r="AU135" s="123"/>
      <c r="AV135" s="123"/>
      <c r="AW135" s="123"/>
      <c r="AX135" s="123"/>
      <c r="AY135" s="123"/>
      <c r="AZ135" s="7"/>
    </row>
    <row r="136" spans="1:52" s="1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AF136" s="7"/>
      <c r="AG136" s="7"/>
      <c r="AH136" s="7"/>
      <c r="AI136" s="7"/>
      <c r="AJ136" s="7"/>
      <c r="AK136" s="7"/>
      <c r="AL136" s="7"/>
      <c r="AM136" s="7"/>
      <c r="AN136" s="7"/>
      <c r="AR136" s="92"/>
      <c r="AS136" s="7"/>
      <c r="AT136" s="123"/>
      <c r="AU136" s="123"/>
      <c r="AV136" s="123"/>
      <c r="AW136" s="123"/>
      <c r="AX136" s="123"/>
      <c r="AY136" s="123"/>
      <c r="AZ136" s="7"/>
    </row>
    <row r="137" spans="1:52" s="18" customFormat="1">
      <c r="A137" s="88" t="s">
        <v>73</v>
      </c>
      <c r="B137" s="88"/>
      <c r="C137" s="23" t="str">
        <f>CONCATENATE("m",Stufengrün!AH45)</f>
        <v>m-3</v>
      </c>
      <c r="D137" s="23" t="s">
        <v>30</v>
      </c>
      <c r="E137" s="28"/>
      <c r="F137" s="28"/>
      <c r="G137" s="28"/>
      <c r="H137" s="36" t="s">
        <v>57</v>
      </c>
      <c r="I137" s="36" t="s">
        <v>51</v>
      </c>
      <c r="J137" s="36" t="s">
        <v>58</v>
      </c>
      <c r="K137" s="36" t="s">
        <v>59</v>
      </c>
      <c r="L137" s="28"/>
      <c r="M137" s="28"/>
      <c r="N137" s="28"/>
      <c r="O137" s="28"/>
      <c r="P137" s="28"/>
      <c r="AF137" s="7"/>
      <c r="AG137" s="7"/>
      <c r="AH137" s="7"/>
      <c r="AI137" s="7"/>
      <c r="AJ137" s="7"/>
      <c r="AK137" s="7"/>
      <c r="AL137" s="7"/>
      <c r="AM137" s="7"/>
      <c r="AN137" s="7"/>
      <c r="AR137" s="92"/>
      <c r="AS137" s="7"/>
      <c r="AT137" s="123"/>
      <c r="AU137" s="123"/>
      <c r="AV137" s="123"/>
      <c r="AW137" s="123"/>
      <c r="AX137" s="123"/>
      <c r="AY137" s="123"/>
      <c r="AZ137" s="7"/>
    </row>
    <row r="138" spans="1:52" s="18" customFormat="1">
      <c r="A138" s="88" t="s">
        <v>69</v>
      </c>
      <c r="B138" s="88"/>
      <c r="C138" s="36">
        <f>Stufengrün!AI45</f>
        <v>0.20050769073300986</v>
      </c>
      <c r="D138" s="26">
        <f>Stufengrün!AK45</f>
        <v>-0.27035186996590777</v>
      </c>
      <c r="E138" s="28"/>
      <c r="F138" s="28"/>
      <c r="G138" s="28"/>
      <c r="H138" s="78">
        <f>H127</f>
        <v>1.4618646256914121</v>
      </c>
      <c r="I138" s="78">
        <f>I127</f>
        <v>-0.36836040959450012</v>
      </c>
      <c r="J138" s="78">
        <f>J127</f>
        <v>-1.0060298583508063</v>
      </c>
      <c r="K138" s="78">
        <f>K127</f>
        <v>2.8871208904438888</v>
      </c>
      <c r="L138" s="28"/>
      <c r="M138" s="28"/>
      <c r="N138" s="28"/>
      <c r="O138" s="28"/>
      <c r="P138" s="28"/>
      <c r="AF138" s="7"/>
      <c r="AG138" s="7"/>
      <c r="AH138" s="7"/>
      <c r="AI138" s="7"/>
      <c r="AJ138" s="7"/>
      <c r="AK138" s="7"/>
      <c r="AL138" s="7"/>
      <c r="AM138" s="7"/>
      <c r="AN138" s="7"/>
      <c r="AR138" s="92"/>
      <c r="AS138" s="7"/>
      <c r="AT138" s="123"/>
      <c r="AU138" s="123"/>
      <c r="AV138" s="123"/>
      <c r="AW138" s="123"/>
      <c r="AX138" s="123"/>
      <c r="AY138" s="123"/>
      <c r="AZ138" s="7"/>
    </row>
    <row r="139" spans="1:52" s="18" customFormat="1">
      <c r="A139" s="95"/>
      <c r="B139" s="95"/>
      <c r="C139" s="28"/>
      <c r="D139" s="28"/>
      <c r="E139" s="28"/>
      <c r="F139" s="28"/>
      <c r="G139" s="28"/>
      <c r="H139" s="37" t="s">
        <v>8</v>
      </c>
      <c r="I139" s="37" t="s">
        <v>8</v>
      </c>
      <c r="J139" s="37" t="s">
        <v>9</v>
      </c>
      <c r="K139" s="37" t="s">
        <v>9</v>
      </c>
      <c r="L139" s="28"/>
      <c r="M139" s="28"/>
      <c r="N139" s="28"/>
      <c r="O139" s="28"/>
      <c r="P139" s="28"/>
      <c r="AF139" s="7"/>
      <c r="AG139" s="7"/>
      <c r="AH139" s="7"/>
      <c r="AI139" s="7"/>
      <c r="AJ139" s="7"/>
      <c r="AK139" s="7"/>
      <c r="AL139" s="7"/>
      <c r="AM139" s="7"/>
      <c r="AN139" s="7"/>
      <c r="AR139" s="92"/>
      <c r="AS139" s="7"/>
      <c r="AT139" s="123"/>
      <c r="AU139" s="123"/>
      <c r="AV139" s="123"/>
      <c r="AW139" s="123"/>
      <c r="AX139" s="123"/>
      <c r="AY139" s="123"/>
      <c r="AZ139" s="7"/>
    </row>
    <row r="140" spans="1:52" s="18" customFormat="1">
      <c r="A140" s="88" t="s">
        <v>68</v>
      </c>
      <c r="B140" s="88"/>
      <c r="C140" s="115" t="s">
        <v>15</v>
      </c>
      <c r="D140" s="115" t="s">
        <v>55</v>
      </c>
      <c r="E140" s="115" t="s">
        <v>12</v>
      </c>
      <c r="F140" s="115" t="s">
        <v>10</v>
      </c>
      <c r="G140" s="115" t="s">
        <v>14</v>
      </c>
      <c r="H140" s="115" t="s">
        <v>21</v>
      </c>
      <c r="I140" s="115" t="s">
        <v>16</v>
      </c>
      <c r="J140" s="115" t="s">
        <v>17</v>
      </c>
      <c r="K140" s="115" t="s">
        <v>23</v>
      </c>
      <c r="L140" s="28"/>
      <c r="M140" s="28"/>
      <c r="N140" s="28"/>
      <c r="O140" s="28"/>
      <c r="P140" s="28"/>
      <c r="AF140" s="7"/>
      <c r="AG140" s="7"/>
      <c r="AH140" s="7"/>
      <c r="AI140" s="7"/>
      <c r="AJ140" s="7"/>
      <c r="AK140" s="7"/>
      <c r="AL140" s="7"/>
      <c r="AM140" s="7"/>
      <c r="AN140" s="7"/>
      <c r="AR140" s="92"/>
      <c r="AS140" s="7"/>
      <c r="AT140" s="123"/>
      <c r="AU140" s="123"/>
      <c r="AV140" s="123"/>
      <c r="AW140" s="123"/>
      <c r="AX140" s="123"/>
      <c r="AY140" s="123"/>
      <c r="AZ140" s="7"/>
    </row>
    <row r="141" spans="1:52" s="18" customFormat="1">
      <c r="A141" s="28"/>
      <c r="B141" s="28"/>
      <c r="C141" s="23">
        <f>Mü/TAN($C138)</f>
        <v>0.3444226903742672</v>
      </c>
      <c r="D141" s="42">
        <f>SQRT($J138*$J138+$K138*$K138)</f>
        <v>3.0573784705088207</v>
      </c>
      <c r="E141" s="20">
        <f>ATAN($J138/$K138)+PI()</f>
        <v>2.8062954605631307</v>
      </c>
      <c r="F141" s="23">
        <f>($E141-A154-0.0001)/5</f>
        <v>1.4666801959897203E-3</v>
      </c>
      <c r="G141" s="23">
        <f>COS($E141)</f>
        <v>-0.94431256002250941</v>
      </c>
      <c r="H141" s="23">
        <f>SIN($E141)</f>
        <v>0.3290498275090486</v>
      </c>
      <c r="I141" s="23">
        <f>$C141+$G141</f>
        <v>-0.5998898696482422</v>
      </c>
      <c r="J141" s="23">
        <f>POWER(TAN($E141/2),$C141)</f>
        <v>1.8438416715305459</v>
      </c>
      <c r="K141" s="23">
        <f>-$D141*$D141*SIN($E141)*SIN($E141)/(2*9.81*SIN($C138)*POWER(TAN($E141/2),2*$C141))</f>
        <v>-7.618305336447978E-2</v>
      </c>
      <c r="L141" s="28"/>
      <c r="M141" s="28"/>
      <c r="N141" s="28"/>
      <c r="O141" s="28"/>
      <c r="P141" s="28"/>
      <c r="AF141" s="7"/>
      <c r="AG141" s="7"/>
      <c r="AH141" s="7"/>
      <c r="AI141" s="7"/>
      <c r="AJ141" s="7"/>
      <c r="AK141" s="7"/>
      <c r="AL141" s="7"/>
      <c r="AM141" s="7"/>
      <c r="AN141" s="7"/>
      <c r="AR141" s="92"/>
      <c r="AS141" s="7"/>
      <c r="AT141" s="123"/>
      <c r="AU141" s="123"/>
      <c r="AV141" s="123"/>
      <c r="AW141" s="123"/>
      <c r="AX141" s="123"/>
      <c r="AY141" s="123"/>
      <c r="AZ141" s="7"/>
    </row>
    <row r="142" spans="1:52" s="18" customFormat="1">
      <c r="A142" s="88" t="s">
        <v>70</v>
      </c>
      <c r="B142" s="8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45"/>
      <c r="N142" s="28"/>
      <c r="O142" s="28"/>
      <c r="P142" s="28"/>
      <c r="AF142" s="7"/>
      <c r="AG142" s="7"/>
      <c r="AH142" s="7"/>
      <c r="AI142" s="7"/>
      <c r="AJ142" s="7"/>
      <c r="AK142" s="7"/>
      <c r="AL142" s="7"/>
      <c r="AM142" s="7"/>
      <c r="AN142" s="7"/>
      <c r="AR142" s="92"/>
      <c r="AS142" s="7"/>
      <c r="AT142" s="123"/>
      <c r="AU142" s="123"/>
      <c r="AV142" s="123"/>
      <c r="AW142" s="123"/>
      <c r="AX142" s="123"/>
      <c r="AY142" s="123"/>
      <c r="AZ142" s="7"/>
    </row>
    <row r="143" spans="1:52" s="18" customFormat="1">
      <c r="A143" s="115" t="s">
        <v>11</v>
      </c>
      <c r="B143" s="115" t="s">
        <v>13</v>
      </c>
      <c r="C143" s="26" t="s">
        <v>22</v>
      </c>
      <c r="D143" s="26" t="s">
        <v>18</v>
      </c>
      <c r="E143" s="115" t="s">
        <v>19</v>
      </c>
      <c r="F143" s="26" t="s">
        <v>20</v>
      </c>
      <c r="G143" s="26" t="s">
        <v>2</v>
      </c>
      <c r="H143" s="26" t="s">
        <v>65</v>
      </c>
      <c r="I143" s="26" t="s">
        <v>66</v>
      </c>
      <c r="J143" s="76" t="s">
        <v>3</v>
      </c>
      <c r="K143" s="76" t="s">
        <v>4</v>
      </c>
      <c r="L143" s="116" t="s">
        <v>7</v>
      </c>
      <c r="M143" s="93"/>
      <c r="N143" s="26" t="s">
        <v>61</v>
      </c>
      <c r="O143" s="26" t="s">
        <v>62</v>
      </c>
      <c r="P143" s="115" t="s">
        <v>63</v>
      </c>
      <c r="AF143" s="7"/>
      <c r="AG143" s="7"/>
      <c r="AH143" s="7"/>
      <c r="AI143" s="7"/>
      <c r="AJ143" s="7"/>
      <c r="AK143" s="7"/>
      <c r="AL143" s="7"/>
      <c r="AM143" s="7"/>
      <c r="AN143" s="7"/>
      <c r="AR143" s="92"/>
      <c r="AS143" s="7"/>
      <c r="AT143" s="123"/>
      <c r="AU143" s="123"/>
      <c r="AV143" s="123"/>
      <c r="AW143" s="123"/>
      <c r="AX143" s="123"/>
      <c r="AY143" s="123"/>
      <c r="AZ143" s="7"/>
    </row>
    <row r="144" spans="1:52" s="18" customFormat="1">
      <c r="A144" s="19">
        <f>$E141</f>
        <v>2.8062954605631307</v>
      </c>
      <c r="B144" s="26">
        <f>COS(A144)</f>
        <v>-0.94431256002250941</v>
      </c>
      <c r="C144" s="26">
        <f>($C$141+B144)</f>
        <v>-0.5998898696482422</v>
      </c>
      <c r="D144" s="26">
        <f>POWER(TAN(A144/2),$C$141)</f>
        <v>1.8438416715305459</v>
      </c>
      <c r="E144" s="26">
        <f>SIN(A144)</f>
        <v>0.3290498275090486</v>
      </c>
      <c r="F144" s="77">
        <f>(C144*$H$141*D144/E144/$I$141/$J$141)</f>
        <v>0.99999999999999989</v>
      </c>
      <c r="G144" s="77">
        <f>$D$141*($C$141+$G$141)/9.81/SIN($C$138)/(1-$C$141*$C$138)*(F144-1)</f>
        <v>1.119496836076367E-16</v>
      </c>
      <c r="H144" s="75">
        <f>-(-$H$138+$K$141*((POWER(TAN(A144/2),2*$C$141-1)/(2*$C$141-1))+(POWER(TAN(A144/2),2*$C$141+1)/(2*$C$141+1))-(POWER(TAN($E$141/2),2*$C$141-1)/(2*$C$141-1))-(POWER(TAN($E$141/2),2*$C$141+1)/(2*$C$141+1))))</f>
        <v>1.4618646256914121</v>
      </c>
      <c r="I144" s="75">
        <f>-(-$I$138+0.5*$K$141*((POWER(TAN(A144/2),2*$C$141-2)/(2*$C$141-2))-(POWER(TAN(A144/2),2*$C$141+2)/(2*$C$141+2))-(POWER(TAN($E$141/2),2*$C$141-2)/(2*$C$141-2))+(POWER(TAN($E$141/2),2*$C$141+2)/(2*$C$141+2))))</f>
        <v>-0.36836040959450012</v>
      </c>
      <c r="J144" s="77">
        <f>-$D$141*SIN(A144)*($C$141+$G$141)/($C$141+B144)*F144</f>
        <v>-1.006029858350806</v>
      </c>
      <c r="K144" s="77">
        <f>-$D$141*COS(A144)*($C$141+$G$141)/($C$141+B144)*F144</f>
        <v>2.8871208904438883</v>
      </c>
      <c r="L144" s="91">
        <f>SQRT(J144*J144+K144*K144)</f>
        <v>3.0573784705088203</v>
      </c>
      <c r="M144" s="93"/>
      <c r="N144" s="75">
        <f>-(-$I$138+0.5*$K$141*((POWER(TAN(A144/2),2*$C$141-2)/(2*$C$141-2))-(POWER(TAN(A144/2),2*$C$141+2)/(2*$C$141+2))-(POWER(TAN($E$141/2),2*$C$141-2)/(2*$C$141-2))+(POWER(TAN($E$141/2),2*$C$141+2)/(2*$C$141+2))))-$D$138</f>
        <v>-9.800853962859235E-2</v>
      </c>
      <c r="O144" s="75">
        <f>-(-$I$138+0.5*$K$141*((POWER(TAN((A144+$M$9)/2),2*$C$141-2)/(2*$C$141-2))-(POWER(TAN((A144+$M$9)/2),2*$C$141+2)/(2*$C$141+2))-(POWER(TAN($E$141/2),2*$C$141-2)/(2*$C$141-2))+(POWER(TAN($E$141/2),2*$C$141+2)/(2*$C$141+2))))-$D$138</f>
        <v>-0.13989062937250429</v>
      </c>
      <c r="P144" s="75">
        <f>A144-N144/(O144-N144)*$M$9</f>
        <v>2.7992751418377853</v>
      </c>
      <c r="AF144" s="7"/>
      <c r="AG144" s="7"/>
      <c r="AH144" s="7"/>
      <c r="AI144" s="7"/>
      <c r="AJ144" s="7"/>
      <c r="AK144" s="7"/>
      <c r="AL144" s="7"/>
      <c r="AM144" s="7"/>
      <c r="AN144" s="7"/>
      <c r="AR144" s="92"/>
      <c r="AS144" s="7"/>
      <c r="AT144" s="123"/>
      <c r="AU144" s="123"/>
      <c r="AV144" s="123"/>
      <c r="AW144" s="123"/>
      <c r="AX144" s="123"/>
      <c r="AY144" s="123"/>
      <c r="AZ144" s="7"/>
    </row>
    <row r="145" spans="1:52" s="18" customFormat="1">
      <c r="A145" s="19">
        <f>$P144</f>
        <v>2.7992751418377853</v>
      </c>
      <c r="B145" s="26">
        <f t="shared" ref="B145:B154" si="149">COS(A145)</f>
        <v>-0.94197927426411954</v>
      </c>
      <c r="C145" s="26">
        <f t="shared" ref="C145:C154" si="150">($C$141+B145)</f>
        <v>-0.59755658388985233</v>
      </c>
      <c r="D145" s="26">
        <f t="shared" ref="D145:D154" si="151">POWER(TAN(A145/2),$C$141)</f>
        <v>1.8304758204780323</v>
      </c>
      <c r="E145" s="26">
        <f t="shared" ref="E145:E154" si="152">SIN(A145)</f>
        <v>0.33567103964572631</v>
      </c>
      <c r="F145" s="77">
        <f t="shared" ref="F145:F154" si="153">(C145*$H$141*D145/E145/$I$141/$J$141)</f>
        <v>0.96938360893197073</v>
      </c>
      <c r="G145" s="77">
        <f t="shared" ref="G145:G154" si="154">$D$141*($C$141+$G$141)/9.81/SIN($C$138)/(1-$C$141*$C$138)*(F145-1)</f>
        <v>3.0872133051201785E-2</v>
      </c>
      <c r="H145" s="75">
        <f t="shared" ref="H145:H154" si="155">-(-$H$138+$K$141*((POWER(TAN(A145/2),2*$C$141-1)/(2*$C$141-1))+(POWER(TAN(A145/2),2*$C$141+1)/(2*$C$141+1))-(POWER(TAN($E$141/2),2*$C$141-1)/(2*$C$141-1))-(POWER(TAN($E$141/2),2*$C$141+1)/(2*$C$141+1))))</f>
        <v>1.4291781545326079</v>
      </c>
      <c r="I145" s="75">
        <f t="shared" ref="I145:I154" si="156">-(-$I$138+0.5*$K$141*((POWER(TAN(A145/2),2*$C$141-2)/(2*$C$141-2))-(POWER(TAN(A145/2),2*$C$141+2)/(2*$C$141+2))-(POWER(TAN($E$141/2),2*$C$141-2)/(2*$C$141-2))+(POWER(TAN($E$141/2),2*$C$141+2)/(2*$C$141+2))))</f>
        <v>-0.27559248398309849</v>
      </c>
      <c r="J145" s="77">
        <f t="shared" ref="J145:J154" si="157">-$D$141*SIN(A145)*($C$141+$G$141)/($C$141+B145)*F145</f>
        <v>-0.99873723369180456</v>
      </c>
      <c r="K145" s="77">
        <f t="shared" ref="K145:K154" si="158">-$D$141*COS(A145)*($C$141+$G$141)/($C$141+B145)*F145</f>
        <v>2.8027135601763202</v>
      </c>
      <c r="L145" s="91">
        <f t="shared" ref="L145:L154" si="159">SQRT(J145*J145+K145*K145)</f>
        <v>2.9753452509513214</v>
      </c>
      <c r="M145" s="93"/>
      <c r="N145" s="75">
        <f t="shared" ref="N145:N154" si="160">-(-$I$138+0.5*$K$141*((POWER(TAN(A145/2),2*$C$141-2)/(2*$C$141-2))-(POWER(TAN(A145/2),2*$C$141+2)/(2*$C$141+2))-(POWER(TAN($E$141/2),2*$C$141-2)/(2*$C$141-2))+(POWER(TAN($E$141/2),2*$C$141+2)/(2*$C$141+2))))-$D$138</f>
        <v>-5.2406140171907256E-3</v>
      </c>
      <c r="O145" s="75">
        <f t="shared" ref="O145:O154" si="161">-(-$I$138+0.5*$K$141*((POWER(TAN((A145+$M$9)/2),2*$C$141-2)/(2*$C$141-2))-(POWER(TAN((A145+$M$9)/2),2*$C$141+2)/(2*$C$141+2))-(POWER(TAN($E$141/2),2*$C$141-2)/(2*$C$141-2))+(POWER(TAN($E$141/2),2*$C$141+2)/(2*$C$141+2))))-$D$138</f>
        <v>-4.401370163969115E-2</v>
      </c>
      <c r="P145" s="75">
        <f t="shared" ref="P145:P154" si="162">A145-N145/(O145-N145)*$M$9</f>
        <v>2.7988696584725026</v>
      </c>
      <c r="AF145" s="7"/>
      <c r="AG145" s="7"/>
      <c r="AH145" s="7"/>
      <c r="AI145" s="7"/>
      <c r="AJ145" s="7"/>
      <c r="AK145" s="7"/>
      <c r="AL145" s="7"/>
      <c r="AM145" s="7"/>
      <c r="AN145" s="7"/>
      <c r="AR145" s="92"/>
      <c r="AS145" s="7"/>
      <c r="AT145" s="123"/>
      <c r="AU145" s="123"/>
      <c r="AV145" s="123"/>
      <c r="AW145" s="123"/>
      <c r="AX145" s="123"/>
      <c r="AY145" s="123"/>
      <c r="AZ145" s="7"/>
    </row>
    <row r="146" spans="1:52" s="18" customFormat="1">
      <c r="A146" s="19">
        <f t="shared" ref="A146:A154" si="163">$P145</f>
        <v>2.7988696584725026</v>
      </c>
      <c r="B146" s="26">
        <f t="shared" si="149"/>
        <v>-0.94184308780647696</v>
      </c>
      <c r="C146" s="26">
        <f t="shared" si="150"/>
        <v>-0.59742039743220976</v>
      </c>
      <c r="D146" s="26">
        <f t="shared" si="151"/>
        <v>1.8297148327236867</v>
      </c>
      <c r="E146" s="26">
        <f t="shared" si="152"/>
        <v>0.33605296896644288</v>
      </c>
      <c r="F146" s="77">
        <f t="shared" si="153"/>
        <v>0.96765875865178108</v>
      </c>
      <c r="G146" s="77">
        <f t="shared" si="154"/>
        <v>3.2611391189925489E-2</v>
      </c>
      <c r="H146" s="75">
        <f t="shared" si="155"/>
        <v>1.4273437832513161</v>
      </c>
      <c r="I146" s="75">
        <f t="shared" si="156"/>
        <v>-0.27044806281922051</v>
      </c>
      <c r="J146" s="77">
        <f t="shared" si="157"/>
        <v>-0.99832202645653545</v>
      </c>
      <c r="K146" s="77">
        <f t="shared" si="158"/>
        <v>2.7979598064998319</v>
      </c>
      <c r="L146" s="91">
        <f t="shared" si="159"/>
        <v>2.9707281846875291</v>
      </c>
      <c r="M146" s="93"/>
      <c r="N146" s="75">
        <f t="shared" si="160"/>
        <v>-9.6192853312748738E-5</v>
      </c>
      <c r="O146" s="75">
        <f t="shared" si="161"/>
        <v>-3.8698786811957764E-2</v>
      </c>
      <c r="P146" s="75">
        <f t="shared" si="162"/>
        <v>2.7988621828463764</v>
      </c>
      <c r="AF146" s="7"/>
      <c r="AG146" s="7"/>
      <c r="AH146" s="7"/>
      <c r="AI146" s="7"/>
      <c r="AJ146" s="7"/>
      <c r="AK146" s="7"/>
      <c r="AL146" s="7"/>
      <c r="AM146" s="7"/>
      <c r="AN146" s="7"/>
      <c r="AR146" s="92"/>
      <c r="AS146" s="7"/>
      <c r="AT146" s="123"/>
      <c r="AU146" s="123"/>
      <c r="AV146" s="123"/>
      <c r="AW146" s="123"/>
      <c r="AX146" s="123"/>
      <c r="AY146" s="123"/>
      <c r="AZ146" s="7"/>
    </row>
    <row r="147" spans="1:52" s="18" customFormat="1">
      <c r="A147" s="19">
        <f t="shared" si="163"/>
        <v>2.7988621828463764</v>
      </c>
      <c r="B147" s="26">
        <f t="shared" si="149"/>
        <v>-0.94184057557380496</v>
      </c>
      <c r="C147" s="26">
        <f t="shared" si="150"/>
        <v>-0.59741788519953776</v>
      </c>
      <c r="D147" s="26">
        <f t="shared" si="151"/>
        <v>1.8297008139899611</v>
      </c>
      <c r="E147" s="26">
        <f t="shared" si="152"/>
        <v>0.33606000982384654</v>
      </c>
      <c r="F147" s="77">
        <f t="shared" si="153"/>
        <v>0.96762700227058407</v>
      </c>
      <c r="G147" s="77">
        <f t="shared" si="154"/>
        <v>3.2643412835564919E-2</v>
      </c>
      <c r="H147" s="75">
        <f t="shared" si="155"/>
        <v>1.4273100176209961</v>
      </c>
      <c r="I147" s="75">
        <f t="shared" si="156"/>
        <v>-0.27035343026749908</v>
      </c>
      <c r="J147" s="77">
        <f t="shared" si="157"/>
        <v>-0.99831437760852293</v>
      </c>
      <c r="K147" s="77">
        <f t="shared" si="158"/>
        <v>2.7978722862719394</v>
      </c>
      <c r="L147" s="91">
        <f t="shared" si="159"/>
        <v>2.9706431840307683</v>
      </c>
      <c r="M147" s="93"/>
      <c r="N147" s="75">
        <f t="shared" si="160"/>
        <v>-1.5603015913190355E-6</v>
      </c>
      <c r="O147" s="75">
        <f t="shared" si="161"/>
        <v>-3.8601019906826461E-2</v>
      </c>
      <c r="P147" s="75">
        <f t="shared" si="162"/>
        <v>2.7988620615777156</v>
      </c>
      <c r="AF147" s="7"/>
      <c r="AG147" s="7"/>
      <c r="AH147" s="7"/>
      <c r="AI147" s="7"/>
      <c r="AJ147" s="7"/>
      <c r="AK147" s="7"/>
      <c r="AL147" s="7"/>
      <c r="AM147" s="7"/>
      <c r="AN147" s="7"/>
      <c r="AR147" s="92"/>
      <c r="AS147" s="7"/>
      <c r="AT147" s="123"/>
      <c r="AU147" s="123"/>
      <c r="AV147" s="123"/>
      <c r="AW147" s="123"/>
      <c r="AX147" s="123"/>
      <c r="AY147" s="123"/>
      <c r="AZ147" s="7"/>
    </row>
    <row r="148" spans="1:52" s="18" customFormat="1">
      <c r="A148" s="19">
        <f t="shared" si="163"/>
        <v>2.7988620615777156</v>
      </c>
      <c r="B148" s="26">
        <f t="shared" si="149"/>
        <v>-0.94184053482025065</v>
      </c>
      <c r="C148" s="26">
        <f t="shared" si="150"/>
        <v>-0.59741784444598345</v>
      </c>
      <c r="D148" s="26">
        <f t="shared" si="151"/>
        <v>1.8297005865831433</v>
      </c>
      <c r="E148" s="26">
        <f t="shared" si="152"/>
        <v>0.33606012403958946</v>
      </c>
      <c r="F148" s="77">
        <f t="shared" si="153"/>
        <v>0.96762648713556121</v>
      </c>
      <c r="G148" s="77">
        <f t="shared" si="154"/>
        <v>3.2643932273565622E-2</v>
      </c>
      <c r="H148" s="75">
        <f t="shared" si="155"/>
        <v>1.4273094698951412</v>
      </c>
      <c r="I148" s="75">
        <f t="shared" si="156"/>
        <v>-0.27035189521328107</v>
      </c>
      <c r="J148" s="77">
        <f t="shared" si="157"/>
        <v>-0.99831425353168302</v>
      </c>
      <c r="K148" s="77">
        <f t="shared" si="158"/>
        <v>2.7978708665661065</v>
      </c>
      <c r="L148" s="91">
        <f t="shared" si="159"/>
        <v>2.9706418051969674</v>
      </c>
      <c r="M148" s="93"/>
      <c r="N148" s="75">
        <f t="shared" si="160"/>
        <v>-2.524737330311666E-8</v>
      </c>
      <c r="O148" s="75">
        <f t="shared" si="161"/>
        <v>-3.8599434010181566E-2</v>
      </c>
      <c r="P148" s="75">
        <f t="shared" si="162"/>
        <v>2.7988620596154545</v>
      </c>
      <c r="AF148" s="7"/>
      <c r="AG148" s="7"/>
      <c r="AH148" s="7"/>
      <c r="AI148" s="7"/>
      <c r="AJ148" s="7"/>
      <c r="AK148" s="7"/>
      <c r="AL148" s="7"/>
      <c r="AM148" s="7"/>
      <c r="AN148" s="7"/>
      <c r="AR148" s="92"/>
      <c r="AS148" s="7"/>
      <c r="AT148" s="123"/>
      <c r="AU148" s="123"/>
      <c r="AV148" s="123"/>
      <c r="AW148" s="123"/>
      <c r="AX148" s="123"/>
      <c r="AY148" s="123"/>
      <c r="AZ148" s="7"/>
    </row>
    <row r="149" spans="1:52" s="18" customFormat="1">
      <c r="A149" s="19">
        <f t="shared" si="163"/>
        <v>2.7988620596154545</v>
      </c>
      <c r="B149" s="26">
        <f t="shared" si="149"/>
        <v>-0.94184053416081293</v>
      </c>
      <c r="C149" s="26">
        <f t="shared" si="150"/>
        <v>-0.59741784378654572</v>
      </c>
      <c r="D149" s="26">
        <f t="shared" si="151"/>
        <v>1.8297005829034503</v>
      </c>
      <c r="E149" s="26">
        <f t="shared" si="152"/>
        <v>0.33606012588772644</v>
      </c>
      <c r="F149" s="77">
        <f t="shared" si="153"/>
        <v>0.9676264788001101</v>
      </c>
      <c r="G149" s="77">
        <f t="shared" si="154"/>
        <v>3.2643940678643645E-2</v>
      </c>
      <c r="H149" s="75">
        <f t="shared" si="155"/>
        <v>1.4273094610323356</v>
      </c>
      <c r="I149" s="75">
        <f t="shared" si="156"/>
        <v>-0.27035187037442393</v>
      </c>
      <c r="J149" s="77">
        <f t="shared" si="157"/>
        <v>-0.99831425152398268</v>
      </c>
      <c r="K149" s="77">
        <f t="shared" si="158"/>
        <v>2.7978708435937056</v>
      </c>
      <c r="L149" s="91">
        <f t="shared" si="159"/>
        <v>2.9706417828859211</v>
      </c>
      <c r="M149" s="93"/>
      <c r="N149" s="75">
        <f t="shared" si="160"/>
        <v>-4.0851616533998936E-10</v>
      </c>
      <c r="O149" s="75">
        <f t="shared" si="161"/>
        <v>-3.8599408348637232E-2</v>
      </c>
      <c r="P149" s="75">
        <f t="shared" si="162"/>
        <v>2.7988620595837039</v>
      </c>
      <c r="AF149" s="7"/>
      <c r="AG149" s="7"/>
      <c r="AH149" s="7"/>
      <c r="AI149" s="7"/>
      <c r="AJ149" s="7"/>
      <c r="AK149" s="7"/>
      <c r="AL149" s="7"/>
      <c r="AM149" s="7"/>
      <c r="AN149" s="7"/>
      <c r="AR149" s="92"/>
      <c r="AS149" s="7"/>
      <c r="AT149" s="123"/>
      <c r="AU149" s="123"/>
      <c r="AV149" s="123"/>
      <c r="AW149" s="123"/>
      <c r="AX149" s="123"/>
      <c r="AY149" s="123"/>
      <c r="AZ149" s="7"/>
    </row>
    <row r="150" spans="1:52" s="18" customFormat="1">
      <c r="A150" s="19">
        <f t="shared" si="163"/>
        <v>2.7988620595837039</v>
      </c>
      <c r="B150" s="26">
        <f t="shared" si="149"/>
        <v>-0.94184053415014279</v>
      </c>
      <c r="C150" s="26">
        <f t="shared" si="150"/>
        <v>-0.59741784377587559</v>
      </c>
      <c r="D150" s="26">
        <f t="shared" si="151"/>
        <v>1.8297005828439106</v>
      </c>
      <c r="E150" s="26">
        <f t="shared" si="152"/>
        <v>0.3360601259176304</v>
      </c>
      <c r="F150" s="77">
        <f t="shared" si="153"/>
        <v>0.96762647866523732</v>
      </c>
      <c r="G150" s="77">
        <f t="shared" si="154"/>
        <v>3.264394081464303E-2</v>
      </c>
      <c r="H150" s="75">
        <f t="shared" si="155"/>
        <v>1.4273094608889294</v>
      </c>
      <c r="I150" s="75">
        <f t="shared" si="156"/>
        <v>-0.27035186997251381</v>
      </c>
      <c r="J150" s="77">
        <f t="shared" si="157"/>
        <v>-0.99831425149149655</v>
      </c>
      <c r="K150" s="77">
        <f t="shared" si="158"/>
        <v>2.7978708432219976</v>
      </c>
      <c r="L150" s="91">
        <f t="shared" si="159"/>
        <v>2.9706417825249143</v>
      </c>
      <c r="M150" s="93"/>
      <c r="N150" s="75">
        <f t="shared" si="160"/>
        <v>-6.6060490411246064E-12</v>
      </c>
      <c r="O150" s="75">
        <f t="shared" si="161"/>
        <v>-3.8599407933419483E-2</v>
      </c>
      <c r="P150" s="75">
        <f t="shared" si="162"/>
        <v>2.7988620595831906</v>
      </c>
      <c r="AF150" s="7"/>
      <c r="AG150" s="7"/>
      <c r="AH150" s="7"/>
      <c r="AI150" s="7"/>
      <c r="AJ150" s="7"/>
      <c r="AK150" s="7"/>
      <c r="AL150" s="7"/>
      <c r="AM150" s="7"/>
      <c r="AN150" s="7"/>
      <c r="AR150" s="92"/>
      <c r="AS150" s="7"/>
      <c r="AT150" s="123"/>
      <c r="AU150" s="123"/>
      <c r="AV150" s="123"/>
      <c r="AW150" s="123"/>
      <c r="AX150" s="123"/>
      <c r="AY150" s="123"/>
      <c r="AZ150" s="7"/>
    </row>
    <row r="151" spans="1:52" s="18" customFormat="1">
      <c r="A151" s="19">
        <f t="shared" si="163"/>
        <v>2.7988620595831906</v>
      </c>
      <c r="B151" s="26">
        <f t="shared" si="149"/>
        <v>-0.94184053414997027</v>
      </c>
      <c r="C151" s="26">
        <f t="shared" si="150"/>
        <v>-0.59741784377570306</v>
      </c>
      <c r="D151" s="26">
        <f t="shared" si="151"/>
        <v>1.829700582842948</v>
      </c>
      <c r="E151" s="26">
        <f t="shared" si="152"/>
        <v>0.33606012591811396</v>
      </c>
      <c r="F151" s="77">
        <f t="shared" si="153"/>
        <v>0.9676264786630564</v>
      </c>
      <c r="G151" s="77">
        <f t="shared" si="154"/>
        <v>3.2643940816842174E-2</v>
      </c>
      <c r="H151" s="75">
        <f t="shared" si="155"/>
        <v>1.4273094608866108</v>
      </c>
      <c r="I151" s="75">
        <f t="shared" si="156"/>
        <v>-0.2703518699660164</v>
      </c>
      <c r="J151" s="77">
        <f t="shared" si="157"/>
        <v>-0.99831425149097131</v>
      </c>
      <c r="K151" s="77">
        <f t="shared" si="158"/>
        <v>2.7978708432159864</v>
      </c>
      <c r="L151" s="91">
        <f t="shared" si="159"/>
        <v>2.9706417825190758</v>
      </c>
      <c r="M151" s="93"/>
      <c r="N151" s="75">
        <f t="shared" si="160"/>
        <v>-1.0863532295957157E-13</v>
      </c>
      <c r="O151" s="75">
        <f t="shared" si="161"/>
        <v>-3.8599407926704188E-2</v>
      </c>
      <c r="P151" s="75">
        <f t="shared" si="162"/>
        <v>2.7988620595831821</v>
      </c>
      <c r="AF151" s="7"/>
      <c r="AG151" s="7"/>
      <c r="AH151" s="7"/>
      <c r="AI151" s="7"/>
      <c r="AJ151" s="7"/>
      <c r="AK151" s="7"/>
      <c r="AL151" s="7"/>
      <c r="AM151" s="7"/>
      <c r="AN151" s="7"/>
      <c r="AR151" s="92"/>
      <c r="AS151" s="7"/>
      <c r="AT151" s="123"/>
      <c r="AU151" s="123"/>
      <c r="AV151" s="123"/>
      <c r="AW151" s="123"/>
      <c r="AX151" s="123"/>
      <c r="AY151" s="123"/>
      <c r="AZ151" s="7"/>
    </row>
    <row r="152" spans="1:52" s="18" customFormat="1">
      <c r="A152" s="19">
        <f>$P151</f>
        <v>2.7988620595831821</v>
      </c>
      <c r="B152" s="26">
        <f t="shared" si="149"/>
        <v>-0.94184053414996749</v>
      </c>
      <c r="C152" s="26">
        <f t="shared" si="150"/>
        <v>-0.59741784377570029</v>
      </c>
      <c r="D152" s="26">
        <f t="shared" si="151"/>
        <v>1.829700582842932</v>
      </c>
      <c r="E152" s="26">
        <f t="shared" si="152"/>
        <v>0.3360601259181219</v>
      </c>
      <c r="F152" s="77">
        <f t="shared" si="153"/>
        <v>0.96762647866302076</v>
      </c>
      <c r="G152" s="77">
        <f t="shared" si="154"/>
        <v>3.2643940816878103E-2</v>
      </c>
      <c r="H152" s="75">
        <f t="shared" si="155"/>
        <v>1.4273094608865726</v>
      </c>
      <c r="I152" s="75">
        <f t="shared" si="156"/>
        <v>-0.27035186996590954</v>
      </c>
      <c r="J152" s="77">
        <f t="shared" si="157"/>
        <v>-0.99831425149096298</v>
      </c>
      <c r="K152" s="77">
        <f t="shared" si="158"/>
        <v>2.7978708432158887</v>
      </c>
      <c r="L152" s="91">
        <f t="shared" si="159"/>
        <v>2.9706417825189813</v>
      </c>
      <c r="M152" s="93"/>
      <c r="N152" s="75">
        <f t="shared" si="160"/>
        <v>-1.7763568394002505E-15</v>
      </c>
      <c r="O152" s="75">
        <f t="shared" si="161"/>
        <v>-3.8599407926594609E-2</v>
      </c>
      <c r="P152" s="75">
        <f t="shared" si="162"/>
        <v>2.7988620595831821</v>
      </c>
      <c r="AF152" s="7"/>
      <c r="AG152" s="7"/>
      <c r="AH152" s="7"/>
      <c r="AI152" s="7"/>
      <c r="AJ152" s="7"/>
      <c r="AK152" s="7"/>
      <c r="AL152" s="7"/>
      <c r="AM152" s="7"/>
      <c r="AN152" s="7"/>
      <c r="AR152" s="92"/>
      <c r="AS152" s="7"/>
      <c r="AT152" s="123"/>
      <c r="AU152" s="123"/>
      <c r="AV152" s="123"/>
      <c r="AW152" s="123"/>
      <c r="AX152" s="123"/>
      <c r="AY152" s="123"/>
      <c r="AZ152" s="7"/>
    </row>
    <row r="153" spans="1:52" s="18" customFormat="1">
      <c r="A153" s="19">
        <f t="shared" si="163"/>
        <v>2.7988620595831821</v>
      </c>
      <c r="B153" s="26">
        <f t="shared" si="149"/>
        <v>-0.94184053414996749</v>
      </c>
      <c r="C153" s="26">
        <f t="shared" si="150"/>
        <v>-0.59741784377570029</v>
      </c>
      <c r="D153" s="26">
        <f t="shared" si="151"/>
        <v>1.829700582842932</v>
      </c>
      <c r="E153" s="26">
        <f t="shared" si="152"/>
        <v>0.3360601259181219</v>
      </c>
      <c r="F153" s="77">
        <f t="shared" si="153"/>
        <v>0.96762647866302076</v>
      </c>
      <c r="G153" s="77">
        <f t="shared" si="154"/>
        <v>3.2643940816878103E-2</v>
      </c>
      <c r="H153" s="75">
        <f t="shared" si="155"/>
        <v>1.4273094608865726</v>
      </c>
      <c r="I153" s="75">
        <f t="shared" si="156"/>
        <v>-0.27035186996590954</v>
      </c>
      <c r="J153" s="77">
        <f t="shared" si="157"/>
        <v>-0.99831425149096298</v>
      </c>
      <c r="K153" s="77">
        <f t="shared" si="158"/>
        <v>2.7978708432158887</v>
      </c>
      <c r="L153" s="91">
        <f t="shared" si="159"/>
        <v>2.9706417825189813</v>
      </c>
      <c r="M153" s="93"/>
      <c r="N153" s="75">
        <f t="shared" si="160"/>
        <v>-1.7763568394002505E-15</v>
      </c>
      <c r="O153" s="75">
        <f t="shared" si="161"/>
        <v>-3.8599407926594609E-2</v>
      </c>
      <c r="P153" s="75">
        <f t="shared" si="162"/>
        <v>2.7988620595831821</v>
      </c>
      <c r="AF153" s="7"/>
      <c r="AG153" s="7"/>
      <c r="AH153" s="7"/>
      <c r="AI153" s="7"/>
      <c r="AJ153" s="7"/>
      <c r="AK153" s="7"/>
      <c r="AL153" s="7"/>
      <c r="AM153" s="7"/>
      <c r="AN153" s="7"/>
      <c r="AR153" s="92"/>
      <c r="AS153" s="7"/>
      <c r="AT153" s="123"/>
      <c r="AU153" s="123"/>
      <c r="AV153" s="123"/>
      <c r="AW153" s="123"/>
      <c r="AX153" s="123"/>
      <c r="AY153" s="123"/>
      <c r="AZ153" s="7"/>
    </row>
    <row r="154" spans="1:52" s="18" customFormat="1">
      <c r="A154" s="19">
        <f t="shared" si="163"/>
        <v>2.7988620595831821</v>
      </c>
      <c r="B154" s="26">
        <f t="shared" si="149"/>
        <v>-0.94184053414996749</v>
      </c>
      <c r="C154" s="26">
        <f t="shared" si="150"/>
        <v>-0.59741784377570029</v>
      </c>
      <c r="D154" s="26">
        <f t="shared" si="151"/>
        <v>1.829700582842932</v>
      </c>
      <c r="E154" s="26">
        <f t="shared" si="152"/>
        <v>0.3360601259181219</v>
      </c>
      <c r="F154" s="77">
        <f t="shared" si="153"/>
        <v>0.96762647866302076</v>
      </c>
      <c r="G154" s="77">
        <f t="shared" si="154"/>
        <v>3.2643940816878103E-2</v>
      </c>
      <c r="H154" s="81">
        <f t="shared" si="155"/>
        <v>1.4273094608865726</v>
      </c>
      <c r="I154" s="81">
        <f t="shared" si="156"/>
        <v>-0.27035186996590954</v>
      </c>
      <c r="J154" s="80">
        <f t="shared" si="157"/>
        <v>-0.99831425149096298</v>
      </c>
      <c r="K154" s="80">
        <f t="shared" si="158"/>
        <v>2.7978708432158887</v>
      </c>
      <c r="L154" s="91">
        <f t="shared" si="159"/>
        <v>2.9706417825189813</v>
      </c>
      <c r="M154" s="93"/>
      <c r="N154" s="75">
        <f t="shared" si="160"/>
        <v>-1.7763568394002505E-15</v>
      </c>
      <c r="O154" s="75">
        <f t="shared" si="161"/>
        <v>-3.8599407926594609E-2</v>
      </c>
      <c r="P154" s="75">
        <f t="shared" si="162"/>
        <v>2.7988620595831821</v>
      </c>
      <c r="AF154" s="7"/>
      <c r="AG154" s="7"/>
      <c r="AH154" s="7"/>
      <c r="AI154" s="7"/>
      <c r="AJ154" s="7"/>
      <c r="AK154" s="7"/>
      <c r="AL154" s="7"/>
      <c r="AM154" s="7"/>
      <c r="AN154" s="7"/>
      <c r="AR154" s="92"/>
      <c r="AS154" s="7"/>
      <c r="AT154" s="123"/>
      <c r="AU154" s="123"/>
      <c r="AV154" s="123"/>
      <c r="AW154" s="123"/>
      <c r="AX154" s="123"/>
      <c r="AY154" s="123"/>
      <c r="AZ154" s="7"/>
    </row>
    <row r="155" spans="1:52" s="18" customFormat="1">
      <c r="A155" s="88" t="s">
        <v>60</v>
      </c>
      <c r="B155" s="8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AF155" s="7"/>
      <c r="AG155" s="7"/>
      <c r="AH155" s="7"/>
      <c r="AI155" s="7"/>
      <c r="AJ155" s="7"/>
      <c r="AK155" s="7"/>
      <c r="AL155" s="7"/>
      <c r="AM155" s="7"/>
      <c r="AN155" s="7"/>
      <c r="AR155" s="92"/>
      <c r="AS155" s="7"/>
      <c r="AT155" s="123"/>
      <c r="AU155" s="123"/>
      <c r="AV155" s="123"/>
      <c r="AW155" s="123"/>
      <c r="AX155" s="123"/>
      <c r="AY155" s="123"/>
      <c r="AZ155" s="7"/>
    </row>
    <row r="156" spans="1:52" s="18" customFormat="1">
      <c r="A156" s="26" t="s">
        <v>11</v>
      </c>
      <c r="B156" s="26" t="s">
        <v>13</v>
      </c>
      <c r="C156" s="26" t="s">
        <v>22</v>
      </c>
      <c r="D156" s="26" t="s">
        <v>18</v>
      </c>
      <c r="E156" s="26" t="s">
        <v>19</v>
      </c>
      <c r="F156" s="26" t="s">
        <v>20</v>
      </c>
      <c r="G156" s="26" t="s">
        <v>2</v>
      </c>
      <c r="H156" s="26" t="s">
        <v>1</v>
      </c>
      <c r="I156" s="26" t="s">
        <v>0</v>
      </c>
      <c r="J156" s="76" t="s">
        <v>3</v>
      </c>
      <c r="K156" s="76" t="s">
        <v>4</v>
      </c>
      <c r="L156" s="44" t="s">
        <v>7</v>
      </c>
      <c r="M156" s="28"/>
      <c r="N156" s="28"/>
      <c r="O156" s="28"/>
      <c r="P156" s="31"/>
      <c r="AF156" s="7"/>
      <c r="AG156" s="7"/>
      <c r="AH156" s="7"/>
      <c r="AI156" s="7"/>
      <c r="AJ156" s="7"/>
      <c r="AK156" s="7"/>
      <c r="AL156" s="7"/>
      <c r="AM156" s="7"/>
      <c r="AN156" s="7"/>
      <c r="AR156" s="92"/>
      <c r="AS156" s="7"/>
      <c r="AT156" s="123"/>
      <c r="AU156" s="123"/>
      <c r="AV156" s="123"/>
      <c r="AW156" s="123"/>
      <c r="AX156" s="123"/>
      <c r="AY156" s="123"/>
      <c r="AZ156" s="7"/>
    </row>
    <row r="157" spans="1:52" s="18" customFormat="1">
      <c r="A157" s="19">
        <f>$E141</f>
        <v>2.8062954605631307</v>
      </c>
      <c r="B157" s="26">
        <f t="shared" ref="B157:B162" si="164">COS(A157)</f>
        <v>-0.94431256002250941</v>
      </c>
      <c r="C157" s="26">
        <f t="shared" ref="C157:C162" si="165">($C$141+B157)</f>
        <v>-0.5998898696482422</v>
      </c>
      <c r="D157" s="26">
        <f t="shared" ref="D157:D162" si="166">POWER(TAN(A157/2),$C$141)</f>
        <v>1.8438416715305459</v>
      </c>
      <c r="E157" s="26">
        <f t="shared" ref="E157:E162" si="167">SIN(A157)</f>
        <v>0.3290498275090486</v>
      </c>
      <c r="F157" s="77">
        <f t="shared" ref="F157:F162" si="168">(C157*$H$141*D157/E157/$I$141/$J$141)</f>
        <v>0.99999999999999989</v>
      </c>
      <c r="G157" s="77">
        <f t="shared" ref="G157:G162" si="169">$D$141*($C$141+$G$141)/9.81/SIN($C$138)/(1-$C$141*$C$138)*(F157-1)</f>
        <v>1.119496836076367E-16</v>
      </c>
      <c r="H157" s="135">
        <f t="shared" ref="H157:H162" si="170">-(-$H$138+$K$141*((POWER(TAN(A157/2),2*$C$141-1)/(2*$C$141-1))+(POWER(TAN(A157/2),2*$C$141+1)/(2*$C$141+1))-(POWER(TAN($E$141/2),2*$C$141-1)/(2*$C$141-1))-(POWER(TAN($E$141/2),2*$C$141+1)/(2*$C$141+1))))</f>
        <v>1.4618646256914121</v>
      </c>
      <c r="I157" s="135">
        <f t="shared" ref="I157:I162" si="171">-(-$I$138+0.5*$K$141*((POWER(TAN(A157/2),2*$C$141-2)/(2*$C$141-2))-(POWER(TAN(A157/2),2*$C$141+2)/(2*$C$141+2))-(POWER(TAN($E$141/2),2*$C$141-2)/(2*$C$141-2))+(POWER(TAN($E$141/2),2*$C$141+2)/(2*$C$141+2))))</f>
        <v>-0.36836040959450012</v>
      </c>
      <c r="J157" s="77">
        <f t="shared" ref="J157:J162" si="172">-$D$141*SIN(A157)*($C$141+$G$141)/($C$141+B157)*F157</f>
        <v>-1.006029858350806</v>
      </c>
      <c r="K157" s="77">
        <f t="shared" ref="K157:K162" si="173">-$D$141*COS(A157)*($C$141+$G$141)/($C$141+B157)*F157</f>
        <v>2.8871208904438883</v>
      </c>
      <c r="L157" s="91">
        <f t="shared" ref="L157:L162" si="174">SQRT(J157*J157+K157*K157)</f>
        <v>3.0573784705088203</v>
      </c>
      <c r="M157" s="28"/>
      <c r="N157" s="28"/>
      <c r="O157" s="28"/>
      <c r="P157" s="31"/>
      <c r="AF157" s="7"/>
      <c r="AG157" s="7"/>
      <c r="AH157" s="7"/>
      <c r="AI157" s="7"/>
      <c r="AJ157" s="7"/>
      <c r="AK157" s="7"/>
      <c r="AL157" s="7"/>
      <c r="AM157" s="7"/>
      <c r="AN157" s="7"/>
      <c r="AR157" s="92"/>
      <c r="AS157" s="7"/>
      <c r="AT157" s="123"/>
      <c r="AU157" s="123"/>
      <c r="AV157" s="123"/>
      <c r="AW157" s="123"/>
      <c r="AX157" s="123"/>
      <c r="AY157" s="123"/>
      <c r="AZ157" s="7"/>
    </row>
    <row r="158" spans="1:52" s="18" customFormat="1">
      <c r="A158" s="20">
        <f>A157-$F$141</f>
        <v>2.8048287803671412</v>
      </c>
      <c r="B158" s="26">
        <f t="shared" si="164"/>
        <v>-0.94382893365086007</v>
      </c>
      <c r="C158" s="26">
        <f t="shared" si="165"/>
        <v>-0.59940624327659286</v>
      </c>
      <c r="D158" s="26">
        <f t="shared" si="166"/>
        <v>1.8410191044153281</v>
      </c>
      <c r="E158" s="26">
        <f t="shared" si="167"/>
        <v>0.3304344776252629</v>
      </c>
      <c r="F158" s="77">
        <f t="shared" si="168"/>
        <v>0.99348362984493033</v>
      </c>
      <c r="G158" s="77">
        <f t="shared" si="169"/>
        <v>6.5708020906574023E-3</v>
      </c>
      <c r="H158" s="135">
        <f t="shared" si="170"/>
        <v>1.4548877790534489</v>
      </c>
      <c r="I158" s="135">
        <f t="shared" si="171"/>
        <v>-0.34838517359075338</v>
      </c>
      <c r="J158" s="77">
        <f t="shared" si="172"/>
        <v>-1.0044898200498218</v>
      </c>
      <c r="K158" s="77">
        <f t="shared" si="173"/>
        <v>2.8691514352081176</v>
      </c>
      <c r="L158" s="91">
        <f t="shared" si="174"/>
        <v>3.0399062085433695</v>
      </c>
      <c r="M158" s="28"/>
      <c r="N158" s="28"/>
      <c r="O158" s="28"/>
      <c r="P158" s="31"/>
      <c r="AF158" s="7"/>
      <c r="AG158" s="7"/>
      <c r="AH158" s="7"/>
      <c r="AI158" s="7"/>
      <c r="AJ158" s="7"/>
      <c r="AK158" s="7"/>
      <c r="AL158" s="7"/>
      <c r="AM158" s="7"/>
      <c r="AN158" s="7"/>
      <c r="AR158" s="92"/>
      <c r="AS158" s="7"/>
      <c r="AT158" s="123"/>
      <c r="AU158" s="123"/>
      <c r="AV158" s="123"/>
      <c r="AW158" s="123"/>
      <c r="AX158" s="123"/>
      <c r="AY158" s="123"/>
      <c r="AZ158" s="7"/>
    </row>
    <row r="159" spans="1:52" s="18" customFormat="1">
      <c r="A159" s="20">
        <f>A158-$F$141</f>
        <v>2.8033621001711517</v>
      </c>
      <c r="B159" s="26">
        <f t="shared" si="164"/>
        <v>-0.94334327696121156</v>
      </c>
      <c r="C159" s="26">
        <f t="shared" si="165"/>
        <v>-0.59892058658694436</v>
      </c>
      <c r="D159" s="26">
        <f t="shared" si="166"/>
        <v>1.8382126310154974</v>
      </c>
      <c r="E159" s="26">
        <f t="shared" si="167"/>
        <v>0.33181841692721464</v>
      </c>
      <c r="F159" s="77">
        <f t="shared" si="168"/>
        <v>0.98703150170422715</v>
      </c>
      <c r="G159" s="77">
        <f t="shared" si="169"/>
        <v>1.3076825546543876E-2</v>
      </c>
      <c r="H159" s="135">
        <f t="shared" si="170"/>
        <v>1.4479902669453417</v>
      </c>
      <c r="I159" s="135">
        <f t="shared" si="171"/>
        <v>-0.32872973280451179</v>
      </c>
      <c r="J159" s="77">
        <f t="shared" si="172"/>
        <v>-1.0029585627404276</v>
      </c>
      <c r="K159" s="77">
        <f t="shared" si="173"/>
        <v>2.8513613740716481</v>
      </c>
      <c r="L159" s="91">
        <f t="shared" si="174"/>
        <v>3.0226127049494949</v>
      </c>
      <c r="M159" s="45"/>
      <c r="N159" s="28"/>
      <c r="O159" s="28"/>
      <c r="P159" s="31"/>
      <c r="AF159" s="7"/>
      <c r="AG159" s="7"/>
      <c r="AH159" s="7"/>
      <c r="AI159" s="7"/>
      <c r="AJ159" s="7"/>
      <c r="AK159" s="7"/>
      <c r="AL159" s="7"/>
      <c r="AM159" s="7"/>
      <c r="AN159" s="7"/>
      <c r="AR159" s="92"/>
      <c r="AS159" s="7"/>
      <c r="AT159" s="123"/>
      <c r="AU159" s="123"/>
      <c r="AV159" s="123"/>
      <c r="AW159" s="123"/>
      <c r="AX159" s="123"/>
      <c r="AY159" s="123"/>
      <c r="AZ159" s="7"/>
    </row>
    <row r="160" spans="1:52" s="18" customFormat="1">
      <c r="A160" s="20">
        <f>A159-$F$141</f>
        <v>2.8018954199751622</v>
      </c>
      <c r="B160" s="26">
        <f t="shared" si="164"/>
        <v>-0.94285559099828453</v>
      </c>
      <c r="C160" s="26">
        <f t="shared" si="165"/>
        <v>-0.59843290062401733</v>
      </c>
      <c r="D160" s="26">
        <f t="shared" si="166"/>
        <v>1.8354220870261075</v>
      </c>
      <c r="E160" s="26">
        <f t="shared" si="167"/>
        <v>0.33320164243784223</v>
      </c>
      <c r="F160" s="77">
        <f t="shared" si="168"/>
        <v>0.98064269082031985</v>
      </c>
      <c r="G160" s="77">
        <f t="shared" si="169"/>
        <v>1.9519002849828763E-2</v>
      </c>
      <c r="H160" s="135">
        <f t="shared" si="170"/>
        <v>1.4411708326972008</v>
      </c>
      <c r="I160" s="135">
        <f t="shared" si="171"/>
        <v>-0.30938762909381329</v>
      </c>
      <c r="J160" s="77">
        <f t="shared" si="172"/>
        <v>-1.0014359967751851</v>
      </c>
      <c r="K160" s="77">
        <f t="shared" si="173"/>
        <v>2.8337481222427137</v>
      </c>
      <c r="L160" s="91">
        <f t="shared" si="174"/>
        <v>3.005495379459302</v>
      </c>
      <c r="M160" s="45"/>
      <c r="N160" s="28"/>
      <c r="O160" s="28"/>
      <c r="P160" s="31"/>
      <c r="AF160" s="7"/>
      <c r="AG160" s="7"/>
      <c r="AH160" s="7"/>
      <c r="AI160" s="7"/>
      <c r="AJ160" s="7"/>
      <c r="AK160" s="7"/>
      <c r="AL160" s="7"/>
      <c r="AM160" s="7"/>
      <c r="AN160" s="7"/>
      <c r="AR160" s="92"/>
      <c r="AS160" s="7"/>
      <c r="AT160" s="123"/>
      <c r="AU160" s="123"/>
      <c r="AV160" s="123"/>
      <c r="AW160" s="123"/>
      <c r="AX160" s="123"/>
      <c r="AY160" s="123"/>
      <c r="AZ160" s="7"/>
    </row>
    <row r="161" spans="1:52" s="18" customFormat="1">
      <c r="A161" s="20">
        <f>A160-$F$141</f>
        <v>2.8004287397791727</v>
      </c>
      <c r="B161" s="26">
        <f t="shared" si="164"/>
        <v>-0.94236587681116468</v>
      </c>
      <c r="C161" s="26">
        <f t="shared" si="165"/>
        <v>-0.59794318643689748</v>
      </c>
      <c r="D161" s="26">
        <f t="shared" si="166"/>
        <v>1.8326473105087657</v>
      </c>
      <c r="E161" s="26">
        <f t="shared" si="167"/>
        <v>0.33458415118161949</v>
      </c>
      <c r="F161" s="77">
        <f t="shared" si="168"/>
        <v>0.97431628967627215</v>
      </c>
      <c r="G161" s="77">
        <f t="shared" si="169"/>
        <v>2.589824909803419E-2</v>
      </c>
      <c r="H161" s="135">
        <f t="shared" si="170"/>
        <v>1.4344282448927892</v>
      </c>
      <c r="I161" s="135">
        <f t="shared" si="171"/>
        <v>-0.29035256178099311</v>
      </c>
      <c r="J161" s="77">
        <f t="shared" si="172"/>
        <v>-0.99992203379788747</v>
      </c>
      <c r="K161" s="77">
        <f t="shared" si="173"/>
        <v>2.8163091431406517</v>
      </c>
      <c r="L161" s="91">
        <f t="shared" si="174"/>
        <v>2.988551699973105</v>
      </c>
      <c r="M161" s="45"/>
      <c r="N161" s="28"/>
      <c r="O161" s="28"/>
      <c r="P161" s="89"/>
      <c r="AF161" s="7"/>
      <c r="AG161" s="7"/>
      <c r="AH161" s="7"/>
      <c r="AI161" s="7"/>
      <c r="AJ161" s="7"/>
      <c r="AK161" s="7"/>
      <c r="AL161" s="7"/>
      <c r="AM161" s="7"/>
      <c r="AN161" s="7"/>
      <c r="AR161" s="92"/>
      <c r="AS161" s="7"/>
      <c r="AT161" s="123"/>
      <c r="AU161" s="123"/>
      <c r="AV161" s="123"/>
      <c r="AW161" s="123"/>
      <c r="AX161" s="123"/>
      <c r="AY161" s="123"/>
      <c r="AZ161" s="7"/>
    </row>
    <row r="162" spans="1:52" s="18" customFormat="1">
      <c r="A162" s="20">
        <f>A161-$F$141</f>
        <v>2.7989620595831832</v>
      </c>
      <c r="B162" s="26">
        <f t="shared" si="164"/>
        <v>-0.94187413545330101</v>
      </c>
      <c r="C162" s="26">
        <f t="shared" si="165"/>
        <v>-0.5974514450790338</v>
      </c>
      <c r="D162" s="26">
        <f t="shared" si="166"/>
        <v>1.8298881418475468</v>
      </c>
      <c r="E162" s="26">
        <f t="shared" si="167"/>
        <v>0.33596594018456222</v>
      </c>
      <c r="F162" s="77">
        <f t="shared" si="168"/>
        <v>0.96805140760180997</v>
      </c>
      <c r="G162" s="77">
        <f t="shared" si="169"/>
        <v>3.2215462401298127E-2</v>
      </c>
      <c r="H162" s="135">
        <f t="shared" si="170"/>
        <v>1.4277612967559139</v>
      </c>
      <c r="I162" s="135">
        <f t="shared" si="171"/>
        <v>-0.27161838315892745</v>
      </c>
      <c r="J162" s="77">
        <f t="shared" si="172"/>
        <v>-0.99841658671950129</v>
      </c>
      <c r="K162" s="77">
        <f t="shared" si="173"/>
        <v>2.7990419472940276</v>
      </c>
      <c r="L162" s="91">
        <f t="shared" si="174"/>
        <v>2.9717791814581651</v>
      </c>
      <c r="M162" s="45"/>
      <c r="N162" s="28"/>
      <c r="O162" s="28"/>
      <c r="P162" s="28"/>
      <c r="AF162" s="7"/>
      <c r="AG162" s="7"/>
      <c r="AH162" s="7"/>
      <c r="AI162" s="7"/>
      <c r="AJ162" s="7"/>
      <c r="AK162" s="7"/>
      <c r="AL162" s="7"/>
      <c r="AM162" s="7"/>
      <c r="AN162" s="7"/>
      <c r="AR162" s="92"/>
      <c r="AS162" s="7"/>
      <c r="AT162" s="123"/>
      <c r="AU162" s="123"/>
      <c r="AV162" s="123"/>
      <c r="AW162" s="123"/>
      <c r="AX162" s="123"/>
      <c r="AY162" s="123"/>
      <c r="AZ162" s="7"/>
    </row>
    <row r="163" spans="1:52" s="1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AF163" s="7"/>
      <c r="AG163" s="7"/>
      <c r="AH163" s="7"/>
      <c r="AI163" s="7"/>
      <c r="AJ163" s="7"/>
      <c r="AK163" s="7"/>
      <c r="AL163" s="7"/>
      <c r="AM163" s="7"/>
      <c r="AN163" s="7"/>
      <c r="AR163" s="92"/>
      <c r="AS163" s="7"/>
      <c r="AT163" s="123"/>
      <c r="AU163" s="123"/>
      <c r="AV163" s="123"/>
      <c r="AW163" s="123"/>
      <c r="AX163" s="123"/>
      <c r="AY163" s="123"/>
      <c r="AZ163" s="7"/>
    </row>
    <row r="164" spans="1:52" s="18" customFormat="1">
      <c r="A164" s="88" t="s">
        <v>73</v>
      </c>
      <c r="B164" s="88"/>
      <c r="C164" s="23" t="str">
        <f>CONCATENATE("m",Stufengrün!AH46)</f>
        <v>m-2</v>
      </c>
      <c r="D164" s="23" t="s">
        <v>30</v>
      </c>
      <c r="E164" s="28"/>
      <c r="F164" s="28"/>
      <c r="G164" s="28"/>
      <c r="H164" s="36" t="s">
        <v>57</v>
      </c>
      <c r="I164" s="36" t="s">
        <v>51</v>
      </c>
      <c r="J164" s="36" t="s">
        <v>58</v>
      </c>
      <c r="K164" s="36" t="s">
        <v>59</v>
      </c>
      <c r="L164" s="28"/>
      <c r="M164" s="28"/>
      <c r="N164" s="28"/>
      <c r="O164" s="28"/>
      <c r="P164" s="28"/>
      <c r="AF164" s="7"/>
      <c r="AG164" s="7"/>
      <c r="AH164" s="7"/>
      <c r="AI164" s="7"/>
      <c r="AJ164" s="7"/>
      <c r="AK164" s="7"/>
      <c r="AL164" s="7"/>
      <c r="AM164" s="7"/>
      <c r="AN164" s="7"/>
      <c r="AR164" s="92"/>
      <c r="AS164" s="7"/>
      <c r="AT164" s="123"/>
      <c r="AU164" s="123"/>
      <c r="AV164" s="123"/>
      <c r="AW164" s="123"/>
      <c r="AX164" s="123"/>
      <c r="AY164" s="123"/>
      <c r="AZ164" s="7"/>
    </row>
    <row r="165" spans="1:52" s="18" customFormat="1">
      <c r="A165" s="88" t="s">
        <v>69</v>
      </c>
      <c r="B165" s="88"/>
      <c r="C165" s="36">
        <f>Stufengrün!AI46</f>
        <v>0.26129405619084795</v>
      </c>
      <c r="D165" s="26">
        <f>Stufengrün!AK46</f>
        <v>-0.18321833372345622</v>
      </c>
      <c r="E165" s="28"/>
      <c r="F165" s="28"/>
      <c r="G165" s="28"/>
      <c r="H165" s="78">
        <f>H154</f>
        <v>1.4273094608865726</v>
      </c>
      <c r="I165" s="78">
        <f>I154</f>
        <v>-0.27035186996590954</v>
      </c>
      <c r="J165" s="78">
        <f>J154</f>
        <v>-0.99831425149096298</v>
      </c>
      <c r="K165" s="78">
        <f>K154</f>
        <v>2.7978708432158887</v>
      </c>
      <c r="L165" s="28"/>
      <c r="M165" s="28"/>
      <c r="N165" s="28"/>
      <c r="O165" s="28"/>
      <c r="P165" s="28"/>
      <c r="AF165" s="7"/>
      <c r="AG165" s="7"/>
      <c r="AH165" s="7"/>
      <c r="AI165" s="7"/>
      <c r="AJ165" s="7"/>
      <c r="AK165" s="7"/>
      <c r="AL165" s="7"/>
      <c r="AM165" s="7"/>
      <c r="AN165" s="7"/>
      <c r="AR165" s="92"/>
      <c r="AS165" s="7"/>
      <c r="AT165" s="123"/>
      <c r="AU165" s="123"/>
      <c r="AV165" s="123"/>
      <c r="AW165" s="123"/>
      <c r="AX165" s="123"/>
      <c r="AY165" s="123"/>
      <c r="AZ165" s="7"/>
    </row>
    <row r="166" spans="1:52" s="18" customFormat="1">
      <c r="A166" s="95"/>
      <c r="B166" s="95"/>
      <c r="C166" s="28"/>
      <c r="D166" s="28"/>
      <c r="E166" s="28"/>
      <c r="F166" s="28"/>
      <c r="G166" s="28"/>
      <c r="H166" s="37" t="s">
        <v>8</v>
      </c>
      <c r="I166" s="37" t="s">
        <v>8</v>
      </c>
      <c r="J166" s="37" t="s">
        <v>9</v>
      </c>
      <c r="K166" s="37" t="s">
        <v>9</v>
      </c>
      <c r="L166" s="28"/>
      <c r="M166" s="28"/>
      <c r="N166" s="28"/>
      <c r="O166" s="28"/>
      <c r="P166" s="28"/>
      <c r="AF166" s="7"/>
      <c r="AG166" s="7"/>
      <c r="AH166" s="7"/>
      <c r="AI166" s="7"/>
      <c r="AJ166" s="7"/>
      <c r="AK166" s="7"/>
      <c r="AL166" s="7"/>
      <c r="AM166" s="7"/>
      <c r="AN166" s="7"/>
      <c r="AR166" s="92"/>
      <c r="AS166" s="7"/>
      <c r="AT166" s="123"/>
      <c r="AU166" s="123"/>
      <c r="AV166" s="123"/>
      <c r="AW166" s="123"/>
      <c r="AX166" s="123"/>
      <c r="AY166" s="123"/>
      <c r="AZ166" s="7"/>
    </row>
    <row r="167" spans="1:52" s="18" customFormat="1">
      <c r="A167" s="88" t="s">
        <v>68</v>
      </c>
      <c r="B167" s="88"/>
      <c r="C167" s="115" t="s">
        <v>15</v>
      </c>
      <c r="D167" s="115" t="s">
        <v>55</v>
      </c>
      <c r="E167" s="115" t="s">
        <v>12</v>
      </c>
      <c r="F167" s="115" t="s">
        <v>10</v>
      </c>
      <c r="G167" s="115" t="s">
        <v>14</v>
      </c>
      <c r="H167" s="115" t="s">
        <v>21</v>
      </c>
      <c r="I167" s="115" t="s">
        <v>16</v>
      </c>
      <c r="J167" s="115" t="s">
        <v>17</v>
      </c>
      <c r="K167" s="115" t="s">
        <v>23</v>
      </c>
      <c r="L167" s="28"/>
      <c r="M167" s="28"/>
      <c r="N167" s="28"/>
      <c r="O167" s="28"/>
      <c r="P167" s="28"/>
      <c r="AF167" s="7"/>
      <c r="AG167" s="7"/>
      <c r="AH167" s="7"/>
      <c r="AI167" s="7"/>
      <c r="AJ167" s="7"/>
      <c r="AK167" s="7"/>
      <c r="AL167" s="7"/>
      <c r="AM167" s="7"/>
      <c r="AN167" s="7"/>
      <c r="AR167" s="92"/>
      <c r="AS167" s="7"/>
      <c r="AT167" s="123"/>
      <c r="AU167" s="123"/>
      <c r="AV167" s="123"/>
      <c r="AW167" s="123"/>
      <c r="AX167" s="123"/>
      <c r="AY167" s="123"/>
      <c r="AZ167" s="7"/>
    </row>
    <row r="168" spans="1:52" s="18" customFormat="1">
      <c r="A168" s="28"/>
      <c r="B168" s="28"/>
      <c r="C168" s="23">
        <f>Mü/TAN($C165)</f>
        <v>0.26177261284076359</v>
      </c>
      <c r="D168" s="42">
        <f>SQRT($J165*$J165+$K165*$K165)</f>
        <v>2.9706417825189813</v>
      </c>
      <c r="E168" s="20">
        <f>ATAN($J165/$K165)+PI()</f>
        <v>2.7988620595831821</v>
      </c>
      <c r="F168" s="23">
        <f>($E168-A181-0.0001)/5</f>
        <v>1.8525582521718743E-3</v>
      </c>
      <c r="G168" s="23">
        <f>COS($E168)</f>
        <v>-0.94184053414996749</v>
      </c>
      <c r="H168" s="23">
        <f>SIN($E168)</f>
        <v>0.3360601259181219</v>
      </c>
      <c r="I168" s="23">
        <f>$C168+$G168</f>
        <v>-0.6800679213092039</v>
      </c>
      <c r="J168" s="23">
        <f>POWER(TAN($E168/2),$C168)</f>
        <v>1.5827687984066263</v>
      </c>
      <c r="K168" s="23">
        <f>-$D168*$D168*SIN($E168)*SIN($E168)/(2*9.81*SIN($C165)*POWER(TAN($E168/2),2*$C168))</f>
        <v>-7.8491788068432808E-2</v>
      </c>
      <c r="L168" s="28"/>
      <c r="M168" s="28"/>
      <c r="N168" s="28"/>
      <c r="O168" s="28"/>
      <c r="P168" s="28"/>
      <c r="AF168" s="7"/>
      <c r="AG168" s="7"/>
      <c r="AH168" s="7"/>
      <c r="AI168" s="7"/>
      <c r="AJ168" s="7"/>
      <c r="AK168" s="7"/>
      <c r="AL168" s="7"/>
      <c r="AM168" s="7"/>
      <c r="AN168" s="7"/>
      <c r="AR168" s="92"/>
      <c r="AS168" s="7"/>
      <c r="AT168" s="123"/>
      <c r="AU168" s="123"/>
      <c r="AV168" s="123"/>
      <c r="AW168" s="123"/>
      <c r="AX168" s="123"/>
      <c r="AY168" s="123"/>
      <c r="AZ168" s="7"/>
    </row>
    <row r="169" spans="1:52" s="18" customFormat="1">
      <c r="A169" s="88" t="s">
        <v>70</v>
      </c>
      <c r="B169" s="8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45"/>
      <c r="N169" s="28"/>
      <c r="O169" s="28"/>
      <c r="P169" s="28"/>
      <c r="AF169" s="7"/>
      <c r="AG169" s="7"/>
      <c r="AH169" s="7"/>
      <c r="AI169" s="7"/>
      <c r="AJ169" s="7"/>
      <c r="AK169" s="7"/>
      <c r="AL169" s="7"/>
      <c r="AM169" s="7"/>
      <c r="AN169" s="7"/>
      <c r="AR169" s="92"/>
      <c r="AS169" s="7"/>
      <c r="AT169" s="123"/>
      <c r="AU169" s="123"/>
      <c r="AV169" s="123"/>
      <c r="AW169" s="123"/>
      <c r="AX169" s="123"/>
      <c r="AY169" s="123"/>
      <c r="AZ169" s="7"/>
    </row>
    <row r="170" spans="1:52" s="18" customFormat="1">
      <c r="A170" s="115" t="s">
        <v>11</v>
      </c>
      <c r="B170" s="115" t="s">
        <v>13</v>
      </c>
      <c r="C170" s="117" t="s">
        <v>22</v>
      </c>
      <c r="D170" s="117" t="s">
        <v>18</v>
      </c>
      <c r="E170" s="115" t="s">
        <v>19</v>
      </c>
      <c r="F170" s="117" t="s">
        <v>20</v>
      </c>
      <c r="G170" s="117" t="s">
        <v>2</v>
      </c>
      <c r="H170" s="117" t="s">
        <v>65</v>
      </c>
      <c r="I170" s="117" t="s">
        <v>66</v>
      </c>
      <c r="J170" s="118" t="s">
        <v>3</v>
      </c>
      <c r="K170" s="118" t="s">
        <v>4</v>
      </c>
      <c r="L170" s="116" t="s">
        <v>7</v>
      </c>
      <c r="M170" s="93"/>
      <c r="N170" s="117" t="s">
        <v>61</v>
      </c>
      <c r="O170" s="117" t="s">
        <v>62</v>
      </c>
      <c r="P170" s="115" t="s">
        <v>63</v>
      </c>
      <c r="AF170" s="7"/>
      <c r="AG170" s="7"/>
      <c r="AH170" s="7"/>
      <c r="AI170" s="7"/>
      <c r="AJ170" s="7"/>
      <c r="AK170" s="7"/>
      <c r="AL170" s="7"/>
      <c r="AM170" s="7"/>
      <c r="AN170" s="7"/>
      <c r="AR170" s="92"/>
      <c r="AS170" s="7"/>
      <c r="AT170" s="123"/>
      <c r="AU170" s="123"/>
      <c r="AV170" s="123"/>
      <c r="AW170" s="123"/>
      <c r="AX170" s="123"/>
      <c r="AY170" s="123"/>
      <c r="AZ170" s="7"/>
    </row>
    <row r="171" spans="1:52" s="18" customFormat="1">
      <c r="A171" s="19">
        <f>$E168</f>
        <v>2.7988620595831821</v>
      </c>
      <c r="B171" s="26">
        <f>COS(A171)</f>
        <v>-0.94184053414996749</v>
      </c>
      <c r="C171" s="26">
        <f>($C$168+B171)</f>
        <v>-0.6800679213092039</v>
      </c>
      <c r="D171" s="26">
        <f>POWER(TAN(A171/2),$C$168)</f>
        <v>1.5827687984066263</v>
      </c>
      <c r="E171" s="26">
        <f>SIN(A171)</f>
        <v>0.3360601259181219</v>
      </c>
      <c r="F171" s="77">
        <f>(C171*$H$168*D171/E171/$I$168/$J$168)</f>
        <v>1.0000000000000002</v>
      </c>
      <c r="G171" s="77">
        <f>$D$168*($C$168+$G$168)/9.81/SIN($C$165)/(1-$C$168*$C$165)*(F171-1)</f>
        <v>-1.9000620503075443E-16</v>
      </c>
      <c r="H171" s="75">
        <f>-(-$H$165+$K$168*((POWER(TAN(A171/2),2*$C$168-1)/(2*$C$168-1))+(POWER(TAN(A171/2),2*$C$168+1)/(2*$C$168+1))-(POWER(TAN($E$168/2),2*$C$168-1)/(2*$C$168-1))-(POWER(TAN($E$168/2),2*$C$168+1)/(2*$C$168+1))))</f>
        <v>1.4273094608865726</v>
      </c>
      <c r="I171" s="75">
        <f>-(-$I$165+0.5*$K$168*((POWER(TAN(A171/2),2*$C$168-2)/(2*$C$168-2))-(POWER(TAN(A171/2),2*$C$168+2)/(2*$C$168+2))-(POWER(TAN($E$168/2),2*$C$168-2)/(2*$C$168-2))+(POWER(TAN($E$168/2),2*$C$168+2)/(2*$C$168+2))))</f>
        <v>-0.27035186996590954</v>
      </c>
      <c r="J171" s="77">
        <f>-$D$168*SIN(A171)*($C$168+$G$168)/($C$168+B171)*F171</f>
        <v>-0.9983142514909632</v>
      </c>
      <c r="K171" s="77">
        <f>-$D$168*COS(A171)*($C$168+$G$168)/($C$168+B171)*F171</f>
        <v>2.7978708432158892</v>
      </c>
      <c r="L171" s="91">
        <f>SQRT(J171*J171+K171*K171)</f>
        <v>2.9706417825189817</v>
      </c>
      <c r="M171" s="93"/>
      <c r="N171" s="75">
        <f>-(-$I$165+0.5*$K$168*((POWER(TAN(A171/2),2*$C$168-2)/(2*$C$168-2))-(POWER(TAN(A171/2),2*$C$168+2)/(2*$C$168+2))-(POWER(TAN($E$168/2),2*$C$168-2)/(2*$C$168-2))+(POWER(TAN($E$168/2),2*$C$168+2)/(2*$C$168+2))))-$D$165</f>
        <v>-8.7133536242453319E-2</v>
      </c>
      <c r="O171" s="75">
        <f>-(-$I$165+0.5*$K$168*((POWER(TAN((A171+$M$9)/2),2*$C$168-2)/(2*$C$168-2))-(POWER(TAN((A171+$M$9)/2),2*$C$168+2)/(2*$C$168+2))-(POWER(TAN($E$168/2),2*$C$168-2)/(2*$C$168-2))+(POWER(TAN($E$168/2),2*$C$168+2)/(2*$C$168+2))))-$D$165</f>
        <v>-0.11687061887692893</v>
      </c>
      <c r="P171" s="75">
        <f>A171-N171/(O171-N171)*$M$9</f>
        <v>2.7900716677367301</v>
      </c>
      <c r="AF171" s="7"/>
      <c r="AG171" s="7"/>
      <c r="AH171" s="7"/>
      <c r="AI171" s="7"/>
      <c r="AJ171" s="7"/>
      <c r="AK171" s="7"/>
      <c r="AL171" s="7"/>
      <c r="AM171" s="7"/>
      <c r="AN171" s="7"/>
      <c r="AR171" s="92"/>
      <c r="AS171" s="7"/>
      <c r="AT171" s="123"/>
      <c r="AU171" s="123"/>
      <c r="AV171" s="123"/>
      <c r="AW171" s="123"/>
      <c r="AX171" s="123"/>
      <c r="AY171" s="123"/>
      <c r="AZ171" s="7"/>
    </row>
    <row r="172" spans="1:52" s="18" customFormat="1">
      <c r="A172" s="19">
        <f>$P171</f>
        <v>2.7900716677367301</v>
      </c>
      <c r="B172" s="26">
        <f>COS(A172)</f>
        <v>-0.93885008376303036</v>
      </c>
      <c r="C172" s="26">
        <f>($C$168+B172)</f>
        <v>-0.67707747092226678</v>
      </c>
      <c r="D172" s="26">
        <f>POWER(TAN(A172/2),$C$168)</f>
        <v>1.5720985410317638</v>
      </c>
      <c r="E172" s="26">
        <f>SIN(A172)</f>
        <v>0.34432618288209066</v>
      </c>
      <c r="F172" s="77">
        <f>(C172*$H$168*D172/E172/$I$168/$J$168)</f>
        <v>0.96515106805358686</v>
      </c>
      <c r="G172" s="77">
        <f>$D$168*($C$168+$G$168)/9.81/SIN($C$165)/(1-$C$168*$C$165)*(F172-1)</f>
        <v>2.9820644868847852E-2</v>
      </c>
      <c r="H172" s="75">
        <f>-(-$H$165+$K$168*((POWER(TAN(A172/2),2*$C$168-1)/(2*$C$168-1))+(POWER(TAN(A172/2),2*$C$168+1)/(2*$C$168+1))-(POWER(TAN($E$168/2),2*$C$168-1)/(2*$C$168-1))-(POWER(TAN($E$168/2),2*$C$168+1)/(2*$C$168+1))))</f>
        <v>1.3976350380792284</v>
      </c>
      <c r="I172" s="75">
        <f>-(-$I$165+0.5*$K$168*((POWER(TAN(A172/2),2*$C$168-2)/(2*$C$168-2))-(POWER(TAN(A172/2),2*$C$168+2)/(2*$C$168+2))-(POWER(TAN($E$168/2),2*$C$168-2)/(2*$C$168-2))+(POWER(TAN($E$168/2),2*$C$168+2)/(2*$C$168+2))))</f>
        <v>-0.18831104447114488</v>
      </c>
      <c r="J172" s="77">
        <f>-$D$168*SIN(A172)*($C$168+$G$168)/($C$168+B172)*F172</f>
        <v>-0.9915841023907751</v>
      </c>
      <c r="K172" s="77">
        <f>-$D$168*COS(A172)*($C$168+$G$168)/($C$168+B172)*F172</f>
        <v>2.7036829142512753</v>
      </c>
      <c r="L172" s="91">
        <f>SQRT(J172*J172+K172*K172)</f>
        <v>2.8797812994962637</v>
      </c>
      <c r="M172" s="93"/>
      <c r="N172" s="75">
        <f>-(-$I$165+0.5*$K$168*((POWER(TAN(A172/2),2*$C$168-2)/(2*$C$168-2))-(POWER(TAN(A172/2),2*$C$168+2)/(2*$C$168+2))-(POWER(TAN($E$168/2),2*$C$168-2)/(2*$C$168-2))+(POWER(TAN($E$168/2),2*$C$168+2)/(2*$C$168+2))))-$D$165</f>
        <v>-5.0927107476886613E-3</v>
      </c>
      <c r="O172" s="75">
        <f t="shared" ref="O172:O181" si="175">-(-$I$165+0.5*$K$168*((POWER(TAN((A172+$M$9)/2),2*$C$168-2)/(2*$C$168-2))-(POWER(TAN((A172+$M$9)/2),2*$C$168+2)/(2*$C$168+2))-(POWER(TAN($E$168/2),2*$C$168-2)/(2*$C$168-2))+(POWER(TAN($E$168/2),2*$C$168+2)/(2*$C$168+2))))-$D$165</f>
        <v>-3.2270519005529241E-2</v>
      </c>
      <c r="P172" s="75">
        <f t="shared" ref="P172:P181" si="176">A172-N172/(O172-N172)*$M$9</f>
        <v>2.7895095130516236</v>
      </c>
      <c r="AF172" s="7"/>
      <c r="AG172" s="7"/>
      <c r="AH172" s="7"/>
      <c r="AI172" s="7"/>
      <c r="AJ172" s="7"/>
      <c r="AK172" s="7"/>
      <c r="AL172" s="7"/>
      <c r="AM172" s="7"/>
      <c r="AN172" s="7"/>
      <c r="AR172" s="92"/>
      <c r="AS172" s="7"/>
      <c r="AT172" s="123"/>
      <c r="AU172" s="123"/>
      <c r="AV172" s="123"/>
      <c r="AW172" s="123"/>
      <c r="AX172" s="123"/>
      <c r="AY172" s="123"/>
      <c r="AZ172" s="7"/>
    </row>
    <row r="173" spans="1:52" s="18" customFormat="1">
      <c r="A173" s="19">
        <f t="shared" ref="A173:A181" si="177">$P172</f>
        <v>2.7895095130516236</v>
      </c>
      <c r="B173" s="26">
        <f t="shared" ref="B173:B181" si="178">COS(A173)</f>
        <v>-0.93865637084960596</v>
      </c>
      <c r="C173" s="26">
        <f t="shared" ref="C173:C181" si="179">($C$168+B173)</f>
        <v>-0.67688375800884237</v>
      </c>
      <c r="D173" s="26">
        <f t="shared" ref="D173:D181" si="180">POWER(TAN(A173/2),$C$168)</f>
        <v>1.57142732174907</v>
      </c>
      <c r="E173" s="26">
        <f t="shared" ref="E173:E181" si="181">SIN(A173)</f>
        <v>0.34485390742087724</v>
      </c>
      <c r="F173" s="77">
        <f t="shared" ref="F173:F181" si="182">(C173*$H$168*D173/E173/$I$168/$J$168)</f>
        <v>0.96298707363256753</v>
      </c>
      <c r="G173" s="77">
        <f t="shared" ref="G173:G181" si="183">$D$168*($C$168+$G$168)/9.81/SIN($C$165)/(1-$C$168*$C$165)*(F173-1)</f>
        <v>3.1672400590561658E-2</v>
      </c>
      <c r="H173" s="75">
        <f t="shared" ref="H173:H181" si="184">-(-$H$165+$K$168*((POWER(TAN(A173/2),2*$C$168-1)/(2*$C$168-1))+(POWER(TAN(A173/2),2*$C$168+1)/(2*$C$168+1))-(POWER(TAN($E$168/2),2*$C$168-1)/(2*$C$168-1))-(POWER(TAN($E$168/2),2*$C$168+1)/(2*$C$168+1))))</f>
        <v>1.3957990115357168</v>
      </c>
      <c r="I173" s="75">
        <f t="shared" ref="I173:I181" si="185">-(-$I$165+0.5*$K$168*((POWER(TAN(A173/2),2*$C$168-2)/(2*$C$168-2))-(POWER(TAN(A173/2),2*$C$168+2)/(2*$C$168+2))-(POWER(TAN($E$168/2),2*$C$168-2)/(2*$C$168-2))+(POWER(TAN($E$168/2),2*$C$168+2)/(2*$C$168+2))))</f>
        <v>-0.18330922498346536</v>
      </c>
      <c r="J173" s="77">
        <f t="shared" ref="J173:J181" si="186">-$D$168*SIN(A173)*($C$168+$G$168)/($C$168+B173)*F173</f>
        <v>-0.9911607381088513</v>
      </c>
      <c r="K173" s="77">
        <f t="shared" ref="K173:K181" si="187">-$D$168*COS(A173)*($C$168+$G$168)/($C$168+B173)*F173</f>
        <v>2.697836160013154</v>
      </c>
      <c r="L173" s="91">
        <f t="shared" ref="L173:L181" si="188">SQRT(J173*J173+K173*K173)</f>
        <v>2.874146752523782</v>
      </c>
      <c r="M173" s="93"/>
      <c r="N173" s="75">
        <f t="shared" ref="N173:N181" si="189">-(-$I$165+0.5*$K$168*((POWER(TAN(A173/2),2*$C$168-2)/(2*$C$168-2))-(POWER(TAN(A173/2),2*$C$168+2)/(2*$C$168+2))-(POWER(TAN($E$168/2),2*$C$168-2)/(2*$C$168-2))+(POWER(TAN($E$168/2),2*$C$168+2)/(2*$C$168+2))))-$D$165</f>
        <v>-9.0891260009134944E-5</v>
      </c>
      <c r="O173" s="75">
        <f t="shared" si="175"/>
        <v>-2.7114796476107483E-2</v>
      </c>
      <c r="P173" s="75">
        <f t="shared" si="176"/>
        <v>2.7894994229562862</v>
      </c>
      <c r="AF173" s="7"/>
      <c r="AG173" s="7"/>
      <c r="AH173" s="7"/>
      <c r="AI173" s="7"/>
      <c r="AJ173" s="7"/>
      <c r="AK173" s="7"/>
      <c r="AL173" s="7"/>
      <c r="AM173" s="7"/>
      <c r="AN173" s="7"/>
      <c r="AR173" s="92"/>
      <c r="AS173" s="7"/>
      <c r="AT173" s="123"/>
      <c r="AU173" s="123"/>
      <c r="AV173" s="123"/>
      <c r="AW173" s="123"/>
      <c r="AX173" s="123"/>
      <c r="AY173" s="123"/>
      <c r="AZ173" s="7"/>
    </row>
    <row r="174" spans="1:52" s="18" customFormat="1">
      <c r="A174" s="19">
        <f t="shared" si="177"/>
        <v>2.7894994229562862</v>
      </c>
      <c r="B174" s="26">
        <f t="shared" si="178"/>
        <v>-0.93865289119302031</v>
      </c>
      <c r="C174" s="26">
        <f t="shared" si="179"/>
        <v>-0.67688027835225673</v>
      </c>
      <c r="D174" s="26">
        <f t="shared" si="180"/>
        <v>1.5714152860589006</v>
      </c>
      <c r="E174" s="26">
        <f t="shared" si="181"/>
        <v>0.34486337853559329</v>
      </c>
      <c r="F174" s="77">
        <f t="shared" si="182"/>
        <v>0.96294830110246021</v>
      </c>
      <c r="G174" s="77">
        <f t="shared" si="183"/>
        <v>3.1705578704966278E-2</v>
      </c>
      <c r="H174" s="75">
        <f t="shared" si="184"/>
        <v>1.39576612239466</v>
      </c>
      <c r="I174" s="75">
        <f t="shared" si="185"/>
        <v>-0.18321970556674236</v>
      </c>
      <c r="J174" s="77">
        <f t="shared" si="186"/>
        <v>-0.99115314672782662</v>
      </c>
      <c r="K174" s="77">
        <f t="shared" si="187"/>
        <v>2.6977314052356336</v>
      </c>
      <c r="L174" s="91">
        <f t="shared" si="188"/>
        <v>2.8740458060133802</v>
      </c>
      <c r="M174" s="93"/>
      <c r="N174" s="75">
        <f t="shared" si="189"/>
        <v>-1.3718432861353769E-6</v>
      </c>
      <c r="O174" s="75">
        <f t="shared" si="175"/>
        <v>-2.7022524858953789E-2</v>
      </c>
      <c r="P174" s="75">
        <f t="shared" si="176"/>
        <v>2.7894992706485793</v>
      </c>
      <c r="AF174" s="7"/>
      <c r="AG174" s="7"/>
      <c r="AH174" s="7"/>
      <c r="AI174" s="7"/>
      <c r="AJ174" s="7"/>
      <c r="AK174" s="7"/>
      <c r="AL174" s="7"/>
      <c r="AM174" s="7"/>
      <c r="AN174" s="7"/>
      <c r="AR174" s="92"/>
      <c r="AS174" s="7"/>
      <c r="AT174" s="123"/>
      <c r="AU174" s="123"/>
      <c r="AV174" s="123"/>
      <c r="AW174" s="123"/>
      <c r="AX174" s="123"/>
      <c r="AY174" s="123"/>
      <c r="AZ174" s="7"/>
    </row>
    <row r="175" spans="1:52" s="18" customFormat="1">
      <c r="A175" s="19">
        <f t="shared" si="177"/>
        <v>2.7894992706485793</v>
      </c>
      <c r="B175" s="26">
        <f t="shared" si="178"/>
        <v>-0.93865283866765914</v>
      </c>
      <c r="C175" s="26">
        <f t="shared" si="179"/>
        <v>-0.67688022582689555</v>
      </c>
      <c r="D175" s="26">
        <f t="shared" si="180"/>
        <v>1.5714151043861182</v>
      </c>
      <c r="E175" s="26">
        <f t="shared" si="181"/>
        <v>0.34486352149965871</v>
      </c>
      <c r="F175" s="77">
        <f t="shared" si="182"/>
        <v>0.96294771585847883</v>
      </c>
      <c r="G175" s="77">
        <f t="shared" si="183"/>
        <v>3.1706079505190436E-2</v>
      </c>
      <c r="H175" s="75">
        <f t="shared" si="184"/>
        <v>1.3957656259582141</v>
      </c>
      <c r="I175" s="75">
        <f t="shared" si="185"/>
        <v>-0.18321835436094797</v>
      </c>
      <c r="J175" s="77">
        <f t="shared" si="186"/>
        <v>-0.99115303213968964</v>
      </c>
      <c r="K175" s="77">
        <f t="shared" si="187"/>
        <v>2.6977298240367755</v>
      </c>
      <c r="L175" s="91">
        <f t="shared" si="188"/>
        <v>2.8740442822992818</v>
      </c>
      <c r="M175" s="93"/>
      <c r="N175" s="75">
        <f t="shared" si="189"/>
        <v>-2.063749174330276E-8</v>
      </c>
      <c r="O175" s="75">
        <f t="shared" si="175"/>
        <v>-2.7021132112064999E-2</v>
      </c>
      <c r="P175" s="75">
        <f t="shared" si="176"/>
        <v>2.7894992683573161</v>
      </c>
      <c r="AF175" s="7"/>
      <c r="AG175" s="7"/>
      <c r="AH175" s="7"/>
      <c r="AI175" s="7"/>
      <c r="AJ175" s="7"/>
      <c r="AK175" s="7"/>
      <c r="AL175" s="7"/>
      <c r="AM175" s="7"/>
      <c r="AN175" s="7"/>
      <c r="AR175" s="92"/>
      <c r="AS175" s="7"/>
      <c r="AT175" s="123"/>
      <c r="AU175" s="123"/>
      <c r="AV175" s="123"/>
      <c r="AW175" s="123"/>
      <c r="AX175" s="123"/>
      <c r="AY175" s="123"/>
      <c r="AZ175" s="7"/>
    </row>
    <row r="176" spans="1:52" s="18" customFormat="1">
      <c r="A176" s="19">
        <f t="shared" si="177"/>
        <v>2.7894992683573161</v>
      </c>
      <c r="B176" s="26">
        <f t="shared" si="178"/>
        <v>-0.93865283787748599</v>
      </c>
      <c r="C176" s="26">
        <f t="shared" si="179"/>
        <v>-0.6768802250367224</v>
      </c>
      <c r="D176" s="26">
        <f t="shared" si="180"/>
        <v>1.5714151016530979</v>
      </c>
      <c r="E176" s="26">
        <f t="shared" si="181"/>
        <v>0.34486352365035938</v>
      </c>
      <c r="F176" s="77">
        <f t="shared" si="182"/>
        <v>0.96294770705428001</v>
      </c>
      <c r="G176" s="77">
        <f t="shared" si="183"/>
        <v>3.1706087039047905E-2</v>
      </c>
      <c r="H176" s="75">
        <f t="shared" si="184"/>
        <v>1.3957656184900045</v>
      </c>
      <c r="I176" s="75">
        <f t="shared" si="185"/>
        <v>-0.18321833403390264</v>
      </c>
      <c r="J176" s="77">
        <f t="shared" si="186"/>
        <v>-0.99115303041586689</v>
      </c>
      <c r="K176" s="77">
        <f t="shared" si="187"/>
        <v>2.697729800249792</v>
      </c>
      <c r="L176" s="91">
        <f t="shared" si="188"/>
        <v>2.8740442593770785</v>
      </c>
      <c r="M176" s="93"/>
      <c r="N176" s="75">
        <f t="shared" si="189"/>
        <v>-3.1044641857214117E-10</v>
      </c>
      <c r="O176" s="75">
        <f t="shared" si="175"/>
        <v>-2.7021111160090427E-2</v>
      </c>
      <c r="P176" s="75">
        <f t="shared" si="176"/>
        <v>2.789499268322849</v>
      </c>
      <c r="AF176" s="7"/>
      <c r="AG176" s="7"/>
      <c r="AH176" s="7"/>
      <c r="AI176" s="7"/>
      <c r="AJ176" s="7"/>
      <c r="AK176" s="7"/>
      <c r="AL176" s="7"/>
      <c r="AM176" s="7"/>
      <c r="AN176" s="7"/>
      <c r="AR176" s="92"/>
      <c r="AS176" s="7"/>
      <c r="AT176" s="123"/>
      <c r="AU176" s="123"/>
      <c r="AV176" s="123"/>
      <c r="AW176" s="123"/>
      <c r="AX176" s="123"/>
      <c r="AY176" s="123"/>
      <c r="AZ176" s="7"/>
    </row>
    <row r="177" spans="1:52" s="18" customFormat="1">
      <c r="A177" s="19">
        <f t="shared" si="177"/>
        <v>2.789499268322849</v>
      </c>
      <c r="B177" s="26">
        <f t="shared" si="178"/>
        <v>-0.9386528378655995</v>
      </c>
      <c r="C177" s="26">
        <f t="shared" si="179"/>
        <v>-0.67688022502483591</v>
      </c>
      <c r="D177" s="26">
        <f t="shared" si="180"/>
        <v>1.5714151016119855</v>
      </c>
      <c r="E177" s="26">
        <f t="shared" si="181"/>
        <v>0.34486352368271206</v>
      </c>
      <c r="F177" s="77">
        <f t="shared" si="182"/>
        <v>0.96294770692183962</v>
      </c>
      <c r="G177" s="77">
        <f t="shared" si="183"/>
        <v>3.1706087152378722E-2</v>
      </c>
      <c r="H177" s="75">
        <f t="shared" si="184"/>
        <v>1.395765618377661</v>
      </c>
      <c r="I177" s="75">
        <f t="shared" si="185"/>
        <v>-0.18321833372812651</v>
      </c>
      <c r="J177" s="77">
        <f t="shared" si="186"/>
        <v>-0.99115303038993541</v>
      </c>
      <c r="K177" s="77">
        <f t="shared" si="187"/>
        <v>2.6977297998919676</v>
      </c>
      <c r="L177" s="91">
        <f t="shared" si="188"/>
        <v>2.8740442590322623</v>
      </c>
      <c r="M177" s="93"/>
      <c r="N177" s="75">
        <f t="shared" si="189"/>
        <v>-4.6702919309637991E-12</v>
      </c>
      <c r="O177" s="75">
        <f t="shared" si="175"/>
        <v>-2.7021110844912849E-2</v>
      </c>
      <c r="P177" s="75">
        <f t="shared" si="176"/>
        <v>2.7894992683223303</v>
      </c>
      <c r="AF177" s="7"/>
      <c r="AG177" s="7"/>
      <c r="AH177" s="7"/>
      <c r="AI177" s="7"/>
      <c r="AJ177" s="7"/>
      <c r="AK177" s="7"/>
      <c r="AL177" s="7"/>
      <c r="AM177" s="7"/>
      <c r="AN177" s="7"/>
      <c r="AR177" s="92"/>
      <c r="AS177" s="7"/>
      <c r="AT177" s="123"/>
      <c r="AU177" s="123"/>
      <c r="AV177" s="123"/>
      <c r="AW177" s="123"/>
      <c r="AX177" s="123"/>
      <c r="AY177" s="123"/>
      <c r="AZ177" s="7"/>
    </row>
    <row r="178" spans="1:52" s="18" customFormat="1">
      <c r="A178" s="19">
        <f>$P177</f>
        <v>2.7894992683223303</v>
      </c>
      <c r="B178" s="26">
        <f t="shared" si="178"/>
        <v>-0.93865283786542064</v>
      </c>
      <c r="C178" s="26">
        <f t="shared" si="179"/>
        <v>-0.67688022502465706</v>
      </c>
      <c r="D178" s="26">
        <f t="shared" si="180"/>
        <v>1.5714151016113669</v>
      </c>
      <c r="E178" s="26">
        <f t="shared" si="181"/>
        <v>0.34486352368319889</v>
      </c>
      <c r="F178" s="77">
        <f t="shared" si="182"/>
        <v>0.96294770691984666</v>
      </c>
      <c r="G178" s="77">
        <f t="shared" si="183"/>
        <v>3.1706087154084121E-2</v>
      </c>
      <c r="H178" s="75">
        <f t="shared" si="184"/>
        <v>1.3957656183759706</v>
      </c>
      <c r="I178" s="75">
        <f t="shared" si="185"/>
        <v>-0.18321833372352536</v>
      </c>
      <c r="J178" s="77">
        <f t="shared" si="186"/>
        <v>-0.99115303038954516</v>
      </c>
      <c r="K178" s="77">
        <f t="shared" si="187"/>
        <v>2.6977297998865835</v>
      </c>
      <c r="L178" s="91">
        <f t="shared" si="188"/>
        <v>2.8740442590270741</v>
      </c>
      <c r="M178" s="93"/>
      <c r="N178" s="75">
        <f t="shared" si="189"/>
        <v>-6.9139138858531624E-14</v>
      </c>
      <c r="O178" s="75">
        <f t="shared" si="175"/>
        <v>-2.7021110840169338E-2</v>
      </c>
      <c r="P178" s="75">
        <f t="shared" si="176"/>
        <v>2.7894992683223228</v>
      </c>
      <c r="AF178" s="7"/>
      <c r="AG178" s="7"/>
      <c r="AH178" s="7"/>
      <c r="AI178" s="7"/>
      <c r="AJ178" s="7"/>
      <c r="AK178" s="7"/>
      <c r="AL178" s="7"/>
      <c r="AM178" s="7"/>
      <c r="AN178" s="7"/>
      <c r="AR178" s="92"/>
      <c r="AS178" s="7"/>
      <c r="AT178" s="123"/>
      <c r="AU178" s="123"/>
      <c r="AV178" s="123"/>
      <c r="AW178" s="123"/>
      <c r="AX178" s="123"/>
      <c r="AY178" s="123"/>
      <c r="AZ178" s="7"/>
    </row>
    <row r="179" spans="1:52" s="18" customFormat="1">
      <c r="A179" s="19">
        <f t="shared" si="177"/>
        <v>2.7894992683223228</v>
      </c>
      <c r="B179" s="26">
        <f t="shared" si="178"/>
        <v>-0.93865283786541809</v>
      </c>
      <c r="C179" s="26">
        <f t="shared" si="179"/>
        <v>-0.6768802250246545</v>
      </c>
      <c r="D179" s="26">
        <f t="shared" si="180"/>
        <v>1.571415101611358</v>
      </c>
      <c r="E179" s="26">
        <f t="shared" si="181"/>
        <v>0.344863523683206</v>
      </c>
      <c r="F179" s="77">
        <f t="shared" si="182"/>
        <v>0.9629477069198179</v>
      </c>
      <c r="G179" s="77">
        <f t="shared" si="183"/>
        <v>3.1706087154108727E-2</v>
      </c>
      <c r="H179" s="75">
        <f t="shared" si="184"/>
        <v>1.3957656183759459</v>
      </c>
      <c r="I179" s="75">
        <f t="shared" si="185"/>
        <v>-0.18321833372345758</v>
      </c>
      <c r="J179" s="77">
        <f t="shared" si="186"/>
        <v>-0.99115303038953972</v>
      </c>
      <c r="K179" s="77">
        <f t="shared" si="187"/>
        <v>2.6977297998865057</v>
      </c>
      <c r="L179" s="91">
        <f t="shared" si="188"/>
        <v>2.8740442590269994</v>
      </c>
      <c r="M179" s="93"/>
      <c r="N179" s="75">
        <f t="shared" si="189"/>
        <v>-1.3600232051658168E-15</v>
      </c>
      <c r="O179" s="75">
        <f t="shared" si="175"/>
        <v>-2.7021110840100865E-2</v>
      </c>
      <c r="P179" s="75">
        <f t="shared" si="176"/>
        <v>2.7894992683223228</v>
      </c>
      <c r="AF179" s="7"/>
      <c r="AG179" s="7"/>
      <c r="AH179" s="7"/>
      <c r="AI179" s="7"/>
      <c r="AJ179" s="7"/>
      <c r="AK179" s="7"/>
      <c r="AL179" s="7"/>
      <c r="AM179" s="7"/>
      <c r="AN179" s="7"/>
      <c r="AR179" s="92"/>
      <c r="AS179" s="7"/>
      <c r="AT179" s="123"/>
      <c r="AU179" s="123"/>
      <c r="AV179" s="123"/>
      <c r="AW179" s="123"/>
      <c r="AX179" s="123"/>
      <c r="AY179" s="123"/>
      <c r="AZ179" s="7"/>
    </row>
    <row r="180" spans="1:52" s="18" customFormat="1">
      <c r="A180" s="19">
        <f t="shared" si="177"/>
        <v>2.7894992683223228</v>
      </c>
      <c r="B180" s="26">
        <f t="shared" si="178"/>
        <v>-0.93865283786541809</v>
      </c>
      <c r="C180" s="26">
        <f t="shared" si="179"/>
        <v>-0.6768802250246545</v>
      </c>
      <c r="D180" s="26">
        <f t="shared" si="180"/>
        <v>1.571415101611358</v>
      </c>
      <c r="E180" s="26">
        <f t="shared" si="181"/>
        <v>0.344863523683206</v>
      </c>
      <c r="F180" s="77">
        <f t="shared" si="182"/>
        <v>0.9629477069198179</v>
      </c>
      <c r="G180" s="77">
        <f t="shared" si="183"/>
        <v>3.1706087154108727E-2</v>
      </c>
      <c r="H180" s="75">
        <f t="shared" si="184"/>
        <v>1.3957656183759459</v>
      </c>
      <c r="I180" s="75">
        <f t="shared" si="185"/>
        <v>-0.18321833372345758</v>
      </c>
      <c r="J180" s="77">
        <f t="shared" si="186"/>
        <v>-0.99115303038953972</v>
      </c>
      <c r="K180" s="77">
        <f t="shared" si="187"/>
        <v>2.6977297998865057</v>
      </c>
      <c r="L180" s="91">
        <f t="shared" si="188"/>
        <v>2.8740442590269994</v>
      </c>
      <c r="M180" s="93"/>
      <c r="N180" s="75">
        <f t="shared" si="189"/>
        <v>-1.3600232051658168E-15</v>
      </c>
      <c r="O180" s="75">
        <f t="shared" si="175"/>
        <v>-2.7021110840100865E-2</v>
      </c>
      <c r="P180" s="75">
        <f t="shared" si="176"/>
        <v>2.7894992683223228</v>
      </c>
      <c r="AF180" s="7"/>
      <c r="AG180" s="7"/>
      <c r="AH180" s="7"/>
      <c r="AI180" s="7"/>
      <c r="AJ180" s="7"/>
      <c r="AK180" s="7"/>
      <c r="AL180" s="7"/>
      <c r="AM180" s="7"/>
      <c r="AN180" s="7"/>
      <c r="AR180" s="92"/>
      <c r="AS180" s="7"/>
      <c r="AT180" s="123"/>
      <c r="AU180" s="123"/>
      <c r="AV180" s="123"/>
      <c r="AW180" s="123"/>
      <c r="AX180" s="123"/>
      <c r="AY180" s="123"/>
      <c r="AZ180" s="7"/>
    </row>
    <row r="181" spans="1:52" s="18" customFormat="1">
      <c r="A181" s="19">
        <f t="shared" si="177"/>
        <v>2.7894992683223228</v>
      </c>
      <c r="B181" s="26">
        <f t="shared" si="178"/>
        <v>-0.93865283786541809</v>
      </c>
      <c r="C181" s="26">
        <f t="shared" si="179"/>
        <v>-0.6768802250246545</v>
      </c>
      <c r="D181" s="26">
        <f t="shared" si="180"/>
        <v>1.571415101611358</v>
      </c>
      <c r="E181" s="26">
        <f t="shared" si="181"/>
        <v>0.344863523683206</v>
      </c>
      <c r="F181" s="77">
        <f t="shared" si="182"/>
        <v>0.9629477069198179</v>
      </c>
      <c r="G181" s="77">
        <f t="shared" si="183"/>
        <v>3.1706087154108727E-2</v>
      </c>
      <c r="H181" s="75">
        <f t="shared" si="184"/>
        <v>1.3957656183759459</v>
      </c>
      <c r="I181" s="75">
        <f t="shared" si="185"/>
        <v>-0.18321833372345758</v>
      </c>
      <c r="J181" s="77">
        <f t="shared" si="186"/>
        <v>-0.99115303038953972</v>
      </c>
      <c r="K181" s="77">
        <f t="shared" si="187"/>
        <v>2.6977297998865057</v>
      </c>
      <c r="L181" s="91">
        <f t="shared" si="188"/>
        <v>2.8740442590269994</v>
      </c>
      <c r="M181" s="93"/>
      <c r="N181" s="75">
        <f t="shared" si="189"/>
        <v>-1.3600232051658168E-15</v>
      </c>
      <c r="O181" s="75">
        <f t="shared" si="175"/>
        <v>-2.7021110840100865E-2</v>
      </c>
      <c r="P181" s="75">
        <f t="shared" si="176"/>
        <v>2.7894992683223228</v>
      </c>
      <c r="AF181" s="7"/>
      <c r="AG181" s="7"/>
      <c r="AH181" s="7"/>
      <c r="AI181" s="7"/>
      <c r="AJ181" s="7"/>
      <c r="AK181" s="7"/>
      <c r="AL181" s="7"/>
      <c r="AM181" s="7"/>
      <c r="AN181" s="7"/>
      <c r="AR181" s="92"/>
      <c r="AS181" s="7"/>
      <c r="AT181" s="123"/>
      <c r="AU181" s="123"/>
      <c r="AV181" s="123"/>
      <c r="AW181" s="123"/>
      <c r="AX181" s="123"/>
      <c r="AY181" s="123"/>
      <c r="AZ181" s="7"/>
    </row>
    <row r="182" spans="1:52" s="18" customFormat="1">
      <c r="A182" s="88" t="s">
        <v>60</v>
      </c>
      <c r="B182" s="8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AF182" s="7"/>
      <c r="AG182" s="7"/>
      <c r="AH182" s="7"/>
      <c r="AI182" s="7"/>
      <c r="AJ182" s="7"/>
      <c r="AK182" s="7"/>
      <c r="AL182" s="7"/>
      <c r="AM182" s="7"/>
      <c r="AN182" s="7"/>
      <c r="AR182" s="92"/>
      <c r="AS182" s="7"/>
      <c r="AT182" s="123"/>
      <c r="AU182" s="123"/>
      <c r="AV182" s="123"/>
      <c r="AW182" s="123"/>
      <c r="AX182" s="123"/>
      <c r="AY182" s="123"/>
      <c r="AZ182" s="7"/>
    </row>
    <row r="183" spans="1:52" s="18" customFormat="1">
      <c r="A183" s="26" t="s">
        <v>11</v>
      </c>
      <c r="B183" s="26" t="s">
        <v>13</v>
      </c>
      <c r="C183" s="26" t="s">
        <v>22</v>
      </c>
      <c r="D183" s="26" t="s">
        <v>18</v>
      </c>
      <c r="E183" s="26" t="s">
        <v>19</v>
      </c>
      <c r="F183" s="26" t="s">
        <v>20</v>
      </c>
      <c r="G183" s="26" t="s">
        <v>2</v>
      </c>
      <c r="H183" s="26" t="s">
        <v>1</v>
      </c>
      <c r="I183" s="26" t="s">
        <v>0</v>
      </c>
      <c r="J183" s="76" t="s">
        <v>3</v>
      </c>
      <c r="K183" s="76" t="s">
        <v>4</v>
      </c>
      <c r="L183" s="44" t="s">
        <v>7</v>
      </c>
      <c r="M183" s="28"/>
      <c r="N183" s="28"/>
      <c r="O183" s="28"/>
      <c r="P183" s="31"/>
      <c r="AF183" s="7"/>
      <c r="AG183" s="7"/>
      <c r="AH183" s="7"/>
      <c r="AI183" s="7"/>
      <c r="AJ183" s="7"/>
      <c r="AK183" s="7"/>
      <c r="AL183" s="7"/>
      <c r="AM183" s="7"/>
      <c r="AN183" s="7"/>
      <c r="AR183" s="92"/>
      <c r="AS183" s="7"/>
      <c r="AT183" s="123"/>
      <c r="AU183" s="123"/>
      <c r="AV183" s="123"/>
      <c r="AW183" s="123"/>
      <c r="AX183" s="123"/>
      <c r="AY183" s="123"/>
      <c r="AZ183" s="7"/>
    </row>
    <row r="184" spans="1:52" s="18" customFormat="1">
      <c r="A184" s="19">
        <f>$E168</f>
        <v>2.7988620595831821</v>
      </c>
      <c r="B184" s="26">
        <f t="shared" ref="B184:B189" si="190">COS(A184)</f>
        <v>-0.94184053414996749</v>
      </c>
      <c r="C184" s="26">
        <f t="shared" ref="C184:C189" si="191">($C$168+B184)</f>
        <v>-0.6800679213092039</v>
      </c>
      <c r="D184" s="26">
        <f t="shared" ref="D184:D189" si="192">POWER(TAN(A184/2),$C$168)</f>
        <v>1.5827687984066263</v>
      </c>
      <c r="E184" s="26">
        <f t="shared" ref="E184:E189" si="193">SIN(A184)</f>
        <v>0.3360601259181219</v>
      </c>
      <c r="F184" s="77">
        <f t="shared" ref="F184:F189" si="194">(C184*$H$168*D184/E184/$I$168/$J$168)</f>
        <v>1.0000000000000002</v>
      </c>
      <c r="G184" s="77">
        <f t="shared" ref="G184:G189" si="195">$D$168*($C$168+$G$168)/9.81/SIN($C$165)/(1-$C$168*$C$165)*(F184-1)</f>
        <v>-1.9000620503075443E-16</v>
      </c>
      <c r="H184" s="137">
        <f t="shared" ref="H184:H189" si="196">-(-$H$165+$K$168*((POWER(TAN(A184/2),2*$C$168-1)/(2*$C$168-1))+(POWER(TAN(A184/2),2*$C$168+1)/(2*$C$168+1))-(POWER(TAN($E$168/2),2*$C$168-1)/(2*$C$168-1))-(POWER(TAN($E$168/2),2*$C$168+1)/(2*$C$168+1))))</f>
        <v>1.4273094608865726</v>
      </c>
      <c r="I184" s="137">
        <f t="shared" ref="I184:I189" si="197">-(-$I$165+0.5*$K$168*((POWER(TAN(A184/2),2*$C$168-2)/(2*$C$168-2))-(POWER(TAN(A184/2),2*$C$168+2)/(2*$C$168+2))-(POWER(TAN($E$168/2),2*$C$168-2)/(2*$C$168-2))+(POWER(TAN($E$168/2),2*$C$168+2)/(2*$C$168+2))))</f>
        <v>-0.27035186996590954</v>
      </c>
      <c r="J184" s="77">
        <f t="shared" ref="J184:J189" si="198">-$D$168*SIN(A184)*($C$168+$G$168)/($C$168+B184)*F184</f>
        <v>-0.9983142514909632</v>
      </c>
      <c r="K184" s="77">
        <f t="shared" ref="K184:K189" si="199">-$D$168*COS(A184)*($C$168+$G$168)/($C$168+B184)*F184</f>
        <v>2.7978708432158892</v>
      </c>
      <c r="L184" s="91">
        <f t="shared" ref="L184:L189" si="200">SQRT(J184*J184+K184*K184)</f>
        <v>2.9706417825189817</v>
      </c>
      <c r="M184" s="28"/>
      <c r="N184" s="28"/>
      <c r="O184" s="28"/>
      <c r="P184" s="31"/>
      <c r="AF184" s="7"/>
      <c r="AG184" s="7"/>
      <c r="AH184" s="7"/>
      <c r="AI184" s="7"/>
      <c r="AJ184" s="7"/>
      <c r="AK184" s="7"/>
      <c r="AL184" s="7"/>
      <c r="AM184" s="7"/>
      <c r="AN184" s="7"/>
      <c r="AR184" s="92"/>
      <c r="AS184" s="7"/>
      <c r="AT184" s="123"/>
      <c r="AU184" s="123"/>
      <c r="AV184" s="123"/>
      <c r="AW184" s="123"/>
      <c r="AX184" s="123"/>
      <c r="AY184" s="123"/>
      <c r="AZ184" s="7"/>
    </row>
    <row r="185" spans="1:52" s="18" customFormat="1">
      <c r="A185" s="20">
        <f>A184-$F$168</f>
        <v>2.7970095013310101</v>
      </c>
      <c r="B185" s="26">
        <f t="shared" si="190"/>
        <v>-0.94121634736183435</v>
      </c>
      <c r="C185" s="26">
        <f t="shared" si="191"/>
        <v>-0.67944373452107076</v>
      </c>
      <c r="D185" s="26">
        <f t="shared" si="192"/>
        <v>1.580492342057134</v>
      </c>
      <c r="E185" s="26">
        <f t="shared" si="193"/>
        <v>0.33780436269954656</v>
      </c>
      <c r="F185" s="77">
        <f t="shared" si="194"/>
        <v>0.99249392161982419</v>
      </c>
      <c r="G185" s="77">
        <f t="shared" si="195"/>
        <v>6.4230403984015935E-3</v>
      </c>
      <c r="H185" s="137">
        <f t="shared" si="196"/>
        <v>1.4209009936505286</v>
      </c>
      <c r="I185" s="137">
        <f t="shared" si="197"/>
        <v>-0.25244379402064504</v>
      </c>
      <c r="J185" s="77">
        <f t="shared" si="198"/>
        <v>-0.99687840134097061</v>
      </c>
      <c r="K185" s="77">
        <f t="shared" si="199"/>
        <v>2.7775788334284668</v>
      </c>
      <c r="L185" s="91">
        <f t="shared" si="200"/>
        <v>2.951052477163016</v>
      </c>
      <c r="M185" s="28"/>
      <c r="N185" s="28"/>
      <c r="O185" s="28"/>
      <c r="P185" s="31"/>
      <c r="AF185" s="7"/>
      <c r="AG185" s="7"/>
      <c r="AH185" s="7"/>
      <c r="AI185" s="7"/>
      <c r="AJ185" s="7"/>
      <c r="AK185" s="7"/>
      <c r="AL185" s="7"/>
      <c r="AM185" s="7"/>
      <c r="AN185" s="7"/>
      <c r="AR185" s="92"/>
      <c r="AS185" s="7"/>
      <c r="AT185" s="123"/>
      <c r="AU185" s="123"/>
      <c r="AV185" s="123"/>
      <c r="AW185" s="123"/>
      <c r="AX185" s="123"/>
      <c r="AY185" s="123"/>
      <c r="AZ185" s="7"/>
    </row>
    <row r="186" spans="1:52" s="18" customFormat="1">
      <c r="A186" s="20">
        <f>A185-$F$168</f>
        <v>2.7951569430788381</v>
      </c>
      <c r="B186" s="26">
        <f t="shared" si="190"/>
        <v>-0.94058893034640179</v>
      </c>
      <c r="C186" s="26">
        <f t="shared" si="191"/>
        <v>-0.6788163175056382</v>
      </c>
      <c r="D186" s="26">
        <f t="shared" si="192"/>
        <v>1.5782308549313346</v>
      </c>
      <c r="E186" s="26">
        <f t="shared" si="193"/>
        <v>0.33954744014616228</v>
      </c>
      <c r="F186" s="77">
        <f t="shared" si="194"/>
        <v>0.98507559174202453</v>
      </c>
      <c r="G186" s="77">
        <f t="shared" si="195"/>
        <v>1.2770993361378886E-2</v>
      </c>
      <c r="H186" s="137">
        <f t="shared" si="196"/>
        <v>1.414576529496804</v>
      </c>
      <c r="I186" s="137">
        <f t="shared" si="197"/>
        <v>-0.2348731379579668</v>
      </c>
      <c r="J186" s="77">
        <f t="shared" si="198"/>
        <v>-0.99545199286645336</v>
      </c>
      <c r="K186" s="77">
        <f t="shared" si="199"/>
        <v>2.7575266795662046</v>
      </c>
      <c r="L186" s="91">
        <f t="shared" si="200"/>
        <v>2.9317022459010413</v>
      </c>
      <c r="M186" s="45"/>
      <c r="N186" s="28"/>
      <c r="O186" s="28"/>
      <c r="P186" s="31"/>
      <c r="AF186" s="7"/>
      <c r="AG186" s="7"/>
      <c r="AH186" s="7"/>
      <c r="AI186" s="7"/>
      <c r="AJ186" s="7"/>
      <c r="AK186" s="7"/>
      <c r="AL186" s="7"/>
      <c r="AM186" s="7"/>
      <c r="AN186" s="7"/>
      <c r="AR186" s="92"/>
      <c r="AS186" s="7"/>
      <c r="AT186" s="123"/>
      <c r="AU186" s="123"/>
      <c r="AV186" s="123"/>
      <c r="AW186" s="123"/>
      <c r="AX186" s="123"/>
      <c r="AY186" s="123"/>
      <c r="AZ186" s="7"/>
    </row>
    <row r="187" spans="1:52" s="18" customFormat="1">
      <c r="A187" s="20">
        <f>A186-$F$168</f>
        <v>2.7933043848266661</v>
      </c>
      <c r="B187" s="26">
        <f t="shared" si="190"/>
        <v>-0.93995828525694702</v>
      </c>
      <c r="C187" s="26">
        <f t="shared" si="191"/>
        <v>-0.67818567241618344</v>
      </c>
      <c r="D187" s="26">
        <f t="shared" si="192"/>
        <v>1.5759841548150431</v>
      </c>
      <c r="E187" s="26">
        <f t="shared" si="193"/>
        <v>0.34128935227577767</v>
      </c>
      <c r="F187" s="77">
        <f t="shared" si="194"/>
        <v>0.97774349175570974</v>
      </c>
      <c r="G187" s="77">
        <f t="shared" si="195"/>
        <v>1.9045158382303782E-2</v>
      </c>
      <c r="H187" s="137">
        <f t="shared" si="196"/>
        <v>1.4083345017638871</v>
      </c>
      <c r="I187" s="137">
        <f t="shared" si="197"/>
        <v>-0.21763180928098663</v>
      </c>
      <c r="J187" s="77">
        <f t="shared" si="198"/>
        <v>-0.99403491113778997</v>
      </c>
      <c r="K187" s="77">
        <f t="shared" si="199"/>
        <v>2.737710228368389</v>
      </c>
      <c r="L187" s="91">
        <f t="shared" si="200"/>
        <v>2.9125869427492823</v>
      </c>
      <c r="M187" s="45"/>
      <c r="N187" s="28"/>
      <c r="O187" s="28"/>
      <c r="P187" s="31"/>
      <c r="AF187" s="7"/>
      <c r="AG187" s="7"/>
      <c r="AH187" s="7"/>
      <c r="AI187" s="7"/>
      <c r="AJ187" s="7"/>
      <c r="AK187" s="7"/>
      <c r="AL187" s="7"/>
      <c r="AM187" s="7"/>
      <c r="AN187" s="7"/>
      <c r="AR187" s="92"/>
      <c r="AS187" s="7"/>
      <c r="AT187" s="123"/>
      <c r="AU187" s="123"/>
      <c r="AV187" s="123"/>
      <c r="AW187" s="123"/>
      <c r="AX187" s="123"/>
      <c r="AY187" s="123"/>
      <c r="AZ187" s="7"/>
    </row>
    <row r="188" spans="1:52" s="18" customFormat="1">
      <c r="A188" s="20">
        <f>A187-$F$168</f>
        <v>2.7914518265744941</v>
      </c>
      <c r="B188" s="26">
        <f t="shared" si="190"/>
        <v>-0.93932441425782554</v>
      </c>
      <c r="C188" s="26">
        <f t="shared" si="191"/>
        <v>-0.67755180141706195</v>
      </c>
      <c r="D188" s="26">
        <f t="shared" si="192"/>
        <v>1.5737520626456547</v>
      </c>
      <c r="E188" s="26">
        <f t="shared" si="193"/>
        <v>0.34303009311020061</v>
      </c>
      <c r="F188" s="77">
        <f t="shared" si="194"/>
        <v>0.97049613723650274</v>
      </c>
      <c r="G188" s="77">
        <f t="shared" si="195"/>
        <v>2.5246805700742069E-2</v>
      </c>
      <c r="H188" s="137">
        <f t="shared" si="196"/>
        <v>1.4021733811806656</v>
      </c>
      <c r="I188" s="137">
        <f t="shared" si="197"/>
        <v>-0.20071195114285534</v>
      </c>
      <c r="J188" s="77">
        <f t="shared" si="198"/>
        <v>-0.99262704321318551</v>
      </c>
      <c r="K188" s="77">
        <f t="shared" si="199"/>
        <v>2.7181254201017389</v>
      </c>
      <c r="L188" s="91">
        <f t="shared" si="200"/>
        <v>2.8937025151734943</v>
      </c>
      <c r="M188" s="45"/>
      <c r="N188" s="28"/>
      <c r="O188" s="28"/>
      <c r="P188" s="89"/>
      <c r="AF188" s="7"/>
      <c r="AG188" s="7"/>
      <c r="AH188" s="7"/>
      <c r="AI188" s="7"/>
      <c r="AJ188" s="7"/>
      <c r="AK188" s="7"/>
      <c r="AL188" s="7"/>
      <c r="AM188" s="7"/>
      <c r="AN188" s="7"/>
      <c r="AR188" s="92"/>
      <c r="AS188" s="7"/>
      <c r="AT188" s="123"/>
      <c r="AU188" s="123"/>
      <c r="AV188" s="123"/>
      <c r="AW188" s="123"/>
      <c r="AX188" s="123"/>
      <c r="AY188" s="123"/>
      <c r="AZ188" s="7"/>
    </row>
    <row r="189" spans="1:52" s="18" customFormat="1">
      <c r="A189" s="20">
        <f>A188-$F$168</f>
        <v>2.7895992683223221</v>
      </c>
      <c r="B189" s="26">
        <f t="shared" si="190"/>
        <v>-0.93868731952446449</v>
      </c>
      <c r="C189" s="26">
        <f t="shared" si="191"/>
        <v>-0.67691470668370091</v>
      </c>
      <c r="D189" s="26">
        <f t="shared" si="192"/>
        <v>1.5715344024412961</v>
      </c>
      <c r="E189" s="26">
        <f t="shared" si="193"/>
        <v>0.34476965667525894</v>
      </c>
      <c r="F189" s="77">
        <f t="shared" si="194"/>
        <v>0.9633320770007836</v>
      </c>
      <c r="G189" s="77">
        <f t="shared" si="195"/>
        <v>3.1377177111748929E-2</v>
      </c>
      <c r="H189" s="137">
        <f t="shared" si="196"/>
        <v>1.3960916747816385</v>
      </c>
      <c r="I189" s="137">
        <f t="shared" si="197"/>
        <v>-0.18410593428659533</v>
      </c>
      <c r="J189" s="77">
        <f t="shared" si="198"/>
        <v>-0.99122827809398129</v>
      </c>
      <c r="K189" s="77">
        <f t="shared" si="199"/>
        <v>2.6987682859727147</v>
      </c>
      <c r="L189" s="91">
        <f t="shared" si="200"/>
        <v>2.875045001502631</v>
      </c>
      <c r="M189" s="45"/>
      <c r="N189" s="28"/>
      <c r="O189" s="28"/>
      <c r="P189" s="28"/>
      <c r="AF189" s="7"/>
      <c r="AG189" s="7"/>
      <c r="AH189" s="7"/>
      <c r="AI189" s="7"/>
      <c r="AJ189" s="7"/>
      <c r="AK189" s="7"/>
      <c r="AL189" s="7"/>
      <c r="AM189" s="7"/>
      <c r="AN189" s="7"/>
      <c r="AR189" s="92"/>
      <c r="AS189" s="7"/>
      <c r="AT189" s="123"/>
      <c r="AU189" s="123"/>
      <c r="AV189" s="123"/>
      <c r="AW189" s="123"/>
      <c r="AX189" s="123"/>
      <c r="AY189" s="123"/>
      <c r="AZ189" s="7"/>
    </row>
    <row r="190" spans="1:52" s="1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AF190" s="7"/>
      <c r="AG190" s="7"/>
      <c r="AH190" s="7"/>
      <c r="AI190" s="7"/>
      <c r="AJ190" s="7"/>
      <c r="AK190" s="7"/>
      <c r="AL190" s="7"/>
      <c r="AM190" s="7"/>
      <c r="AN190" s="7"/>
      <c r="AR190" s="92"/>
      <c r="AS190" s="7"/>
      <c r="AT190" s="123"/>
      <c r="AU190" s="123"/>
      <c r="AV190" s="123"/>
      <c r="AW190" s="123"/>
      <c r="AX190" s="123"/>
      <c r="AY190" s="123"/>
      <c r="AZ190" s="7"/>
    </row>
    <row r="191" spans="1:52" s="18" customFormat="1">
      <c r="A191" s="88" t="s">
        <v>73</v>
      </c>
      <c r="B191" s="88"/>
      <c r="C191" s="23" t="str">
        <f>CONCATENATE("m",Stufengrün!AH47)</f>
        <v>m-1</v>
      </c>
      <c r="D191" s="23" t="s">
        <v>30</v>
      </c>
      <c r="E191" s="28"/>
      <c r="F191" s="28"/>
      <c r="G191" s="28"/>
      <c r="H191" s="36" t="s">
        <v>57</v>
      </c>
      <c r="I191" s="36" t="s">
        <v>51</v>
      </c>
      <c r="J191" s="36" t="s">
        <v>58</v>
      </c>
      <c r="K191" s="36" t="s">
        <v>59</v>
      </c>
      <c r="L191" s="28"/>
      <c r="M191" s="28"/>
      <c r="N191" s="28"/>
      <c r="O191" s="28"/>
      <c r="P191" s="28"/>
      <c r="AF191" s="7"/>
      <c r="AG191" s="7"/>
      <c r="AH191" s="7"/>
      <c r="AI191" s="7"/>
      <c r="AJ191" s="7"/>
      <c r="AK191" s="7"/>
      <c r="AL191" s="7"/>
      <c r="AM191" s="7"/>
      <c r="AN191" s="7"/>
      <c r="AR191" s="92"/>
      <c r="AS191" s="7"/>
      <c r="AT191" s="123"/>
      <c r="AU191" s="123"/>
      <c r="AV191" s="123"/>
      <c r="AW191" s="123"/>
      <c r="AX191" s="123"/>
      <c r="AY191" s="123"/>
      <c r="AZ191" s="7"/>
    </row>
    <row r="192" spans="1:52" s="18" customFormat="1">
      <c r="A192" s="88" t="s">
        <v>69</v>
      </c>
      <c r="B192" s="88"/>
      <c r="C192" s="36">
        <f>Stufengrün!AI47</f>
        <v>0.3251944406533937</v>
      </c>
      <c r="D192" s="26">
        <f>Stufengrün!AK47</f>
        <v>-8.983369412744914E-2</v>
      </c>
      <c r="E192" s="28"/>
      <c r="F192" s="28"/>
      <c r="G192" s="28"/>
      <c r="H192" s="78">
        <f>H181</f>
        <v>1.3957656183759459</v>
      </c>
      <c r="I192" s="78">
        <f>I181</f>
        <v>-0.18321833372345758</v>
      </c>
      <c r="J192" s="78">
        <f>J181</f>
        <v>-0.99115303038953972</v>
      </c>
      <c r="K192" s="78">
        <f>K181</f>
        <v>2.6977297998865057</v>
      </c>
      <c r="L192" s="28"/>
      <c r="M192" s="28"/>
      <c r="N192" s="28"/>
      <c r="O192" s="28"/>
      <c r="P192" s="28"/>
      <c r="AF192" s="7"/>
      <c r="AG192" s="7"/>
      <c r="AH192" s="7"/>
      <c r="AI192" s="7"/>
      <c r="AJ192" s="7"/>
      <c r="AK192" s="7"/>
      <c r="AL192" s="7"/>
      <c r="AM192" s="7"/>
      <c r="AN192" s="7"/>
      <c r="AR192" s="92"/>
      <c r="AS192" s="7"/>
      <c r="AT192" s="123"/>
      <c r="AU192" s="123"/>
      <c r="AV192" s="123"/>
      <c r="AW192" s="123"/>
      <c r="AX192" s="123"/>
      <c r="AY192" s="123"/>
      <c r="AZ192" s="7"/>
    </row>
    <row r="193" spans="1:52" s="18" customFormat="1">
      <c r="A193" s="95"/>
      <c r="B193" s="95"/>
      <c r="C193" s="28"/>
      <c r="D193" s="28"/>
      <c r="E193" s="28"/>
      <c r="F193" s="28"/>
      <c r="G193" s="28"/>
      <c r="H193" s="37" t="s">
        <v>8</v>
      </c>
      <c r="I193" s="37" t="s">
        <v>8</v>
      </c>
      <c r="J193" s="37" t="s">
        <v>9</v>
      </c>
      <c r="K193" s="37" t="s">
        <v>9</v>
      </c>
      <c r="L193" s="28"/>
      <c r="M193" s="28"/>
      <c r="N193" s="28"/>
      <c r="O193" s="28"/>
      <c r="P193" s="28"/>
      <c r="AF193" s="7"/>
      <c r="AG193" s="7"/>
      <c r="AH193" s="7"/>
      <c r="AI193" s="7"/>
      <c r="AJ193" s="7"/>
      <c r="AK193" s="7"/>
      <c r="AL193" s="7"/>
      <c r="AM193" s="7"/>
      <c r="AN193" s="7"/>
      <c r="AR193" s="92"/>
      <c r="AS193" s="7"/>
      <c r="AT193" s="123"/>
      <c r="AU193" s="123"/>
      <c r="AV193" s="123"/>
      <c r="AW193" s="123"/>
      <c r="AX193" s="123"/>
      <c r="AY193" s="123"/>
      <c r="AZ193" s="7"/>
    </row>
    <row r="194" spans="1:52" s="18" customFormat="1">
      <c r="A194" s="88" t="s">
        <v>68</v>
      </c>
      <c r="B194" s="88"/>
      <c r="C194" s="115" t="s">
        <v>15</v>
      </c>
      <c r="D194" s="115" t="s">
        <v>55</v>
      </c>
      <c r="E194" s="115" t="s">
        <v>12</v>
      </c>
      <c r="F194" s="115" t="s">
        <v>10</v>
      </c>
      <c r="G194" s="115" t="s">
        <v>14</v>
      </c>
      <c r="H194" s="115" t="s">
        <v>21</v>
      </c>
      <c r="I194" s="115" t="s">
        <v>16</v>
      </c>
      <c r="J194" s="115" t="s">
        <v>17</v>
      </c>
      <c r="K194" s="115" t="s">
        <v>23</v>
      </c>
      <c r="L194" s="28"/>
      <c r="M194" s="28"/>
      <c r="N194" s="28"/>
      <c r="O194" s="28"/>
      <c r="P194" s="28"/>
      <c r="AF194" s="7"/>
      <c r="AG194" s="7"/>
      <c r="AH194" s="7"/>
      <c r="AI194" s="7"/>
      <c r="AJ194" s="7"/>
      <c r="AK194" s="7"/>
      <c r="AL194" s="7"/>
      <c r="AM194" s="7"/>
      <c r="AN194" s="7"/>
      <c r="AR194" s="92"/>
      <c r="AS194" s="7"/>
      <c r="AT194" s="123"/>
      <c r="AU194" s="123"/>
      <c r="AV194" s="123"/>
      <c r="AW194" s="123"/>
      <c r="AX194" s="123"/>
      <c r="AY194" s="123"/>
      <c r="AZ194" s="7"/>
    </row>
    <row r="195" spans="1:52" s="18" customFormat="1">
      <c r="A195" s="28"/>
      <c r="B195" s="28"/>
      <c r="C195" s="23">
        <f>Mü/TAN($C192)</f>
        <v>0.20761392232733894</v>
      </c>
      <c r="D195" s="42">
        <f>SQRT($J192*$J192+$K192*$K192)</f>
        <v>2.8740442590269994</v>
      </c>
      <c r="E195" s="20">
        <f>ATAN($J192/$K192)+PI()</f>
        <v>2.7894992683223228</v>
      </c>
      <c r="F195" s="23">
        <f>($E195-A208-0.0001)/5</f>
        <v>2.7616526091055671E-3</v>
      </c>
      <c r="G195" s="23">
        <f>COS($E195)</f>
        <v>-0.93865283786541809</v>
      </c>
      <c r="H195" s="23">
        <f>SIN($E195)</f>
        <v>0.344863523683206</v>
      </c>
      <c r="I195" s="23">
        <f>$C195+$G195</f>
        <v>-0.7310389155380792</v>
      </c>
      <c r="J195" s="23">
        <f>POWER(TAN($E195/2),$C195)</f>
        <v>1.4311326096728518</v>
      </c>
      <c r="K195" s="23">
        <f>-$D195*$D195*SIN($E195)*SIN($E195)/(2*9.81*SIN($C192)*POWER(TAN($E195/2),2*$C195))</f>
        <v>-7.651758665283355E-2</v>
      </c>
      <c r="L195" s="28"/>
      <c r="M195" s="28"/>
      <c r="N195" s="28"/>
      <c r="O195" s="28"/>
      <c r="P195" s="28"/>
      <c r="AF195" s="7"/>
      <c r="AG195" s="7"/>
      <c r="AH195" s="7"/>
      <c r="AI195" s="7"/>
      <c r="AJ195" s="7"/>
      <c r="AK195" s="7"/>
      <c r="AL195" s="7"/>
      <c r="AM195" s="7"/>
      <c r="AN195" s="7"/>
      <c r="AR195" s="92"/>
      <c r="AS195" s="7"/>
      <c r="AT195" s="123"/>
      <c r="AU195" s="123"/>
      <c r="AV195" s="123"/>
      <c r="AW195" s="123"/>
      <c r="AX195" s="123"/>
      <c r="AY195" s="123"/>
      <c r="AZ195" s="7"/>
    </row>
    <row r="196" spans="1:52" s="18" customFormat="1">
      <c r="A196" s="88" t="s">
        <v>70</v>
      </c>
      <c r="B196" s="8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45"/>
      <c r="N196" s="28"/>
      <c r="O196" s="28"/>
      <c r="P196" s="28"/>
      <c r="AF196" s="7"/>
      <c r="AG196" s="7"/>
      <c r="AH196" s="7"/>
      <c r="AI196" s="7"/>
      <c r="AJ196" s="7"/>
      <c r="AK196" s="7"/>
      <c r="AL196" s="7"/>
      <c r="AM196" s="7"/>
      <c r="AN196" s="7"/>
      <c r="AR196" s="92"/>
      <c r="AS196" s="7"/>
      <c r="AT196" s="123"/>
      <c r="AU196" s="123"/>
      <c r="AV196" s="123"/>
      <c r="AW196" s="123"/>
      <c r="AX196" s="123"/>
      <c r="AY196" s="123"/>
      <c r="AZ196" s="7"/>
    </row>
    <row r="197" spans="1:52" s="18" customFormat="1">
      <c r="A197" s="115" t="s">
        <v>11</v>
      </c>
      <c r="B197" s="115" t="s">
        <v>13</v>
      </c>
      <c r="C197" s="117" t="s">
        <v>22</v>
      </c>
      <c r="D197" s="117" t="s">
        <v>18</v>
      </c>
      <c r="E197" s="115" t="s">
        <v>19</v>
      </c>
      <c r="F197" s="117" t="s">
        <v>20</v>
      </c>
      <c r="G197" s="117" t="s">
        <v>2</v>
      </c>
      <c r="H197" s="117" t="s">
        <v>65</v>
      </c>
      <c r="I197" s="117" t="s">
        <v>66</v>
      </c>
      <c r="J197" s="118" t="s">
        <v>3</v>
      </c>
      <c r="K197" s="118" t="s">
        <v>4</v>
      </c>
      <c r="L197" s="116" t="s">
        <v>7</v>
      </c>
      <c r="M197" s="93"/>
      <c r="N197" s="117" t="s">
        <v>61</v>
      </c>
      <c r="O197" s="117" t="s">
        <v>62</v>
      </c>
      <c r="P197" s="115" t="s">
        <v>63</v>
      </c>
      <c r="AF197" s="7"/>
      <c r="AG197" s="7"/>
      <c r="AH197" s="7"/>
      <c r="AI197" s="7"/>
      <c r="AJ197" s="7"/>
      <c r="AK197" s="7"/>
      <c r="AL197" s="7"/>
      <c r="AM197" s="7"/>
      <c r="AN197" s="7"/>
      <c r="AR197" s="92"/>
      <c r="AS197" s="7"/>
      <c r="AT197" s="123"/>
      <c r="AU197" s="123"/>
      <c r="AV197" s="123"/>
      <c r="AW197" s="123"/>
      <c r="AX197" s="123"/>
      <c r="AY197" s="123"/>
      <c r="AZ197" s="7"/>
    </row>
    <row r="198" spans="1:52" s="18" customFormat="1">
      <c r="A198" s="19">
        <f>$E195</f>
        <v>2.7894992683223228</v>
      </c>
      <c r="B198" s="26">
        <f>COS(A198)</f>
        <v>-0.93865283786541809</v>
      </c>
      <c r="C198" s="26">
        <f>($C$195+B198)</f>
        <v>-0.7310389155380792</v>
      </c>
      <c r="D198" s="26">
        <f>POWER(TAN(A198/2),$C$195)</f>
        <v>1.4311326096728518</v>
      </c>
      <c r="E198" s="26">
        <f>SIN(A198)</f>
        <v>0.344863523683206</v>
      </c>
      <c r="F198" s="77">
        <f>(C198*$H$195*D198/E198/$I$195/$J$195)</f>
        <v>1.0000000000000002</v>
      </c>
      <c r="G198" s="77">
        <f>$D$195*($C$195+$G$195)/9.81/SIN($C$192)/(1-$C$195*$C$192)*(F198-1)</f>
        <v>-1.5962534843901177E-16</v>
      </c>
      <c r="H198" s="75">
        <f>-(-$H$192+$K$195*((POWER(TAN(A198/2),2*$C$195-1)/(2*$C$195-1))+(POWER(TAN(A198/2),2*$C$195+1)/(2*$C$195+1))-(POWER(TAN($E$195/2),2*$C$195-1)/(2*$C$195-1))-(POWER(TAN($E$195/2),2*$C$195+1)/(2*$C$195+1))))</f>
        <v>1.3957656183759459</v>
      </c>
      <c r="I198" s="75">
        <f>-(-$I$192+0.5*$K$195*((POWER(TAN(A198/2),2*$C$195-2)/(2*$C$195-2))-(POWER(TAN(A198/2),2*$C$195+2)/(2*$C$195+2))-(POWER(TAN($E$195/2),2*$C$195-2)/(2*$C$195-2))+(POWER(TAN($E$195/2),2*$C$195+2)/(2*$C$195+2))))</f>
        <v>-0.18321833372345758</v>
      </c>
      <c r="J198" s="77">
        <f>-$D$195*SIN(A198)*($C$195+$G$195)/($C$195+B198)*F198</f>
        <v>-0.99115303038954006</v>
      </c>
      <c r="K198" s="77">
        <f>-$D$195*COS(A198)*($C$195+$G$195)/($C$195+B198)*F198</f>
        <v>2.6977297998865062</v>
      </c>
      <c r="L198" s="91">
        <f>SQRT(J198*J198+K198*K198)</f>
        <v>2.8740442590269999</v>
      </c>
      <c r="M198" s="93"/>
      <c r="N198" s="75">
        <f>-(-$I$192+0.5*$K$195*((POWER(TAN(A198/2),2*$C$195-2)/(2*$C$195-2))-(POWER(TAN(A198/2),2*$C$195+2)/(2*$C$195+2))-(POWER(TAN($E$195/2),2*$C$195-2)/(2*$C$195-2))+(POWER(TAN($E$195/2),2*$C$195+2)/(2*$C$195+2))))-$D$192</f>
        <v>-9.3384639596008442E-2</v>
      </c>
      <c r="O198" s="75">
        <f>-(-$I$192+0.5*$K$195*((POWER(TAN((A198+$M$9)/2),2*$C$195-2)/(2*$C$195-2))-(POWER(TAN((A198+$M$9)/2),2*$C$195+2)/(2*$C$195+2))-(POWER(TAN($E$195/2),2*$C$195-2)/(2*$C$195-2))+(POWER(TAN($E$195/2),2*$C$195+2)/(2*$C$195+2))))-$D$192</f>
        <v>-0.11522259430111782</v>
      </c>
      <c r="P198" s="75">
        <f>A198-N198/(O198-N198)*$M$9</f>
        <v>2.7766705065371142</v>
      </c>
      <c r="AF198" s="7"/>
      <c r="AG198" s="7"/>
      <c r="AH198" s="7"/>
      <c r="AI198" s="7"/>
      <c r="AJ198" s="7"/>
      <c r="AK198" s="7"/>
      <c r="AL198" s="7"/>
      <c r="AM198" s="7"/>
      <c r="AN198" s="7"/>
      <c r="AR198" s="92"/>
      <c r="AS198" s="7"/>
      <c r="AT198" s="123"/>
      <c r="AU198" s="123"/>
      <c r="AV198" s="123"/>
      <c r="AW198" s="123"/>
      <c r="AX198" s="123"/>
      <c r="AY198" s="123"/>
      <c r="AZ198" s="7"/>
    </row>
    <row r="199" spans="1:52" s="18" customFormat="1">
      <c r="A199" s="19">
        <f>$P198</f>
        <v>2.7766705065371142</v>
      </c>
      <c r="B199" s="26">
        <f>COS(A199)</f>
        <v>-0.93415154788836408</v>
      </c>
      <c r="C199" s="26">
        <f>($C$195+B199)</f>
        <v>-0.72653762556102519</v>
      </c>
      <c r="D199" s="26">
        <f>POWER(TAN(A199/2),$C$195)</f>
        <v>1.4203092067514034</v>
      </c>
      <c r="E199" s="26">
        <f>SIN(A199)</f>
        <v>0.35687656910726628</v>
      </c>
      <c r="F199" s="77">
        <f>(C199*$H$195*D199/E199/$I$195/$J$195)</f>
        <v>0.95312500794551558</v>
      </c>
      <c r="G199" s="77">
        <f>$D$195*($C$195+$G$195)/9.81/SIN($C$192)/(1-$C$195*$C$192)*(F199-1)</f>
        <v>3.3697900213784847E-2</v>
      </c>
      <c r="H199" s="75">
        <f>-(-$H$192+$K$195*((POWER(TAN(A199/2),2*$C$195-1)/(2*$C$195-1))+(POWER(TAN(A199/2),2*$C$195+1)/(2*$C$195+1))-(POWER(TAN($E$195/2),2*$C$195-1)/(2*$C$195-1))-(POWER(TAN($E$195/2),2*$C$195+1)/(2*$C$195+1))))</f>
        <v>1.3633402769340963</v>
      </c>
      <c r="I199" s="75">
        <f>-(-$I$192+0.5*$K$195*((POWER(TAN(A199/2),2*$C$195-2)/(2*$C$195-2))-(POWER(TAN(A199/2),2*$C$195+2)/(2*$C$195+2))-(POWER(TAN($E$195/2),2*$C$195-2)/(2*$C$195-2))+(POWER(TAN($E$195/2),2*$C$195+2)/(2*$C$195+2))))</f>
        <v>-9.6648357333326912E-2</v>
      </c>
      <c r="J199" s="77">
        <f>-$D$195*SIN(A199)*($C$195+$G$195)/($C$195+B199)*F199</f>
        <v>-0.98365711524358235</v>
      </c>
      <c r="K199" s="77">
        <f>-$D$195*COS(A199)*($C$195+$G$195)/($C$195+B199)*F199</f>
        <v>2.5747972726110979</v>
      </c>
      <c r="L199" s="91">
        <f>SQRT(J199*J199+K199*K199)</f>
        <v>2.7562950341744759</v>
      </c>
      <c r="M199" s="93"/>
      <c r="N199" s="75">
        <f>-(-$I$192+0.5*$K$195*((POWER(TAN(A199/2),2*$C$195-2)/(2*$C$195-2))-(POWER(TAN(A199/2),2*$C$195+2)/(2*$C$195+2))-(POWER(TAN($E$195/2),2*$C$195-2)/(2*$C$195-2))+(POWER(TAN($E$195/2),2*$C$195+2)/(2*$C$195+2))))-$D$192</f>
        <v>-6.8146632058777717E-3</v>
      </c>
      <c r="O199" s="75">
        <f t="shared" ref="O199:O208" si="201">-(-$I$192+0.5*$K$195*((POWER(TAN((A199+$M$9)/2),2*$C$195-2)/(2*$C$195-2))-(POWER(TAN((A199+$M$9)/2),2*$C$195+2)/(2*$C$195+2))-(POWER(TAN($E$195/2),2*$C$195-2)/(2*$C$195-2))+(POWER(TAN($E$195/2),2*$C$195+2)/(2*$C$195+2))))-$D$192</f>
        <v>-2.6120788868154346E-2</v>
      </c>
      <c r="P199" s="75">
        <f t="shared" ref="P199:P208" si="202">A199-N199/(O199-N199)*$M$9</f>
        <v>2.7756115685619211</v>
      </c>
      <c r="AF199" s="7"/>
      <c r="AG199" s="7"/>
      <c r="AH199" s="7"/>
      <c r="AI199" s="7"/>
      <c r="AJ199" s="7"/>
      <c r="AK199" s="7"/>
      <c r="AL199" s="7"/>
      <c r="AM199" s="7"/>
      <c r="AN199" s="7"/>
      <c r="AR199" s="92"/>
      <c r="AS199" s="7"/>
      <c r="AT199" s="123"/>
      <c r="AU199" s="123"/>
      <c r="AV199" s="123"/>
      <c r="AW199" s="123"/>
      <c r="AX199" s="123"/>
      <c r="AY199" s="123"/>
      <c r="AZ199" s="7"/>
    </row>
    <row r="200" spans="1:52" s="18" customFormat="1">
      <c r="A200" s="19">
        <f t="shared" ref="A200:A208" si="203">$P199</f>
        <v>2.7756115685619211</v>
      </c>
      <c r="B200" s="26">
        <f t="shared" ref="B200:B208" si="204">COS(A200)</f>
        <v>-0.93377311405230823</v>
      </c>
      <c r="C200" s="26">
        <f t="shared" ref="C200:C208" si="205">($C$195+B200)</f>
        <v>-0.72615919172496923</v>
      </c>
      <c r="D200" s="26">
        <f t="shared" ref="D200:D208" si="206">POWER(TAN(A200/2),$C$195)</f>
        <v>1.4194357183162278</v>
      </c>
      <c r="E200" s="26">
        <f t="shared" ref="E200:E208" si="207">SIN(A200)</f>
        <v>0.35786557737934926</v>
      </c>
      <c r="F200" s="77">
        <f t="shared" ref="F200:F208" si="208">(C200*$H$195*D200/E200/$I$195/$J$195)</f>
        <v>0.94941159112900764</v>
      </c>
      <c r="G200" s="77">
        <f t="shared" ref="G200:G208" si="209">$D$195*($C$195+$G$195)/9.81/SIN($C$192)/(1-$C$195*$C$192)*(F200-1)</f>
        <v>3.6367433452092965E-2</v>
      </c>
      <c r="H200" s="75">
        <f t="shared" ref="H200:H208" si="210">-(-$H$192+$K$195*((POWER(TAN(A200/2),2*$C$195-1)/(2*$C$195-1))+(POWER(TAN(A200/2),2*$C$195+1)/(2*$C$195+1))-(POWER(TAN($E$195/2),2*$C$195-1)/(2*$C$195-1))-(POWER(TAN($E$195/2),2*$C$195+1)/(2*$C$195+1))))</f>
        <v>1.3607821474532913</v>
      </c>
      <c r="I200" s="75">
        <f t="shared" ref="I200:I208" si="211">-(-$I$192+0.5*$K$195*((POWER(TAN(A200/2),2*$C$195-2)/(2*$C$195-2))-(POWER(TAN(A200/2),2*$C$195+2)/(2*$C$195+2))-(POWER(TAN($E$195/2),2*$C$195-2)/(2*$C$195-2))+(POWER(TAN($E$195/2),2*$C$195+2)/(2*$C$195+2))))</f>
        <v>-8.9962862134401717E-2</v>
      </c>
      <c r="J200" s="77">
        <f t="shared" ref="J200:J208" si="212">-$D$195*SIN(A200)*($C$195+$G$195)/($C$195+B200)*F200</f>
        <v>-0.98305216731375189</v>
      </c>
      <c r="K200" s="77">
        <f t="shared" ref="K200:K208" si="213">-$D$195*COS(A200)*($C$195+$G$195)/($C$195+B200)*F200</f>
        <v>2.5650628100935733</v>
      </c>
      <c r="L200" s="91">
        <f t="shared" ref="L200:L208" si="214">SQRT(J200*J200+K200*K200)</f>
        <v>2.7469872193705971</v>
      </c>
      <c r="M200" s="93"/>
      <c r="N200" s="75">
        <f t="shared" ref="N200:N208" si="215">-(-$I$192+0.5*$K$195*((POWER(TAN(A200/2),2*$C$195-2)/(2*$C$195-2))-(POWER(TAN(A200/2),2*$C$195+2)/(2*$C$195+2))-(POWER(TAN($E$195/2),2*$C$195-2)/(2*$C$195-2))+(POWER(TAN($E$195/2),2*$C$195+2)/(2*$C$195+2))))-$D$192</f>
        <v>-1.2916800695257635E-4</v>
      </c>
      <c r="O200" s="75">
        <f t="shared" si="201"/>
        <v>-1.9243602261768578E-2</v>
      </c>
      <c r="P200" s="75">
        <f t="shared" si="202"/>
        <v>2.7755912957138897</v>
      </c>
      <c r="AF200" s="7"/>
      <c r="AG200" s="7"/>
      <c r="AH200" s="7"/>
      <c r="AI200" s="7"/>
      <c r="AJ200" s="7"/>
      <c r="AK200" s="7"/>
      <c r="AL200" s="7"/>
      <c r="AM200" s="7"/>
      <c r="AN200" s="7"/>
      <c r="AR200" s="92"/>
      <c r="AS200" s="7"/>
      <c r="AT200" s="123"/>
      <c r="AU200" s="123"/>
      <c r="AV200" s="123"/>
      <c r="AW200" s="123"/>
      <c r="AX200" s="123"/>
      <c r="AY200" s="123"/>
      <c r="AZ200" s="7"/>
    </row>
    <row r="201" spans="1:52" s="18" customFormat="1">
      <c r="A201" s="19">
        <f t="shared" si="203"/>
        <v>2.7755912957138897</v>
      </c>
      <c r="B201" s="26">
        <f t="shared" si="204"/>
        <v>-0.93376585890595787</v>
      </c>
      <c r="C201" s="26">
        <f t="shared" si="205"/>
        <v>-0.72615193657861887</v>
      </c>
      <c r="D201" s="26">
        <f t="shared" si="206"/>
        <v>1.4194190246009739</v>
      </c>
      <c r="E201" s="26">
        <f t="shared" si="207"/>
        <v>0.35788450754624568</v>
      </c>
      <c r="F201" s="77">
        <f t="shared" si="208"/>
        <v>0.94934072202361497</v>
      </c>
      <c r="G201" s="77">
        <f t="shared" si="209"/>
        <v>3.6418380448286297E-2</v>
      </c>
      <c r="H201" s="75">
        <f t="shared" si="210"/>
        <v>1.3607333418651073</v>
      </c>
      <c r="I201" s="75">
        <f t="shared" si="211"/>
        <v>-8.9835518330977554E-2</v>
      </c>
      <c r="J201" s="77">
        <f t="shared" si="212"/>
        <v>-0.98304060582297836</v>
      </c>
      <c r="K201" s="77">
        <f t="shared" si="213"/>
        <v>2.5648770379285333</v>
      </c>
      <c r="L201" s="91">
        <f t="shared" si="214"/>
        <v>2.7468096134224256</v>
      </c>
      <c r="M201" s="93"/>
      <c r="N201" s="75">
        <f t="shared" si="215"/>
        <v>-1.8242035284138369E-6</v>
      </c>
      <c r="O201" s="75">
        <f t="shared" si="201"/>
        <v>-1.9112612594046036E-2</v>
      </c>
      <c r="P201" s="75">
        <f t="shared" si="202"/>
        <v>2.7755910093515235</v>
      </c>
      <c r="AF201" s="7"/>
      <c r="AG201" s="7"/>
      <c r="AH201" s="7"/>
      <c r="AI201" s="7"/>
      <c r="AJ201" s="7"/>
      <c r="AK201" s="7"/>
      <c r="AL201" s="7"/>
      <c r="AM201" s="7"/>
      <c r="AN201" s="7"/>
      <c r="AR201" s="92"/>
      <c r="AS201" s="7"/>
      <c r="AT201" s="123"/>
      <c r="AU201" s="123"/>
      <c r="AV201" s="123"/>
      <c r="AW201" s="123"/>
      <c r="AX201" s="123"/>
      <c r="AY201" s="123"/>
      <c r="AZ201" s="7"/>
    </row>
    <row r="202" spans="1:52" s="18" customFormat="1">
      <c r="A202" s="19">
        <f t="shared" si="203"/>
        <v>2.7755910093515235</v>
      </c>
      <c r="B202" s="26">
        <f t="shared" si="204"/>
        <v>-0.93376575642126514</v>
      </c>
      <c r="C202" s="26">
        <f t="shared" si="205"/>
        <v>-0.72615183409392614</v>
      </c>
      <c r="D202" s="26">
        <f t="shared" si="206"/>
        <v>1.4194187888030696</v>
      </c>
      <c r="E202" s="26">
        <f t="shared" si="207"/>
        <v>0.3578847749416319</v>
      </c>
      <c r="F202" s="77">
        <f t="shared" si="208"/>
        <v>0.94933972102784703</v>
      </c>
      <c r="G202" s="77">
        <f t="shared" si="209"/>
        <v>3.6419100052792329E-2</v>
      </c>
      <c r="H202" s="75">
        <f t="shared" si="210"/>
        <v>1.3607326525111836</v>
      </c>
      <c r="I202" s="75">
        <f t="shared" si="211"/>
        <v>-8.9833719720339059E-2</v>
      </c>
      <c r="J202" s="77">
        <f t="shared" si="212"/>
        <v>-0.98304044251749156</v>
      </c>
      <c r="K202" s="77">
        <f t="shared" si="213"/>
        <v>2.5648744139779276</v>
      </c>
      <c r="L202" s="91">
        <f t="shared" si="214"/>
        <v>2.7468071048225435</v>
      </c>
      <c r="M202" s="93"/>
      <c r="N202" s="75">
        <f t="shared" si="215"/>
        <v>-2.5592889918435446E-8</v>
      </c>
      <c r="O202" s="75">
        <f t="shared" si="201"/>
        <v>-1.9110762490481978E-2</v>
      </c>
      <c r="P202" s="75">
        <f t="shared" si="202"/>
        <v>2.7755910053339563</v>
      </c>
      <c r="AF202" s="7"/>
      <c r="AG202" s="7"/>
      <c r="AH202" s="7"/>
      <c r="AI202" s="7"/>
      <c r="AJ202" s="7"/>
      <c r="AK202" s="7"/>
      <c r="AL202" s="7"/>
      <c r="AM202" s="7"/>
      <c r="AN202" s="7"/>
      <c r="AR202" s="92"/>
      <c r="AS202" s="7"/>
      <c r="AT202" s="123"/>
      <c r="AU202" s="123"/>
      <c r="AV202" s="123"/>
      <c r="AW202" s="123"/>
      <c r="AX202" s="123"/>
      <c r="AY202" s="123"/>
      <c r="AZ202" s="7"/>
    </row>
    <row r="203" spans="1:52" s="18" customFormat="1">
      <c r="A203" s="19">
        <f t="shared" si="203"/>
        <v>2.7755910053339563</v>
      </c>
      <c r="B203" s="26">
        <f t="shared" si="204"/>
        <v>-0.93376575498343906</v>
      </c>
      <c r="C203" s="26">
        <f t="shared" si="205"/>
        <v>-0.72615183265610006</v>
      </c>
      <c r="D203" s="26">
        <f t="shared" si="206"/>
        <v>1.4194187854949063</v>
      </c>
      <c r="E203" s="26">
        <f t="shared" si="207"/>
        <v>0.35788477869309854</v>
      </c>
      <c r="F203" s="77">
        <f t="shared" si="208"/>
        <v>0.94933970698422687</v>
      </c>
      <c r="G203" s="77">
        <f t="shared" si="209"/>
        <v>3.6419110148591602E-2</v>
      </c>
      <c r="H203" s="75">
        <f t="shared" si="210"/>
        <v>1.3607326428397906</v>
      </c>
      <c r="I203" s="75">
        <f t="shared" si="211"/>
        <v>-8.9833694486474353E-2</v>
      </c>
      <c r="J203" s="77">
        <f t="shared" si="212"/>
        <v>-0.98304044022637194</v>
      </c>
      <c r="K203" s="77">
        <f t="shared" si="213"/>
        <v>2.5648743771648199</v>
      </c>
      <c r="L203" s="91">
        <f t="shared" si="214"/>
        <v>2.7468070696277676</v>
      </c>
      <c r="M203" s="93"/>
      <c r="N203" s="75">
        <f t="shared" si="215"/>
        <v>-3.5902521233754925E-10</v>
      </c>
      <c r="O203" s="75">
        <f t="shared" si="201"/>
        <v>-1.9110736534190195E-2</v>
      </c>
      <c r="P203" s="75">
        <f t="shared" si="202"/>
        <v>2.7755910052775965</v>
      </c>
      <c r="AF203" s="7"/>
      <c r="AG203" s="7"/>
      <c r="AH203" s="7"/>
      <c r="AI203" s="7"/>
      <c r="AJ203" s="7"/>
      <c r="AK203" s="7"/>
      <c r="AL203" s="7"/>
      <c r="AM203" s="7"/>
      <c r="AN203" s="7"/>
      <c r="AR203" s="92"/>
      <c r="AS203" s="7"/>
      <c r="AT203" s="123"/>
      <c r="AU203" s="123"/>
      <c r="AV203" s="123"/>
      <c r="AW203" s="123"/>
      <c r="AX203" s="123"/>
      <c r="AY203" s="123"/>
      <c r="AZ203" s="7"/>
    </row>
    <row r="204" spans="1:52" s="18" customFormat="1">
      <c r="A204" s="19">
        <f t="shared" si="203"/>
        <v>2.7755910052775965</v>
      </c>
      <c r="B204" s="26">
        <f t="shared" si="204"/>
        <v>-0.93376575496326875</v>
      </c>
      <c r="C204" s="26">
        <f t="shared" si="205"/>
        <v>-0.72615183263592975</v>
      </c>
      <c r="D204" s="26">
        <f t="shared" si="206"/>
        <v>1.4194187854484983</v>
      </c>
      <c r="E204" s="26">
        <f t="shared" si="207"/>
        <v>0.35788477874572538</v>
      </c>
      <c r="F204" s="77">
        <f t="shared" si="208"/>
        <v>0.94933970678721824</v>
      </c>
      <c r="G204" s="77">
        <f t="shared" si="209"/>
        <v>3.6419110290218867E-2</v>
      </c>
      <c r="H204" s="75">
        <f t="shared" si="210"/>
        <v>1.3607326427041166</v>
      </c>
      <c r="I204" s="75">
        <f t="shared" si="211"/>
        <v>-8.9833694132485167E-2</v>
      </c>
      <c r="J204" s="77">
        <f t="shared" si="212"/>
        <v>-0.9830404401942312</v>
      </c>
      <c r="K204" s="77">
        <f t="shared" si="213"/>
        <v>2.564874376648393</v>
      </c>
      <c r="L204" s="91">
        <f t="shared" si="214"/>
        <v>2.7468070691340429</v>
      </c>
      <c r="M204" s="93"/>
      <c r="N204" s="75">
        <f t="shared" si="215"/>
        <v>-5.0360271508509413E-12</v>
      </c>
      <c r="O204" s="75">
        <f t="shared" si="201"/>
        <v>-1.9110736170065951E-2</v>
      </c>
      <c r="P204" s="75">
        <f t="shared" si="202"/>
        <v>2.775591005276806</v>
      </c>
      <c r="AF204" s="7"/>
      <c r="AG204" s="7"/>
      <c r="AH204" s="7"/>
      <c r="AI204" s="7"/>
      <c r="AJ204" s="7"/>
      <c r="AK204" s="7"/>
      <c r="AL204" s="7"/>
      <c r="AM204" s="7"/>
      <c r="AN204" s="7"/>
      <c r="AR204" s="92"/>
      <c r="AS204" s="7"/>
      <c r="AT204" s="123"/>
      <c r="AU204" s="123"/>
      <c r="AV204" s="123"/>
      <c r="AW204" s="123"/>
      <c r="AX204" s="123"/>
      <c r="AY204" s="123"/>
      <c r="AZ204" s="7"/>
    </row>
    <row r="205" spans="1:52" s="18" customFormat="1">
      <c r="A205" s="19">
        <f t="shared" si="203"/>
        <v>2.775591005276806</v>
      </c>
      <c r="B205" s="26">
        <f t="shared" si="204"/>
        <v>-0.93376575496298586</v>
      </c>
      <c r="C205" s="26">
        <f t="shared" si="205"/>
        <v>-0.72615183263564687</v>
      </c>
      <c r="D205" s="26">
        <f t="shared" si="206"/>
        <v>1.4194187854478473</v>
      </c>
      <c r="E205" s="26">
        <f t="shared" si="207"/>
        <v>0.35788477874646352</v>
      </c>
      <c r="F205" s="77">
        <f t="shared" si="208"/>
        <v>0.94933970678445467</v>
      </c>
      <c r="G205" s="77">
        <f t="shared" si="209"/>
        <v>3.641911029220557E-2</v>
      </c>
      <c r="H205" s="75">
        <f t="shared" si="210"/>
        <v>1.3607326427022139</v>
      </c>
      <c r="I205" s="75">
        <f t="shared" si="211"/>
        <v>-8.9833694127520472E-2</v>
      </c>
      <c r="J205" s="77">
        <f t="shared" si="212"/>
        <v>-0.98304044019378023</v>
      </c>
      <c r="K205" s="77">
        <f t="shared" si="213"/>
        <v>2.5648743766411486</v>
      </c>
      <c r="L205" s="91">
        <f t="shared" si="214"/>
        <v>2.7468070691271169</v>
      </c>
      <c r="M205" s="93"/>
      <c r="N205" s="75">
        <f t="shared" si="215"/>
        <v>-7.1331829332166308E-14</v>
      </c>
      <c r="O205" s="75">
        <f t="shared" si="201"/>
        <v>-1.9110736164958661E-2</v>
      </c>
      <c r="P205" s="75">
        <f t="shared" si="202"/>
        <v>2.7755910052767949</v>
      </c>
      <c r="AF205" s="7"/>
      <c r="AG205" s="7"/>
      <c r="AH205" s="7"/>
      <c r="AI205" s="7"/>
      <c r="AJ205" s="7"/>
      <c r="AK205" s="7"/>
      <c r="AL205" s="7"/>
      <c r="AM205" s="7"/>
      <c r="AN205" s="7"/>
      <c r="AR205" s="92"/>
      <c r="AS205" s="7"/>
      <c r="AT205" s="123"/>
      <c r="AU205" s="123"/>
      <c r="AV205" s="123"/>
      <c r="AW205" s="123"/>
      <c r="AX205" s="123"/>
      <c r="AY205" s="123"/>
      <c r="AZ205" s="7"/>
    </row>
    <row r="206" spans="1:52" s="18" customFormat="1">
      <c r="A206" s="19">
        <f>$P205</f>
        <v>2.7755910052767949</v>
      </c>
      <c r="B206" s="26">
        <f t="shared" si="204"/>
        <v>-0.93376575496298186</v>
      </c>
      <c r="C206" s="26">
        <f t="shared" si="205"/>
        <v>-0.72615183263564287</v>
      </c>
      <c r="D206" s="26">
        <f t="shared" si="206"/>
        <v>1.4194187854478382</v>
      </c>
      <c r="E206" s="26">
        <f t="shared" si="207"/>
        <v>0.3578847787464739</v>
      </c>
      <c r="F206" s="77">
        <f t="shared" si="208"/>
        <v>0.94933970678441604</v>
      </c>
      <c r="G206" s="77">
        <f t="shared" si="209"/>
        <v>3.6419110292233339E-2</v>
      </c>
      <c r="H206" s="75">
        <f t="shared" si="210"/>
        <v>1.3607326427021871</v>
      </c>
      <c r="I206" s="75">
        <f t="shared" si="211"/>
        <v>-8.9833694127450056E-2</v>
      </c>
      <c r="J206" s="77">
        <f t="shared" si="212"/>
        <v>-0.9830404401937739</v>
      </c>
      <c r="K206" s="77">
        <f t="shared" si="213"/>
        <v>2.5648743766410478</v>
      </c>
      <c r="L206" s="91">
        <f t="shared" si="214"/>
        <v>2.7468070691270206</v>
      </c>
      <c r="M206" s="93"/>
      <c r="N206" s="75">
        <f t="shared" si="215"/>
        <v>-9.1593399531575415E-16</v>
      </c>
      <c r="O206" s="75">
        <f t="shared" si="201"/>
        <v>-1.911073616488676E-2</v>
      </c>
      <c r="P206" s="75">
        <f t="shared" si="202"/>
        <v>2.7755910052767949</v>
      </c>
      <c r="AF206" s="7"/>
      <c r="AG206" s="7"/>
      <c r="AH206" s="7"/>
      <c r="AI206" s="7"/>
      <c r="AJ206" s="7"/>
      <c r="AK206" s="7"/>
      <c r="AL206" s="7"/>
      <c r="AM206" s="7"/>
      <c r="AN206" s="7"/>
      <c r="AR206" s="92"/>
      <c r="AS206" s="7"/>
      <c r="AT206" s="123"/>
      <c r="AU206" s="123"/>
      <c r="AV206" s="123"/>
      <c r="AW206" s="123"/>
      <c r="AX206" s="123"/>
      <c r="AY206" s="123"/>
      <c r="AZ206" s="7"/>
    </row>
    <row r="207" spans="1:52" s="18" customFormat="1">
      <c r="A207" s="19">
        <f t="shared" si="203"/>
        <v>2.7755910052767949</v>
      </c>
      <c r="B207" s="26">
        <f t="shared" si="204"/>
        <v>-0.93376575496298186</v>
      </c>
      <c r="C207" s="26">
        <f t="shared" si="205"/>
        <v>-0.72615183263564287</v>
      </c>
      <c r="D207" s="26">
        <f t="shared" si="206"/>
        <v>1.4194187854478382</v>
      </c>
      <c r="E207" s="26">
        <f t="shared" si="207"/>
        <v>0.3578847787464739</v>
      </c>
      <c r="F207" s="77">
        <f t="shared" si="208"/>
        <v>0.94933970678441604</v>
      </c>
      <c r="G207" s="77">
        <f t="shared" si="209"/>
        <v>3.6419110292233339E-2</v>
      </c>
      <c r="H207" s="75">
        <f t="shared" si="210"/>
        <v>1.3607326427021871</v>
      </c>
      <c r="I207" s="75">
        <f t="shared" si="211"/>
        <v>-8.9833694127450056E-2</v>
      </c>
      <c r="J207" s="77">
        <f t="shared" si="212"/>
        <v>-0.9830404401937739</v>
      </c>
      <c r="K207" s="77">
        <f t="shared" si="213"/>
        <v>2.5648743766410478</v>
      </c>
      <c r="L207" s="91">
        <f t="shared" si="214"/>
        <v>2.7468070691270206</v>
      </c>
      <c r="M207" s="93"/>
      <c r="N207" s="75">
        <f t="shared" si="215"/>
        <v>-9.1593399531575415E-16</v>
      </c>
      <c r="O207" s="75">
        <f t="shared" si="201"/>
        <v>-1.911073616488676E-2</v>
      </c>
      <c r="P207" s="75">
        <f t="shared" si="202"/>
        <v>2.7755910052767949</v>
      </c>
      <c r="AF207" s="7"/>
      <c r="AG207" s="7"/>
      <c r="AH207" s="7"/>
      <c r="AI207" s="7"/>
      <c r="AJ207" s="7"/>
      <c r="AK207" s="7"/>
      <c r="AL207" s="7"/>
      <c r="AM207" s="7"/>
      <c r="AN207" s="7"/>
      <c r="AR207" s="92"/>
      <c r="AS207" s="7"/>
      <c r="AT207" s="123"/>
      <c r="AU207" s="123"/>
      <c r="AV207" s="123"/>
      <c r="AW207" s="123"/>
      <c r="AX207" s="123"/>
      <c r="AY207" s="123"/>
      <c r="AZ207" s="7"/>
    </row>
    <row r="208" spans="1:52" s="18" customFormat="1">
      <c r="A208" s="19">
        <f t="shared" si="203"/>
        <v>2.7755910052767949</v>
      </c>
      <c r="B208" s="26">
        <f t="shared" si="204"/>
        <v>-0.93376575496298186</v>
      </c>
      <c r="C208" s="26">
        <f t="shared" si="205"/>
        <v>-0.72615183263564287</v>
      </c>
      <c r="D208" s="26">
        <f t="shared" si="206"/>
        <v>1.4194187854478382</v>
      </c>
      <c r="E208" s="26">
        <f t="shared" si="207"/>
        <v>0.3578847787464739</v>
      </c>
      <c r="F208" s="77">
        <f t="shared" si="208"/>
        <v>0.94933970678441604</v>
      </c>
      <c r="G208" s="77">
        <f t="shared" si="209"/>
        <v>3.6419110292233339E-2</v>
      </c>
      <c r="H208" s="75">
        <f t="shared" si="210"/>
        <v>1.3607326427021871</v>
      </c>
      <c r="I208" s="75">
        <f t="shared" si="211"/>
        <v>-8.9833694127450056E-2</v>
      </c>
      <c r="J208" s="77">
        <f t="shared" si="212"/>
        <v>-0.9830404401937739</v>
      </c>
      <c r="K208" s="77">
        <f t="shared" si="213"/>
        <v>2.5648743766410478</v>
      </c>
      <c r="L208" s="91">
        <f t="shared" si="214"/>
        <v>2.7468070691270206</v>
      </c>
      <c r="M208" s="93"/>
      <c r="N208" s="75">
        <f t="shared" si="215"/>
        <v>-9.1593399531575415E-16</v>
      </c>
      <c r="O208" s="75">
        <f t="shared" si="201"/>
        <v>-1.911073616488676E-2</v>
      </c>
      <c r="P208" s="75">
        <f t="shared" si="202"/>
        <v>2.7755910052767949</v>
      </c>
      <c r="AF208" s="7"/>
      <c r="AG208" s="7"/>
      <c r="AH208" s="7"/>
      <c r="AI208" s="7"/>
      <c r="AJ208" s="7"/>
      <c r="AK208" s="7"/>
      <c r="AL208" s="7"/>
      <c r="AM208" s="7"/>
      <c r="AN208" s="7"/>
      <c r="AR208" s="92"/>
      <c r="AS208" s="7"/>
      <c r="AT208" s="123"/>
      <c r="AU208" s="123"/>
      <c r="AV208" s="123"/>
      <c r="AW208" s="123"/>
      <c r="AX208" s="123"/>
      <c r="AY208" s="123"/>
      <c r="AZ208" s="7"/>
    </row>
    <row r="209" spans="1:52" s="18" customFormat="1">
      <c r="A209" s="88" t="s">
        <v>60</v>
      </c>
      <c r="B209" s="8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AF209" s="7"/>
      <c r="AG209" s="7"/>
      <c r="AH209" s="7"/>
      <c r="AI209" s="7"/>
      <c r="AJ209" s="7"/>
      <c r="AK209" s="7"/>
      <c r="AL209" s="7"/>
      <c r="AM209" s="7"/>
      <c r="AN209" s="7"/>
      <c r="AR209" s="92"/>
      <c r="AS209" s="7"/>
      <c r="AT209" s="123"/>
      <c r="AU209" s="123"/>
      <c r="AV209" s="123"/>
      <c r="AW209" s="123"/>
      <c r="AX209" s="123"/>
      <c r="AY209" s="123"/>
      <c r="AZ209" s="7"/>
    </row>
    <row r="210" spans="1:52" s="18" customFormat="1">
      <c r="A210" s="26" t="s">
        <v>11</v>
      </c>
      <c r="B210" s="26" t="s">
        <v>13</v>
      </c>
      <c r="C210" s="26" t="s">
        <v>22</v>
      </c>
      <c r="D210" s="26" t="s">
        <v>18</v>
      </c>
      <c r="E210" s="26" t="s">
        <v>19</v>
      </c>
      <c r="F210" s="26" t="s">
        <v>20</v>
      </c>
      <c r="G210" s="26" t="s">
        <v>2</v>
      </c>
      <c r="H210" s="26" t="s">
        <v>1</v>
      </c>
      <c r="I210" s="26" t="s">
        <v>0</v>
      </c>
      <c r="J210" s="76" t="s">
        <v>3</v>
      </c>
      <c r="K210" s="76" t="s">
        <v>4</v>
      </c>
      <c r="L210" s="44" t="s">
        <v>7</v>
      </c>
      <c r="M210" s="28"/>
      <c r="N210" s="28"/>
      <c r="O210" s="28"/>
      <c r="P210" s="31"/>
      <c r="AF210" s="7"/>
      <c r="AG210" s="7"/>
      <c r="AH210" s="7"/>
      <c r="AI210" s="7"/>
      <c r="AJ210" s="7"/>
      <c r="AK210" s="7"/>
      <c r="AL210" s="7"/>
      <c r="AM210" s="7"/>
      <c r="AN210" s="7"/>
      <c r="AR210" s="92"/>
      <c r="AS210" s="7"/>
      <c r="AT210" s="123"/>
      <c r="AU210" s="123"/>
      <c r="AV210" s="123"/>
      <c r="AW210" s="123"/>
      <c r="AX210" s="123"/>
      <c r="AY210" s="123"/>
      <c r="AZ210" s="7"/>
    </row>
    <row r="211" spans="1:52" s="18" customFormat="1">
      <c r="A211" s="19">
        <f>$E195</f>
        <v>2.7894992683223228</v>
      </c>
      <c r="B211" s="26">
        <f t="shared" ref="B211:B216" si="216">COS(A211)</f>
        <v>-0.93865283786541809</v>
      </c>
      <c r="C211" s="26">
        <f t="shared" ref="C211:C216" si="217">($C$195+B211)</f>
        <v>-0.7310389155380792</v>
      </c>
      <c r="D211" s="26">
        <f t="shared" ref="D211:D216" si="218">POWER(TAN(A211/2),$C$195)</f>
        <v>1.4311326096728518</v>
      </c>
      <c r="E211" s="26">
        <f t="shared" ref="E211:E216" si="219">SIN(A211)</f>
        <v>0.344863523683206</v>
      </c>
      <c r="F211" s="77">
        <f t="shared" ref="F211:F216" si="220">(C211*$H$195*D211/E211/$I$195/$J$195)</f>
        <v>1.0000000000000002</v>
      </c>
      <c r="G211" s="77">
        <f t="shared" ref="G211:G216" si="221">$D$195*($C$195+$G$195)/9.81/SIN($C$192)/(1-$C$195*$C$192)*(F211-1)</f>
        <v>-1.5962534843901177E-16</v>
      </c>
      <c r="H211" s="138">
        <f t="shared" ref="H211:H216" si="222">-(-$H$192+$K$195*((POWER(TAN(A211/2),2*$C$195-1)/(2*$C$195-1))+(POWER(TAN(A211/2),2*$C$195+1)/(2*$C$195+1))-(POWER(TAN($E$195/2),2*$C$195-1)/(2*$C$195-1))-(POWER(TAN($E$195/2),2*$C$195+1)/(2*$C$195+1))))</f>
        <v>1.3957656183759459</v>
      </c>
      <c r="I211" s="138">
        <f t="shared" ref="I211:I216" si="223">-(-$I$192+0.5*$K$195*((POWER(TAN(A211/2),2*$C$195-2)/(2*$C$195-2))-(POWER(TAN(A211/2),2*$C$195+2)/(2*$C$195+2))-(POWER(TAN($E$195/2),2*$C$195-2)/(2*$C$195-2))+(POWER(TAN($E$195/2),2*$C$195+2)/(2*$C$195+2))))</f>
        <v>-0.18321833372345758</v>
      </c>
      <c r="J211" s="77">
        <f t="shared" ref="J211:J216" si="224">-$D$195*SIN(A211)*($C$195+$G$195)/($C$195+B211)*F211</f>
        <v>-0.99115303038954006</v>
      </c>
      <c r="K211" s="77">
        <f t="shared" ref="K211:K216" si="225">-$D$195*COS(A211)*($C$195+$G$195)/($C$195+B211)*F211</f>
        <v>2.6977297998865062</v>
      </c>
      <c r="L211" s="91">
        <f t="shared" ref="L211:L216" si="226">SQRT(J211*J211+K211*K211)</f>
        <v>2.8740442590269999</v>
      </c>
      <c r="M211" s="28"/>
      <c r="N211" s="28"/>
      <c r="O211" s="28"/>
      <c r="P211" s="31"/>
      <c r="AF211" s="7"/>
      <c r="AG211" s="7"/>
      <c r="AH211" s="7"/>
      <c r="AI211" s="7"/>
      <c r="AJ211" s="7"/>
      <c r="AK211" s="7"/>
      <c r="AL211" s="7"/>
      <c r="AM211" s="7"/>
      <c r="AN211" s="7"/>
      <c r="AR211" s="92"/>
      <c r="AS211" s="7"/>
      <c r="AT211" s="123"/>
      <c r="AU211" s="123"/>
      <c r="AV211" s="123"/>
      <c r="AW211" s="123"/>
      <c r="AX211" s="123"/>
      <c r="AY211" s="123"/>
      <c r="AZ211" s="7"/>
    </row>
    <row r="212" spans="1:52" s="18" customFormat="1">
      <c r="A212" s="20">
        <f>A211-$F$195</f>
        <v>2.7867376157132173</v>
      </c>
      <c r="B212" s="26">
        <f t="shared" si="216"/>
        <v>-0.93769686640473937</v>
      </c>
      <c r="C212" s="26">
        <f t="shared" si="217"/>
        <v>-0.73008294407740038</v>
      </c>
      <c r="D212" s="26">
        <f t="shared" si="218"/>
        <v>1.4287641176613137</v>
      </c>
      <c r="E212" s="26">
        <f t="shared" si="219"/>
        <v>0.34745443835808498</v>
      </c>
      <c r="F212" s="77">
        <f t="shared" si="220"/>
        <v>0.98960472675136402</v>
      </c>
      <c r="G212" s="77">
        <f t="shared" si="221"/>
        <v>7.4730440534346741E-3</v>
      </c>
      <c r="H212" s="138">
        <f t="shared" si="222"/>
        <v>1.3885536113981798</v>
      </c>
      <c r="I212" s="138">
        <f t="shared" si="223"/>
        <v>-0.16367168753119349</v>
      </c>
      <c r="J212" s="77">
        <f t="shared" si="224"/>
        <v>-0.9895126946031686</v>
      </c>
      <c r="K212" s="77">
        <f t="shared" si="225"/>
        <v>2.6704593482292767</v>
      </c>
      <c r="L212" s="91">
        <f t="shared" si="226"/>
        <v>2.8478919402473748</v>
      </c>
      <c r="M212" s="28"/>
      <c r="N212" s="28"/>
      <c r="O212" s="28"/>
      <c r="P212" s="31"/>
      <c r="AF212" s="7"/>
      <c r="AG212" s="7"/>
      <c r="AH212" s="7"/>
      <c r="AI212" s="7"/>
      <c r="AJ212" s="7"/>
      <c r="AK212" s="7"/>
      <c r="AL212" s="7"/>
      <c r="AM212" s="7"/>
      <c r="AN212" s="7"/>
      <c r="AR212" s="92"/>
      <c r="AS212" s="7"/>
      <c r="AT212" s="123"/>
      <c r="AU212" s="123"/>
      <c r="AV212" s="123"/>
      <c r="AW212" s="123"/>
      <c r="AX212" s="123"/>
      <c r="AY212" s="123"/>
      <c r="AZ212" s="7"/>
    </row>
    <row r="213" spans="1:52" s="18" customFormat="1">
      <c r="A213" s="20">
        <f>A212-$F$195</f>
        <v>2.7839759631041119</v>
      </c>
      <c r="B213" s="26">
        <f t="shared" si="216"/>
        <v>-0.9367337433923475</v>
      </c>
      <c r="C213" s="26">
        <f t="shared" si="217"/>
        <v>-0.7291198210650085</v>
      </c>
      <c r="D213" s="26">
        <f t="shared" si="218"/>
        <v>1.4264170890460437</v>
      </c>
      <c r="E213" s="26">
        <f t="shared" si="219"/>
        <v>0.35004270309515045</v>
      </c>
      <c r="F213" s="77">
        <f t="shared" si="220"/>
        <v>0.97938014711107524</v>
      </c>
      <c r="G213" s="77">
        <f t="shared" si="221"/>
        <v>1.4823378407536935E-2</v>
      </c>
      <c r="H213" s="138">
        <f t="shared" si="222"/>
        <v>1.3814717241311527</v>
      </c>
      <c r="I213" s="138">
        <f t="shared" si="223"/>
        <v>-0.14463971691094424</v>
      </c>
      <c r="J213" s="77">
        <f t="shared" si="224"/>
        <v>-0.98788722362395054</v>
      </c>
      <c r="K213" s="77">
        <f t="shared" si="225"/>
        <v>2.6436411582137529</v>
      </c>
      <c r="L213" s="91">
        <f t="shared" si="226"/>
        <v>2.8221905924301409</v>
      </c>
      <c r="M213" s="45"/>
      <c r="N213" s="28"/>
      <c r="O213" s="28"/>
      <c r="P213" s="31"/>
      <c r="AF213" s="7"/>
      <c r="AG213" s="7"/>
      <c r="AH213" s="7"/>
      <c r="AI213" s="7"/>
      <c r="AJ213" s="7"/>
      <c r="AK213" s="7"/>
      <c r="AL213" s="7"/>
      <c r="AM213" s="7"/>
      <c r="AN213" s="7"/>
      <c r="AR213" s="92"/>
      <c r="AS213" s="7"/>
      <c r="AT213" s="123"/>
      <c r="AU213" s="123"/>
      <c r="AV213" s="123"/>
      <c r="AW213" s="123"/>
      <c r="AX213" s="123"/>
      <c r="AY213" s="123"/>
      <c r="AZ213" s="7"/>
    </row>
    <row r="214" spans="1:52" s="18" customFormat="1">
      <c r="A214" s="20">
        <f>A213-$F$195</f>
        <v>2.7812143104950064</v>
      </c>
      <c r="B214" s="26">
        <f t="shared" si="216"/>
        <v>-0.93576347617371214</v>
      </c>
      <c r="C214" s="26">
        <f t="shared" si="217"/>
        <v>-0.72814955384637314</v>
      </c>
      <c r="D214" s="26">
        <f t="shared" si="218"/>
        <v>1.4240911550897877</v>
      </c>
      <c r="E214" s="26">
        <f t="shared" si="219"/>
        <v>0.3526282981544312</v>
      </c>
      <c r="F214" s="77">
        <f t="shared" si="220"/>
        <v>0.96932207409306914</v>
      </c>
      <c r="G214" s="77">
        <f t="shared" si="221"/>
        <v>2.2054013039107097E-2</v>
      </c>
      <c r="H214" s="138">
        <f t="shared" si="222"/>
        <v>1.3745165669469499</v>
      </c>
      <c r="I214" s="138">
        <f t="shared" si="223"/>
        <v>-0.1261050920607831</v>
      </c>
      <c r="J214" s="77">
        <f t="shared" si="224"/>
        <v>-0.9862763620771956</v>
      </c>
      <c r="K214" s="77">
        <f t="shared" si="225"/>
        <v>2.6172641330138853</v>
      </c>
      <c r="L214" s="91">
        <f t="shared" si="226"/>
        <v>2.7969291382430752</v>
      </c>
      <c r="M214" s="45"/>
      <c r="N214" s="28"/>
      <c r="O214" s="28"/>
      <c r="P214" s="31"/>
      <c r="AF214" s="7"/>
      <c r="AG214" s="7"/>
      <c r="AH214" s="7"/>
      <c r="AI214" s="7"/>
      <c r="AJ214" s="7"/>
      <c r="AK214" s="7"/>
      <c r="AL214" s="7"/>
      <c r="AM214" s="7"/>
      <c r="AN214" s="7"/>
      <c r="AR214" s="92"/>
      <c r="AS214" s="7"/>
      <c r="AT214" s="123"/>
      <c r="AU214" s="123"/>
      <c r="AV214" s="123"/>
      <c r="AW214" s="123"/>
      <c r="AX214" s="123"/>
      <c r="AY214" s="123"/>
      <c r="AZ214" s="7"/>
    </row>
    <row r="215" spans="1:52" s="18" customFormat="1">
      <c r="A215" s="20">
        <f>A214-$F$195</f>
        <v>2.778452657885901</v>
      </c>
      <c r="B215" s="26">
        <f t="shared" si="216"/>
        <v>-0.93478607214879006</v>
      </c>
      <c r="C215" s="26">
        <f t="shared" si="217"/>
        <v>-0.72717214982145117</v>
      </c>
      <c r="D215" s="26">
        <f t="shared" si="218"/>
        <v>1.4217859560782948</v>
      </c>
      <c r="E215" s="26">
        <f t="shared" si="219"/>
        <v>0.35521120381631693</v>
      </c>
      <c r="F215" s="77">
        <f t="shared" si="220"/>
        <v>0.95942645446282881</v>
      </c>
      <c r="G215" s="77">
        <f t="shared" si="221"/>
        <v>2.9167861772474671E-2</v>
      </c>
      <c r="H215" s="138">
        <f t="shared" si="222"/>
        <v>1.3676848637019441</v>
      </c>
      <c r="I215" s="138">
        <f t="shared" si="223"/>
        <v>-0.10805119326827393</v>
      </c>
      <c r="J215" s="77">
        <f t="shared" si="224"/>
        <v>-0.98467986083723413</v>
      </c>
      <c r="K215" s="77">
        <f t="shared" si="225"/>
        <v>2.5913175303784519</v>
      </c>
      <c r="L215" s="91">
        <f t="shared" si="226"/>
        <v>2.7720968546544533</v>
      </c>
      <c r="M215" s="45"/>
      <c r="N215" s="28"/>
      <c r="O215" s="28"/>
      <c r="P215" s="89"/>
      <c r="AF215" s="7"/>
      <c r="AG215" s="7"/>
      <c r="AH215" s="7"/>
      <c r="AI215" s="7"/>
      <c r="AJ215" s="7"/>
      <c r="AK215" s="7"/>
      <c r="AL215" s="7"/>
      <c r="AM215" s="7"/>
      <c r="AN215" s="7"/>
      <c r="AR215" s="92"/>
      <c r="AS215" s="7"/>
      <c r="AT215" s="123"/>
      <c r="AU215" s="123"/>
      <c r="AV215" s="123"/>
      <c r="AW215" s="123"/>
      <c r="AX215" s="123"/>
      <c r="AY215" s="123"/>
      <c r="AZ215" s="7"/>
    </row>
    <row r="216" spans="1:52" s="18" customFormat="1">
      <c r="A216" s="20">
        <f>A215-$F$195</f>
        <v>2.7756910052767956</v>
      </c>
      <c r="B216" s="26">
        <f t="shared" si="216"/>
        <v>-0.93380153877196825</v>
      </c>
      <c r="C216" s="26">
        <f t="shared" si="217"/>
        <v>-0.72618761644462926</v>
      </c>
      <c r="D216" s="26">
        <f t="shared" si="218"/>
        <v>1.4195011410328069</v>
      </c>
      <c r="E216" s="26">
        <f t="shared" si="219"/>
        <v>0.3577914003817087</v>
      </c>
      <c r="F216" s="77">
        <f t="shared" si="220"/>
        <v>0.94968936348592892</v>
      </c>
      <c r="G216" s="77">
        <f t="shared" si="221"/>
        <v>3.6167746054710556E-2</v>
      </c>
      <c r="H216" s="138">
        <f t="shared" si="222"/>
        <v>1.3609734471083326</v>
      </c>
      <c r="I216" s="138">
        <f t="shared" si="223"/>
        <v>-9.0462076706474798E-2</v>
      </c>
      <c r="J216" s="77">
        <f t="shared" si="224"/>
        <v>-0.98309747682829662</v>
      </c>
      <c r="K216" s="77">
        <f t="shared" si="225"/>
        <v>2.5657909487084325</v>
      </c>
      <c r="L216" s="91">
        <f t="shared" si="226"/>
        <v>2.7476833590172434</v>
      </c>
      <c r="M216" s="45"/>
      <c r="N216" s="28"/>
      <c r="O216" s="28"/>
      <c r="P216" s="28"/>
      <c r="AF216" s="7"/>
      <c r="AG216" s="7"/>
      <c r="AH216" s="7"/>
      <c r="AI216" s="7"/>
      <c r="AJ216" s="7"/>
      <c r="AK216" s="7"/>
      <c r="AL216" s="7"/>
      <c r="AM216" s="7"/>
      <c r="AN216" s="7"/>
      <c r="AR216" s="92"/>
      <c r="AS216" s="7"/>
      <c r="AT216" s="123"/>
      <c r="AU216" s="123"/>
      <c r="AV216" s="123"/>
      <c r="AW216" s="123"/>
      <c r="AX216" s="123"/>
      <c r="AY216" s="123"/>
      <c r="AZ216" s="7"/>
    </row>
    <row r="217" spans="1:52" s="1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AF217" s="7"/>
      <c r="AG217" s="7"/>
      <c r="AH217" s="7"/>
      <c r="AI217" s="7"/>
      <c r="AJ217" s="7"/>
      <c r="AK217" s="7"/>
      <c r="AL217" s="7"/>
      <c r="AM217" s="7"/>
      <c r="AN217" s="7"/>
      <c r="AR217" s="92"/>
      <c r="AS217" s="7"/>
      <c r="AT217" s="123"/>
      <c r="AU217" s="123"/>
      <c r="AV217" s="123"/>
      <c r="AW217" s="123"/>
      <c r="AX217" s="123"/>
      <c r="AY217" s="123"/>
      <c r="AZ217" s="7"/>
    </row>
    <row r="218" spans="1:52" s="18" customFormat="1">
      <c r="A218" s="88" t="s">
        <v>73</v>
      </c>
      <c r="B218" s="88"/>
      <c r="C218" s="23" t="str">
        <f>CONCATENATE("m",Stufengrün!AH48)</f>
        <v>m0</v>
      </c>
      <c r="D218" s="23" t="s">
        <v>30</v>
      </c>
      <c r="E218" s="28"/>
      <c r="F218" s="28"/>
      <c r="G218" s="28"/>
      <c r="H218" s="36" t="s">
        <v>57</v>
      </c>
      <c r="I218" s="36" t="s">
        <v>51</v>
      </c>
      <c r="J218" s="36" t="s">
        <v>58</v>
      </c>
      <c r="K218" s="36" t="s">
        <v>59</v>
      </c>
      <c r="L218" s="28"/>
      <c r="M218" s="28"/>
      <c r="N218" s="28"/>
      <c r="O218" s="28"/>
      <c r="P218" s="28"/>
      <c r="AF218" s="7"/>
      <c r="AG218" s="7"/>
      <c r="AH218" s="7"/>
      <c r="AI218" s="7"/>
      <c r="AJ218" s="7"/>
      <c r="AK218" s="7"/>
      <c r="AL218" s="7"/>
      <c r="AM218" s="7"/>
      <c r="AN218" s="7"/>
      <c r="AR218" s="92"/>
      <c r="AS218" s="7"/>
      <c r="AT218" s="123"/>
      <c r="AU218" s="123"/>
      <c r="AV218" s="123"/>
      <c r="AW218" s="123"/>
      <c r="AX218" s="123"/>
      <c r="AY218" s="123"/>
      <c r="AZ218" s="7"/>
    </row>
    <row r="219" spans="1:52" s="18" customFormat="1">
      <c r="A219" s="88" t="s">
        <v>69</v>
      </c>
      <c r="B219" s="88"/>
      <c r="C219" s="36">
        <f>Stufengrün!AI48</f>
        <v>0.38197186342054879</v>
      </c>
      <c r="D219" s="26">
        <f>Stufengrün!AK48</f>
        <v>8.983369412744914E-2</v>
      </c>
      <c r="E219" s="28"/>
      <c r="F219" s="28"/>
      <c r="G219" s="28"/>
      <c r="H219" s="78">
        <f>H208</f>
        <v>1.3607326427021871</v>
      </c>
      <c r="I219" s="78">
        <f>I208</f>
        <v>-8.9833694127450056E-2</v>
      </c>
      <c r="J219" s="78">
        <f>J208</f>
        <v>-0.9830404401937739</v>
      </c>
      <c r="K219" s="78">
        <f>K208</f>
        <v>2.5648743766410478</v>
      </c>
      <c r="L219" s="28"/>
      <c r="M219" s="28"/>
      <c r="N219" s="28"/>
      <c r="O219" s="28"/>
      <c r="P219" s="28"/>
      <c r="AF219" s="7"/>
      <c r="AG219" s="7"/>
      <c r="AH219" s="7"/>
      <c r="AI219" s="7"/>
      <c r="AJ219" s="7"/>
      <c r="AK219" s="7"/>
      <c r="AL219" s="7"/>
      <c r="AM219" s="7"/>
      <c r="AN219" s="7"/>
      <c r="AR219" s="92"/>
      <c r="AS219" s="7"/>
      <c r="AT219" s="123"/>
      <c r="AU219" s="123"/>
      <c r="AV219" s="123"/>
      <c r="AW219" s="123"/>
      <c r="AX219" s="123"/>
      <c r="AY219" s="123"/>
      <c r="AZ219" s="7"/>
    </row>
    <row r="220" spans="1:52" s="18" customFormat="1">
      <c r="A220" s="95"/>
      <c r="B220" s="95"/>
      <c r="C220" s="28"/>
      <c r="D220" s="28"/>
      <c r="E220" s="28"/>
      <c r="F220" s="28"/>
      <c r="G220" s="28"/>
      <c r="H220" s="37" t="s">
        <v>8</v>
      </c>
      <c r="I220" s="37" t="s">
        <v>8</v>
      </c>
      <c r="J220" s="37" t="s">
        <v>9</v>
      </c>
      <c r="K220" s="37" t="s">
        <v>9</v>
      </c>
      <c r="L220" s="28"/>
      <c r="M220" s="28"/>
      <c r="N220" s="28"/>
      <c r="O220" s="28"/>
      <c r="P220" s="28"/>
      <c r="AF220" s="7"/>
      <c r="AG220" s="7"/>
      <c r="AH220" s="7"/>
      <c r="AI220" s="7"/>
      <c r="AJ220" s="7"/>
      <c r="AK220" s="7"/>
      <c r="AL220" s="7"/>
      <c r="AM220" s="7"/>
      <c r="AN220" s="7"/>
      <c r="AR220" s="92"/>
      <c r="AS220" s="7"/>
      <c r="AT220" s="123"/>
      <c r="AU220" s="123"/>
      <c r="AV220" s="123"/>
      <c r="AW220" s="123"/>
      <c r="AX220" s="123"/>
      <c r="AY220" s="123"/>
      <c r="AZ220" s="7"/>
    </row>
    <row r="221" spans="1:52" s="18" customFormat="1">
      <c r="A221" s="88" t="s">
        <v>68</v>
      </c>
      <c r="B221" s="88"/>
      <c r="C221" s="115" t="s">
        <v>15</v>
      </c>
      <c r="D221" s="115" t="s">
        <v>55</v>
      </c>
      <c r="E221" s="115" t="s">
        <v>12</v>
      </c>
      <c r="F221" s="115" t="s">
        <v>10</v>
      </c>
      <c r="G221" s="115" t="s">
        <v>14</v>
      </c>
      <c r="H221" s="115" t="s">
        <v>21</v>
      </c>
      <c r="I221" s="115" t="s">
        <v>16</v>
      </c>
      <c r="J221" s="115" t="s">
        <v>17</v>
      </c>
      <c r="K221" s="115" t="s">
        <v>23</v>
      </c>
      <c r="L221" s="28"/>
      <c r="M221" s="28"/>
      <c r="N221" s="28"/>
      <c r="O221" s="28"/>
      <c r="P221" s="28"/>
      <c r="AF221" s="7"/>
      <c r="AG221" s="7"/>
      <c r="AH221" s="7"/>
      <c r="AI221" s="7"/>
      <c r="AJ221" s="7"/>
      <c r="AK221" s="7"/>
      <c r="AL221" s="7"/>
      <c r="AM221" s="7"/>
      <c r="AN221" s="7"/>
      <c r="AR221" s="92"/>
      <c r="AS221" s="7"/>
      <c r="AT221" s="123"/>
      <c r="AU221" s="123"/>
      <c r="AV221" s="123"/>
      <c r="AW221" s="123"/>
      <c r="AX221" s="123"/>
      <c r="AY221" s="123"/>
      <c r="AZ221" s="7"/>
    </row>
    <row r="222" spans="1:52" s="18" customFormat="1">
      <c r="A222" s="28"/>
      <c r="B222" s="28"/>
      <c r="C222" s="23">
        <f>Mü/TAN($C219)</f>
        <v>0.17425898005457305</v>
      </c>
      <c r="D222" s="42">
        <f>SQRT($J219*$J219+$K219*$K219)</f>
        <v>2.7468070691270206</v>
      </c>
      <c r="E222" s="20">
        <f>ATAN($J219/$K219)+PI()</f>
        <v>2.7755910052767949</v>
      </c>
      <c r="F222" s="23">
        <f>($E222-A235-0.0001)/5</f>
        <v>7.8968829270072288E-3</v>
      </c>
      <c r="G222" s="23">
        <f>COS($E222)</f>
        <v>-0.93376575496298186</v>
      </c>
      <c r="H222" s="23">
        <f>SIN($E222)</f>
        <v>0.3578847787464739</v>
      </c>
      <c r="I222" s="23">
        <f>$C222+$G222</f>
        <v>-0.75950677490840879</v>
      </c>
      <c r="J222" s="23">
        <f>POWER(TAN($E222/2),$C222)</f>
        <v>1.3417533719546335</v>
      </c>
      <c r="K222" s="23">
        <f>-$D222*$D222*SIN($E222)*SIN($E222)/(2*9.81*SIN($C219)*POWER(TAN($E222/2),2*$C222))</f>
        <v>-7.3397221391491588E-2</v>
      </c>
      <c r="L222" s="28"/>
      <c r="M222" s="28"/>
      <c r="N222" s="28"/>
      <c r="O222" s="28"/>
      <c r="P222" s="28"/>
      <c r="AF222" s="7"/>
      <c r="AG222" s="7"/>
      <c r="AH222" s="7"/>
      <c r="AI222" s="7"/>
      <c r="AJ222" s="7"/>
      <c r="AK222" s="7"/>
      <c r="AL222" s="7"/>
      <c r="AM222" s="7"/>
      <c r="AN222" s="7"/>
      <c r="AR222" s="92"/>
      <c r="AS222" s="7"/>
      <c r="AT222" s="123"/>
      <c r="AU222" s="123"/>
      <c r="AV222" s="123"/>
      <c r="AW222" s="123"/>
      <c r="AX222" s="123"/>
      <c r="AY222" s="123"/>
      <c r="AZ222" s="7"/>
    </row>
    <row r="223" spans="1:52" s="18" customFormat="1">
      <c r="A223" s="88" t="s">
        <v>70</v>
      </c>
      <c r="B223" s="8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45"/>
      <c r="N223" s="28"/>
      <c r="O223" s="28"/>
      <c r="P223" s="28"/>
      <c r="AF223" s="7"/>
      <c r="AG223" s="7"/>
      <c r="AH223" s="7"/>
      <c r="AI223" s="7"/>
      <c r="AJ223" s="7"/>
      <c r="AK223" s="7"/>
      <c r="AL223" s="7"/>
      <c r="AM223" s="7"/>
      <c r="AN223" s="7"/>
      <c r="AR223" s="92"/>
      <c r="AS223" s="7"/>
      <c r="AT223" s="123"/>
      <c r="AU223" s="123"/>
      <c r="AV223" s="123"/>
      <c r="AW223" s="123"/>
      <c r="AX223" s="123"/>
      <c r="AY223" s="123"/>
      <c r="AZ223" s="7"/>
    </row>
    <row r="224" spans="1:52" s="18" customFormat="1">
      <c r="A224" s="115" t="s">
        <v>11</v>
      </c>
      <c r="B224" s="115" t="s">
        <v>13</v>
      </c>
      <c r="C224" s="117" t="s">
        <v>22</v>
      </c>
      <c r="D224" s="117" t="s">
        <v>18</v>
      </c>
      <c r="E224" s="115" t="s">
        <v>19</v>
      </c>
      <c r="F224" s="117" t="s">
        <v>20</v>
      </c>
      <c r="G224" s="117" t="s">
        <v>2</v>
      </c>
      <c r="H224" s="117" t="s">
        <v>65</v>
      </c>
      <c r="I224" s="117" t="s">
        <v>66</v>
      </c>
      <c r="J224" s="118" t="s">
        <v>3</v>
      </c>
      <c r="K224" s="118" t="s">
        <v>4</v>
      </c>
      <c r="L224" s="116" t="s">
        <v>7</v>
      </c>
      <c r="M224" s="93"/>
      <c r="N224" s="117" t="s">
        <v>61</v>
      </c>
      <c r="O224" s="117" t="s">
        <v>62</v>
      </c>
      <c r="P224" s="115" t="s">
        <v>63</v>
      </c>
      <c r="AF224" s="7"/>
      <c r="AG224" s="7"/>
      <c r="AH224" s="7"/>
      <c r="AI224" s="7"/>
      <c r="AJ224" s="7"/>
      <c r="AK224" s="7"/>
      <c r="AL224" s="7"/>
      <c r="AM224" s="7"/>
      <c r="AN224" s="7"/>
      <c r="AR224" s="92"/>
      <c r="AS224" s="7"/>
      <c r="AT224" s="123"/>
      <c r="AU224" s="123"/>
      <c r="AV224" s="123"/>
      <c r="AW224" s="123"/>
      <c r="AX224" s="123"/>
      <c r="AY224" s="123"/>
      <c r="AZ224" s="7"/>
    </row>
    <row r="225" spans="1:52" s="18" customFormat="1">
      <c r="A225" s="19">
        <f>$E222</f>
        <v>2.7755910052767949</v>
      </c>
      <c r="B225" s="26">
        <f>COS(A225)</f>
        <v>-0.93376575496298186</v>
      </c>
      <c r="C225" s="26">
        <f>($C$222+B225)</f>
        <v>-0.75950677490840879</v>
      </c>
      <c r="D225" s="26">
        <f>POWER(TAN(A225/2),$C$222)</f>
        <v>1.3417533719546335</v>
      </c>
      <c r="E225" s="26">
        <f>SIN(A225)</f>
        <v>0.3578847787464739</v>
      </c>
      <c r="F225" s="77">
        <f>(C225*$H$222*D225/E225/$I$222/$J$222)</f>
        <v>1</v>
      </c>
      <c r="G225" s="77">
        <f>$D$222*($C$222+$G$222)/9.81/SIN($C$219)/(1-$C$222*$C$219)*(F225-1)</f>
        <v>0</v>
      </c>
      <c r="H225" s="75">
        <f>-(-$H$219+$K$222*((POWER(TAN(A225/2),2*$C$222-1)/(2*$C$222-1))+(POWER(TAN(A225/2),2*$C$222+1)/(2*$C$222+1))-(POWER(TAN($E$222/2),2*$C$222-1)/(2*$C$222-1))-(POWER(TAN($E$222/2),2*$C$222+1)/(2*$C$222+1))))</f>
        <v>1.3607326427021871</v>
      </c>
      <c r="I225" s="75">
        <f>-(-$I$219+0.5*$K$222*((POWER(TAN(A225/2),2*$C$222-2)/(2*$C$222-2))-(POWER(TAN(A225/2),2*$C$222+2)/(2*$C$222+2))-(POWER(TAN($E$222/2),2*$C$222-2)/(2*$C$222-2))+(POWER(TAN($E$222/2),2*$C$222+2)/(2*$C$222+2))))</f>
        <v>-8.9833694127450056E-2</v>
      </c>
      <c r="J225" s="77">
        <f>-$D$222*SIN(A225)*($C$222+$G$222)/($C$222+B225)*F225</f>
        <v>-0.98304044019377412</v>
      </c>
      <c r="K225" s="77">
        <f>-$D$222*COS(A225)*($C$222+$G$222)/($C$222+B225)*F225</f>
        <v>2.5648743766410478</v>
      </c>
      <c r="L225" s="91">
        <f>SQRT(J225*J225+K225*K225)</f>
        <v>2.7468070691270206</v>
      </c>
      <c r="M225" s="93"/>
      <c r="N225" s="75">
        <f>-(-$I$219+0.5*$K$222*((POWER(TAN(A225/2),2*$C$222-2)/(2*$C$222-2))-(POWER(TAN(A225/2),2*$C$222+2)/(2*$C$222+2))-(POWER(TAN($E$222/2),2*$C$222-2)/(2*$C$222-2))+(POWER(TAN($E$222/2),2*$C$222+2)/(2*$C$222+2))))-$D$219</f>
        <v>-0.1796673882548992</v>
      </c>
      <c r="O225" s="75">
        <f>-(-$I$219+0.5*$K$222*((POWER(TAN((A225+$M$9)/2),2*$C$222-2)/(2*$C$222-2))-(POWER(TAN((A225+$M$9)/2),2*$C$222+2)/(2*$C$222+2))-(POWER(TAN($E$222/2),2*$C$222-2)/(2*$C$222-2))+(POWER(TAN($E$222/2),2*$C$222+2)/(2*$C$222+2))))-$D$219</f>
        <v>-0.19604300819852688</v>
      </c>
      <c r="P225" s="75">
        <f>A225-N225/(O225-N225)*$M$9</f>
        <v>2.7426760886739312</v>
      </c>
      <c r="AF225" s="7"/>
      <c r="AG225" s="7"/>
      <c r="AH225" s="7"/>
      <c r="AI225" s="7"/>
      <c r="AJ225" s="7"/>
      <c r="AK225" s="7"/>
      <c r="AL225" s="7"/>
      <c r="AM225" s="7"/>
      <c r="AN225" s="7"/>
      <c r="AR225" s="92"/>
      <c r="AS225" s="7"/>
      <c r="AT225" s="123"/>
      <c r="AU225" s="123"/>
      <c r="AV225" s="123"/>
      <c r="AW225" s="123"/>
      <c r="AX225" s="123"/>
      <c r="AY225" s="123"/>
      <c r="AZ225" s="7"/>
    </row>
    <row r="226" spans="1:52" s="18" customFormat="1">
      <c r="A226" s="19">
        <f>P225</f>
        <v>2.7426760886739312</v>
      </c>
      <c r="B226" s="26">
        <f>COS(A226)</f>
        <v>-0.9214823628296186</v>
      </c>
      <c r="C226" s="26">
        <f>($C$222+B226)</f>
        <v>-0.74722338277504552</v>
      </c>
      <c r="D226" s="26">
        <f>POWER(TAN(A226/2),$C$222)</f>
        <v>1.321277494080662</v>
      </c>
      <c r="E226" s="26">
        <f>SIN(A226)</f>
        <v>0.38842020415259448</v>
      </c>
      <c r="F226" s="77">
        <f>(C226*$H$222*D226/E226/$I$222/$J$222)</f>
        <v>0.89265071927527151</v>
      </c>
      <c r="G226" s="77">
        <f>$D$222*($C$222+$G$222)/9.81/SIN($C$219)/(1-$C$222*$C$219)*(F226-1)</f>
        <v>6.5612369272291554E-2</v>
      </c>
      <c r="H226" s="75">
        <f>-(-$H$219+$K$222*((POWER(TAN(A226/2),2*$C$222-1)/(2*$C$222-1))+(POWER(TAN(A226/2),2*$C$222+1)/(2*$C$222+1))-(POWER(TAN($E$222/2),2*$C$222-1)/(2*$C$222-1))-(POWER(TAN($E$222/2),2*$C$222+1)/(2*$C$222+1))))</f>
        <v>1.2991080743271806</v>
      </c>
      <c r="I226" s="75">
        <f>-(-$I$219+0.5*$K$222*((POWER(TAN(A226/2),2*$C$222-2)/(2*$C$222-2))-(POWER(TAN(A226/2),2*$C$222+2)/(2*$C$222+2))-(POWER(TAN($E$222/2),2*$C$222-2)/(2*$C$222-2))+(POWER(TAN($E$222/2),2*$C$222+2)/(2*$C$222+2))))</f>
        <v>6.3695364070465263E-2</v>
      </c>
      <c r="J226" s="77">
        <f>-$D$222*SIN(A226)*($C$222+$G$222)/($C$222+B226)*F226</f>
        <v>-0.96803871452696244</v>
      </c>
      <c r="K226" s="77">
        <f>-$D$222*COS(A226)*($C$222+$G$222)/($C$222+B226)*F226</f>
        <v>2.2965607670151207</v>
      </c>
      <c r="L226" s="91">
        <f>SQRT(J226*J226+K226*K226)</f>
        <v>2.4922460370950725</v>
      </c>
      <c r="M226" s="93"/>
      <c r="N226" s="75">
        <f>-(-$I$219+0.5*$K$222*((POWER(TAN(A226/2),2*$C$222-2)/(2*$C$222-2))-(POWER(TAN(A226/2),2*$C$222+2)/(2*$C$222+2))-(POWER(TAN($E$222/2),2*$C$222-2)/(2*$C$222-2))+(POWER(TAN($E$222/2),2*$C$222+2)/(2*$C$222+2))))-$D$219</f>
        <v>-2.6138330056983877E-2</v>
      </c>
      <c r="O226" s="75">
        <f t="shared" ref="O226:O235" si="227">-(-$I$219+0.5*$K$222*((POWER(TAN((A226+$M$9)/2),2*$C$222-2)/(2*$C$222-2))-(POWER(TAN((A226+$M$9)/2),2*$C$222+2)/(2*$C$222+2))-(POWER(TAN($E$222/2),2*$C$222-2)/(2*$C$222-2))+(POWER(TAN($E$222/2),2*$C$222+2)/(2*$C$222+2))))-$D$219</f>
        <v>-3.8382274834321189E-2</v>
      </c>
      <c r="P226" s="75">
        <f t="shared" ref="P226:P235" si="228">A226-N226/(O226-N226)*$M$9</f>
        <v>2.7362716992719069</v>
      </c>
      <c r="AF226" s="7"/>
      <c r="AG226" s="7"/>
      <c r="AH226" s="7"/>
      <c r="AI226" s="7"/>
      <c r="AJ226" s="7"/>
      <c r="AK226" s="7"/>
      <c r="AL226" s="7"/>
      <c r="AM226" s="7"/>
      <c r="AN226" s="7"/>
      <c r="AR226" s="92"/>
      <c r="AS226" s="7"/>
      <c r="AT226" s="123"/>
      <c r="AU226" s="123"/>
      <c r="AV226" s="123"/>
      <c r="AW226" s="123"/>
      <c r="AX226" s="123"/>
      <c r="AY226" s="123"/>
      <c r="AZ226" s="7"/>
    </row>
    <row r="227" spans="1:52" s="18" customFormat="1">
      <c r="A227" s="19">
        <f t="shared" ref="A227:A235" si="229">P226</f>
        <v>2.7362716992719069</v>
      </c>
      <c r="B227" s="26">
        <f t="shared" ref="B227:B235" si="230">COS(A227)</f>
        <v>-0.91897588780633876</v>
      </c>
      <c r="C227" s="26">
        <f t="shared" ref="C227:C235" si="231">($C$222+B227)</f>
        <v>-0.74471690775176569</v>
      </c>
      <c r="D227" s="26">
        <f t="shared" ref="D227:D235" si="232">POWER(TAN(A227/2),$C$222)</f>
        <v>1.3175150468990746</v>
      </c>
      <c r="E227" s="26">
        <f t="shared" ref="E227:E235" si="233">SIN(A227)</f>
        <v>0.39431372995439995</v>
      </c>
      <c r="F227" s="77">
        <f t="shared" ref="F227:F235" si="234">(C227*$H$222*D227/E227/$I$222/$J$222)</f>
        <v>0.87386385960608448</v>
      </c>
      <c r="G227" s="77">
        <f t="shared" ref="G227:G235" si="235">$D$222*($C$222+$G$222)/9.81/SIN($C$219)/(1-$C$222*$C$219)*(F227-1)</f>
        <v>7.7094983461782562E-2</v>
      </c>
      <c r="H227" s="75">
        <f t="shared" ref="H227:H235" si="236">-(-$H$219+$K$222*((POWER(TAN(A227/2),2*$C$222-1)/(2*$C$222-1))+(POWER(TAN(A227/2),2*$C$222+1)/(2*$C$222+1))-(POWER(TAN($E$222/2),2*$C$222-1)/(2*$C$222-1))-(POWER(TAN($E$222/2),2*$C$222+1)/(2*$C$222+1))))</f>
        <v>1.2884225956316011</v>
      </c>
      <c r="I227" s="75">
        <f t="shared" ref="I227:I235" si="237">-(-$I$219+0.5*$K$222*((POWER(TAN(A227/2),2*$C$222-2)/(2*$C$222-2))-(POWER(TAN(A227/2),2*$C$222+2)/(2*$C$222+2))-(POWER(TAN($E$222/2),2*$C$222-2)/(2*$C$222-2))+(POWER(TAN($E$222/2),2*$C$222+2)/(2*$C$222+2))))</f>
        <v>8.8822242359821155E-2</v>
      </c>
      <c r="J227" s="77">
        <f t="shared" ref="J227:J235" si="238">-$D$222*SIN(A227)*($C$222+$G$222)/($C$222+B227)*F227</f>
        <v>-0.96528214404918145</v>
      </c>
      <c r="K227" s="77">
        <f t="shared" ref="K227:K235" si="239">-$D$222*COS(A227)*($C$222+$G$222)/($C$222+B227)*F227</f>
        <v>2.2496579447380318</v>
      </c>
      <c r="L227" s="91">
        <f t="shared" ref="L227:L235" si="240">SQRT(J227*J227+K227*K227)</f>
        <v>2.4480054097046295</v>
      </c>
      <c r="M227" s="93"/>
      <c r="N227" s="75">
        <f t="shared" ref="N227:N235" si="241">-(-$I$219+0.5*$K$222*((POWER(TAN(A227/2),2*$C$222-2)/(2*$C$222-2))-(POWER(TAN(A227/2),2*$C$222+2)/(2*$C$222+2))-(POWER(TAN($E$222/2),2*$C$222-2)/(2*$C$222-2))+(POWER(TAN($E$222/2),2*$C$222+2)/(2*$C$222+2))))-$D$219</f>
        <v>-1.0114517676279855E-3</v>
      </c>
      <c r="O227" s="75">
        <f t="shared" si="227"/>
        <v>-1.261404201234792E-2</v>
      </c>
      <c r="P227" s="75">
        <f t="shared" si="228"/>
        <v>2.7360101753157142</v>
      </c>
      <c r="AF227" s="7"/>
      <c r="AG227" s="7"/>
      <c r="AH227" s="7"/>
      <c r="AI227" s="7"/>
      <c r="AJ227" s="7"/>
      <c r="AK227" s="7"/>
      <c r="AL227" s="7"/>
      <c r="AM227" s="7"/>
      <c r="AN227" s="7"/>
      <c r="AR227" s="92"/>
      <c r="AS227" s="7"/>
      <c r="AT227" s="123"/>
      <c r="AU227" s="123"/>
      <c r="AV227" s="123"/>
      <c r="AW227" s="123"/>
      <c r="AX227" s="123"/>
      <c r="AY227" s="123"/>
      <c r="AZ227" s="7"/>
    </row>
    <row r="228" spans="1:52" s="18" customFormat="1">
      <c r="A228" s="19">
        <f t="shared" si="229"/>
        <v>2.7360101753157142</v>
      </c>
      <c r="B228" s="26">
        <f t="shared" si="230"/>
        <v>-0.91887273389429902</v>
      </c>
      <c r="C228" s="26">
        <f t="shared" si="231"/>
        <v>-0.74461375383972594</v>
      </c>
      <c r="D228" s="26">
        <f t="shared" si="232"/>
        <v>1.3173628299798172</v>
      </c>
      <c r="E228" s="26">
        <f t="shared" si="233"/>
        <v>0.3945540506769849</v>
      </c>
      <c r="F228" s="77">
        <f t="shared" si="234"/>
        <v>0.87310974006651465</v>
      </c>
      <c r="G228" s="77">
        <f t="shared" si="235"/>
        <v>7.7555904758801628E-2</v>
      </c>
      <c r="H228" s="75">
        <f t="shared" si="236"/>
        <v>1.2879943098303126</v>
      </c>
      <c r="I228" s="75">
        <f t="shared" si="237"/>
        <v>8.98200325933214E-2</v>
      </c>
      <c r="J228" s="77">
        <f t="shared" si="238"/>
        <v>-0.96517062177508894</v>
      </c>
      <c r="K228" s="77">
        <f t="shared" si="239"/>
        <v>2.2477755997770807</v>
      </c>
      <c r="L228" s="91">
        <f t="shared" si="240"/>
        <v>2.4462316889638496</v>
      </c>
      <c r="M228" s="93"/>
      <c r="N228" s="75">
        <f t="shared" si="241"/>
        <v>-1.3661534127740182E-5</v>
      </c>
      <c r="O228" s="75">
        <f t="shared" si="227"/>
        <v>-1.1590995452998798E-2</v>
      </c>
      <c r="P228" s="75">
        <f t="shared" si="228"/>
        <v>2.736006635243132</v>
      </c>
      <c r="AF228" s="7"/>
      <c r="AG228" s="7"/>
      <c r="AH228" s="7"/>
      <c r="AI228" s="7"/>
      <c r="AJ228" s="7"/>
      <c r="AK228" s="7"/>
      <c r="AL228" s="7"/>
      <c r="AM228" s="7"/>
      <c r="AN228" s="7"/>
      <c r="AR228" s="92"/>
      <c r="AS228" s="7"/>
      <c r="AT228" s="123"/>
      <c r="AU228" s="123"/>
      <c r="AV228" s="123"/>
      <c r="AW228" s="123"/>
      <c r="AX228" s="123"/>
      <c r="AY228" s="123"/>
      <c r="AZ228" s="7"/>
    </row>
    <row r="229" spans="1:52" s="18" customFormat="1">
      <c r="A229" s="19">
        <f t="shared" si="229"/>
        <v>2.736006635243132</v>
      </c>
      <c r="B229" s="26">
        <f t="shared" si="230"/>
        <v>-0.91887133713856428</v>
      </c>
      <c r="C229" s="26">
        <f t="shared" si="231"/>
        <v>-0.74461235708399121</v>
      </c>
      <c r="D229" s="26">
        <f t="shared" si="232"/>
        <v>1.3173607702791792</v>
      </c>
      <c r="E229" s="26">
        <f t="shared" si="233"/>
        <v>0.39455730355068441</v>
      </c>
      <c r="F229" s="77">
        <f t="shared" si="234"/>
        <v>0.87309953896031789</v>
      </c>
      <c r="G229" s="77">
        <f t="shared" si="235"/>
        <v>7.7562139721367274E-2</v>
      </c>
      <c r="H229" s="75">
        <f t="shared" si="236"/>
        <v>1.287988516673028</v>
      </c>
      <c r="I229" s="75">
        <f t="shared" si="237"/>
        <v>8.9833524149861857E-2</v>
      </c>
      <c r="J229" s="77">
        <f t="shared" si="238"/>
        <v>-0.96516911272799866</v>
      </c>
      <c r="K229" s="77">
        <f t="shared" si="239"/>
        <v>2.2477501371693447</v>
      </c>
      <c r="L229" s="91">
        <f t="shared" si="240"/>
        <v>2.4462076966825528</v>
      </c>
      <c r="M229" s="93"/>
      <c r="N229" s="75">
        <f t="shared" si="241"/>
        <v>-1.6997758728320989E-7</v>
      </c>
      <c r="O229" s="75">
        <f t="shared" si="227"/>
        <v>-1.1577162506391625E-2</v>
      </c>
      <c r="P229" s="75">
        <f t="shared" si="228"/>
        <v>2.7360065911960483</v>
      </c>
      <c r="AF229" s="7"/>
      <c r="AG229" s="7"/>
      <c r="AH229" s="7"/>
      <c r="AI229" s="7"/>
      <c r="AJ229" s="7"/>
      <c r="AK229" s="7"/>
      <c r="AL229" s="7"/>
      <c r="AM229" s="7"/>
      <c r="AN229" s="7"/>
      <c r="AR229" s="92"/>
      <c r="AS229" s="7"/>
      <c r="AT229" s="123"/>
      <c r="AU229" s="123"/>
      <c r="AV229" s="123"/>
      <c r="AW229" s="123"/>
      <c r="AX229" s="123"/>
      <c r="AY229" s="123"/>
      <c r="AZ229" s="7"/>
    </row>
    <row r="230" spans="1:52" s="18" customFormat="1">
      <c r="A230" s="19">
        <f t="shared" si="229"/>
        <v>2.7360065911960483</v>
      </c>
      <c r="B230" s="26">
        <f t="shared" si="230"/>
        <v>-0.91887131975946479</v>
      </c>
      <c r="C230" s="26">
        <f t="shared" si="231"/>
        <v>-0.74461233970489171</v>
      </c>
      <c r="D230" s="26">
        <f t="shared" si="232"/>
        <v>1.317360744651638</v>
      </c>
      <c r="E230" s="26">
        <f t="shared" si="233"/>
        <v>0.39455734402428677</v>
      </c>
      <c r="F230" s="77">
        <f t="shared" si="234"/>
        <v>0.87309941203498986</v>
      </c>
      <c r="G230" s="77">
        <f t="shared" si="235"/>
        <v>7.7562217298705813E-2</v>
      </c>
      <c r="H230" s="75">
        <f t="shared" si="236"/>
        <v>1.2879884445928251</v>
      </c>
      <c r="I230" s="75">
        <f t="shared" si="237"/>
        <v>8.9833692015031039E-2</v>
      </c>
      <c r="J230" s="77">
        <f t="shared" si="238"/>
        <v>-0.96516909395188799</v>
      </c>
      <c r="K230" s="77">
        <f t="shared" si="239"/>
        <v>2.2477498203557138</v>
      </c>
      <c r="L230" s="91">
        <f t="shared" si="240"/>
        <v>2.446207398163339</v>
      </c>
      <c r="M230" s="93"/>
      <c r="N230" s="75">
        <f t="shared" si="241"/>
        <v>-2.1124181015519383E-9</v>
      </c>
      <c r="O230" s="75">
        <f t="shared" si="227"/>
        <v>-1.1576990393584424E-2</v>
      </c>
      <c r="P230" s="75">
        <f t="shared" si="228"/>
        <v>2.7360065906486475</v>
      </c>
      <c r="AF230" s="7"/>
      <c r="AG230" s="7"/>
      <c r="AH230" s="7"/>
      <c r="AI230" s="7"/>
      <c r="AJ230" s="7"/>
      <c r="AK230" s="7"/>
      <c r="AL230" s="7"/>
      <c r="AM230" s="7"/>
      <c r="AN230" s="7"/>
      <c r="AR230" s="92"/>
      <c r="AS230" s="7"/>
      <c r="AT230" s="123"/>
      <c r="AU230" s="123"/>
      <c r="AV230" s="123"/>
      <c r="AW230" s="123"/>
      <c r="AX230" s="123"/>
      <c r="AY230" s="123"/>
      <c r="AZ230" s="7"/>
    </row>
    <row r="231" spans="1:52" s="18" customFormat="1">
      <c r="A231" s="19">
        <f t="shared" si="229"/>
        <v>2.7360065906486475</v>
      </c>
      <c r="B231" s="26">
        <f t="shared" si="230"/>
        <v>-0.91887131954348378</v>
      </c>
      <c r="C231" s="26">
        <f t="shared" si="231"/>
        <v>-0.7446123394889107</v>
      </c>
      <c r="D231" s="26">
        <f t="shared" si="232"/>
        <v>1.3173607443331485</v>
      </c>
      <c r="E231" s="26">
        <f t="shared" si="233"/>
        <v>0.39455734452727764</v>
      </c>
      <c r="F231" s="77">
        <f t="shared" si="234"/>
        <v>0.8730994104576093</v>
      </c>
      <c r="G231" s="77">
        <f t="shared" si="235"/>
        <v>7.7562218262808E-2</v>
      </c>
      <c r="H231" s="75">
        <f t="shared" si="236"/>
        <v>1.2879884436970392</v>
      </c>
      <c r="I231" s="75">
        <f t="shared" si="237"/>
        <v>8.9833694101196418E-2</v>
      </c>
      <c r="J231" s="77">
        <f t="shared" si="238"/>
        <v>-0.96516909371854542</v>
      </c>
      <c r="K231" s="77">
        <f t="shared" si="239"/>
        <v>2.2477498164184726</v>
      </c>
      <c r="L231" s="91">
        <f t="shared" si="240"/>
        <v>2.4462073944534537</v>
      </c>
      <c r="M231" s="93"/>
      <c r="N231" s="75">
        <f t="shared" si="241"/>
        <v>-2.625272221834507E-11</v>
      </c>
      <c r="O231" s="75">
        <f t="shared" si="227"/>
        <v>-1.1576988254630938E-2</v>
      </c>
      <c r="P231" s="75">
        <f t="shared" si="228"/>
        <v>2.7360065906418445</v>
      </c>
      <c r="AF231" s="7"/>
      <c r="AG231" s="7"/>
      <c r="AH231" s="7"/>
      <c r="AI231" s="7"/>
      <c r="AJ231" s="7"/>
      <c r="AK231" s="7"/>
      <c r="AL231" s="7"/>
      <c r="AM231" s="7"/>
      <c r="AN231" s="7"/>
      <c r="AR231" s="92"/>
      <c r="AS231" s="7"/>
      <c r="AT231" s="123"/>
      <c r="AU231" s="123"/>
      <c r="AV231" s="123"/>
      <c r="AW231" s="123"/>
      <c r="AX231" s="123"/>
      <c r="AY231" s="123"/>
      <c r="AZ231" s="7"/>
    </row>
    <row r="232" spans="1:52" s="18" customFormat="1">
      <c r="A232" s="19">
        <f t="shared" si="229"/>
        <v>2.7360065906418445</v>
      </c>
      <c r="B232" s="26">
        <f t="shared" si="230"/>
        <v>-0.91887131954079959</v>
      </c>
      <c r="C232" s="26">
        <f t="shared" si="231"/>
        <v>-0.74461233948622652</v>
      </c>
      <c r="D232" s="26">
        <f t="shared" si="232"/>
        <v>1.3173607443291904</v>
      </c>
      <c r="E232" s="26">
        <f t="shared" si="233"/>
        <v>0.39455734453352875</v>
      </c>
      <c r="F232" s="77">
        <f t="shared" si="234"/>
        <v>0.87309941043800587</v>
      </c>
      <c r="G232" s="77">
        <f t="shared" si="235"/>
        <v>7.7562218274789707E-2</v>
      </c>
      <c r="H232" s="75">
        <f t="shared" si="236"/>
        <v>1.2879884436859066</v>
      </c>
      <c r="I232" s="75">
        <f t="shared" si="237"/>
        <v>8.9833694127122929E-2</v>
      </c>
      <c r="J232" s="77">
        <f t="shared" si="238"/>
        <v>-0.96516909371564563</v>
      </c>
      <c r="K232" s="77">
        <f t="shared" si="239"/>
        <v>2.2477498163695411</v>
      </c>
      <c r="L232" s="91">
        <f t="shared" si="240"/>
        <v>2.4462073944073479</v>
      </c>
      <c r="M232" s="93"/>
      <c r="N232" s="75">
        <f t="shared" si="241"/>
        <v>-3.2621128021048662E-13</v>
      </c>
      <c r="O232" s="75">
        <f t="shared" si="227"/>
        <v>-1.1576988228048202E-2</v>
      </c>
      <c r="P232" s="75">
        <f t="shared" si="228"/>
        <v>2.7360065906417601</v>
      </c>
      <c r="AF232" s="7"/>
      <c r="AG232" s="7"/>
      <c r="AH232" s="7"/>
      <c r="AI232" s="7"/>
      <c r="AJ232" s="7"/>
      <c r="AK232" s="7"/>
      <c r="AL232" s="7"/>
      <c r="AM232" s="7"/>
      <c r="AN232" s="7"/>
      <c r="AR232" s="92"/>
      <c r="AS232" s="7"/>
      <c r="AT232" s="123"/>
      <c r="AU232" s="123"/>
      <c r="AV232" s="123"/>
      <c r="AW232" s="123"/>
      <c r="AX232" s="123"/>
      <c r="AY232" s="123"/>
      <c r="AZ232" s="7"/>
    </row>
    <row r="233" spans="1:52" s="18" customFormat="1">
      <c r="A233" s="19">
        <f t="shared" si="229"/>
        <v>2.7360065906417601</v>
      </c>
      <c r="B233" s="26">
        <f t="shared" si="230"/>
        <v>-0.91887131954076628</v>
      </c>
      <c r="C233" s="26">
        <f t="shared" si="231"/>
        <v>-0.74461233948619321</v>
      </c>
      <c r="D233" s="26">
        <f t="shared" si="232"/>
        <v>1.3173607443291413</v>
      </c>
      <c r="E233" s="26">
        <f t="shared" si="233"/>
        <v>0.39455734453360625</v>
      </c>
      <c r="F233" s="77">
        <f t="shared" si="234"/>
        <v>0.87309941043776285</v>
      </c>
      <c r="G233" s="77">
        <f t="shared" si="235"/>
        <v>7.7562218274938241E-2</v>
      </c>
      <c r="H233" s="75">
        <f t="shared" si="236"/>
        <v>1.2879884436857685</v>
      </c>
      <c r="I233" s="75">
        <f t="shared" si="237"/>
        <v>8.98336941274442E-2</v>
      </c>
      <c r="J233" s="77">
        <f t="shared" si="238"/>
        <v>-0.96516909371560977</v>
      </c>
      <c r="K233" s="77">
        <f t="shared" si="239"/>
        <v>2.2477498163689349</v>
      </c>
      <c r="L233" s="91">
        <f t="shared" si="240"/>
        <v>2.4462073944067768</v>
      </c>
      <c r="M233" s="93"/>
      <c r="N233" s="75">
        <f t="shared" si="241"/>
        <v>-4.9404924595819466E-15</v>
      </c>
      <c r="O233" s="75">
        <f t="shared" si="227"/>
        <v>-1.1576988227718216E-2</v>
      </c>
      <c r="P233" s="75">
        <f t="shared" si="228"/>
        <v>2.7360065906417588</v>
      </c>
      <c r="AF233" s="7"/>
      <c r="AG233" s="7"/>
      <c r="AH233" s="7"/>
      <c r="AI233" s="7"/>
      <c r="AJ233" s="7"/>
      <c r="AK233" s="7"/>
      <c r="AL233" s="7"/>
      <c r="AM233" s="7"/>
      <c r="AN233" s="7"/>
      <c r="AR233" s="92"/>
      <c r="AS233" s="7"/>
      <c r="AT233" s="123"/>
      <c r="AU233" s="123"/>
      <c r="AV233" s="123"/>
      <c r="AW233" s="123"/>
      <c r="AX233" s="123"/>
      <c r="AY233" s="123"/>
      <c r="AZ233" s="7"/>
    </row>
    <row r="234" spans="1:52" s="18" customFormat="1">
      <c r="A234" s="19">
        <f t="shared" si="229"/>
        <v>2.7360065906417588</v>
      </c>
      <c r="B234" s="26">
        <f t="shared" si="230"/>
        <v>-0.91887131954076584</v>
      </c>
      <c r="C234" s="26">
        <f t="shared" si="231"/>
        <v>-0.74461233948619276</v>
      </c>
      <c r="D234" s="26">
        <f t="shared" si="232"/>
        <v>1.3173607443291406</v>
      </c>
      <c r="E234" s="26">
        <f t="shared" si="233"/>
        <v>0.39455734453360747</v>
      </c>
      <c r="F234" s="77">
        <f t="shared" si="234"/>
        <v>0.87309941043775918</v>
      </c>
      <c r="G234" s="77">
        <f t="shared" si="235"/>
        <v>7.7562218274940475E-2</v>
      </c>
      <c r="H234" s="75">
        <f t="shared" si="236"/>
        <v>1.2879884436857663</v>
      </c>
      <c r="I234" s="75">
        <f t="shared" si="237"/>
        <v>8.9833694127449668E-2</v>
      </c>
      <c r="J234" s="77">
        <f t="shared" si="238"/>
        <v>-0.96516909371560944</v>
      </c>
      <c r="K234" s="77">
        <f t="shared" si="239"/>
        <v>2.2477498163689251</v>
      </c>
      <c r="L234" s="91">
        <f t="shared" si="240"/>
        <v>2.4462073944067679</v>
      </c>
      <c r="M234" s="93"/>
      <c r="N234" s="75">
        <f t="shared" si="241"/>
        <v>5.2735593669694936E-16</v>
      </c>
      <c r="O234" s="75">
        <f t="shared" si="227"/>
        <v>-1.1576988227713525E-2</v>
      </c>
      <c r="P234" s="75">
        <f t="shared" si="228"/>
        <v>2.7360065906417588</v>
      </c>
      <c r="AF234" s="7"/>
      <c r="AG234" s="7"/>
      <c r="AH234" s="7"/>
      <c r="AI234" s="7"/>
      <c r="AJ234" s="7"/>
      <c r="AK234" s="7"/>
      <c r="AL234" s="7"/>
      <c r="AM234" s="7"/>
      <c r="AN234" s="7"/>
      <c r="AR234" s="92"/>
      <c r="AS234" s="7"/>
      <c r="AT234" s="123"/>
      <c r="AU234" s="123"/>
      <c r="AV234" s="123"/>
      <c r="AW234" s="123"/>
      <c r="AX234" s="123"/>
      <c r="AY234" s="123"/>
      <c r="AZ234" s="7"/>
    </row>
    <row r="235" spans="1:52" s="18" customFormat="1">
      <c r="A235" s="19">
        <f t="shared" si="229"/>
        <v>2.7360065906417588</v>
      </c>
      <c r="B235" s="26">
        <f t="shared" si="230"/>
        <v>-0.91887131954076584</v>
      </c>
      <c r="C235" s="26">
        <f t="shared" si="231"/>
        <v>-0.74461233948619276</v>
      </c>
      <c r="D235" s="26">
        <f t="shared" si="232"/>
        <v>1.3173607443291406</v>
      </c>
      <c r="E235" s="26">
        <f t="shared" si="233"/>
        <v>0.39455734453360747</v>
      </c>
      <c r="F235" s="77">
        <f t="shared" si="234"/>
        <v>0.87309941043775918</v>
      </c>
      <c r="G235" s="77">
        <f t="shared" si="235"/>
        <v>7.7562218274940475E-2</v>
      </c>
      <c r="H235" s="75">
        <f t="shared" si="236"/>
        <v>1.2879884436857663</v>
      </c>
      <c r="I235" s="75">
        <f t="shared" si="237"/>
        <v>8.9833694127449668E-2</v>
      </c>
      <c r="J235" s="77">
        <f t="shared" si="238"/>
        <v>-0.96516909371560944</v>
      </c>
      <c r="K235" s="77">
        <f t="shared" si="239"/>
        <v>2.2477498163689251</v>
      </c>
      <c r="L235" s="91">
        <f t="shared" si="240"/>
        <v>2.4462073944067679</v>
      </c>
      <c r="M235" s="93"/>
      <c r="N235" s="75">
        <f t="shared" si="241"/>
        <v>5.2735593669694936E-16</v>
      </c>
      <c r="O235" s="75">
        <f t="shared" si="227"/>
        <v>-1.1576988227713525E-2</v>
      </c>
      <c r="P235" s="75">
        <f t="shared" si="228"/>
        <v>2.7360065906417588</v>
      </c>
      <c r="AF235" s="7"/>
      <c r="AG235" s="7"/>
      <c r="AH235" s="7"/>
      <c r="AI235" s="7"/>
      <c r="AJ235" s="7"/>
      <c r="AK235" s="7"/>
      <c r="AL235" s="7"/>
      <c r="AM235" s="7"/>
      <c r="AN235" s="7"/>
      <c r="AR235" s="92"/>
      <c r="AS235" s="7"/>
      <c r="AT235" s="123"/>
      <c r="AU235" s="123"/>
      <c r="AV235" s="123"/>
      <c r="AW235" s="123"/>
      <c r="AX235" s="123"/>
      <c r="AY235" s="123"/>
      <c r="AZ235" s="7"/>
    </row>
    <row r="236" spans="1:52" s="18" customFormat="1">
      <c r="A236" s="88" t="s">
        <v>60</v>
      </c>
      <c r="B236" s="8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AF236" s="7"/>
      <c r="AG236" s="7"/>
      <c r="AH236" s="7"/>
      <c r="AI236" s="7"/>
      <c r="AJ236" s="7"/>
      <c r="AK236" s="7"/>
      <c r="AL236" s="7"/>
      <c r="AM236" s="7"/>
      <c r="AN236" s="7"/>
      <c r="AR236" s="92"/>
      <c r="AS236" s="7"/>
      <c r="AT236" s="123"/>
      <c r="AU236" s="123"/>
      <c r="AV236" s="123"/>
      <c r="AW236" s="123"/>
      <c r="AX236" s="123"/>
      <c r="AY236" s="123"/>
      <c r="AZ236" s="7"/>
    </row>
    <row r="237" spans="1:52" s="18" customFormat="1">
      <c r="A237" s="26" t="s">
        <v>11</v>
      </c>
      <c r="B237" s="26" t="s">
        <v>13</v>
      </c>
      <c r="C237" s="26" t="s">
        <v>22</v>
      </c>
      <c r="D237" s="26" t="s">
        <v>18</v>
      </c>
      <c r="E237" s="26" t="s">
        <v>19</v>
      </c>
      <c r="F237" s="26" t="s">
        <v>20</v>
      </c>
      <c r="G237" s="26" t="s">
        <v>2</v>
      </c>
      <c r="H237" s="26" t="s">
        <v>1</v>
      </c>
      <c r="I237" s="26" t="s">
        <v>0</v>
      </c>
      <c r="J237" s="76" t="s">
        <v>3</v>
      </c>
      <c r="K237" s="76" t="s">
        <v>4</v>
      </c>
      <c r="L237" s="44" t="s">
        <v>7</v>
      </c>
      <c r="M237" s="28"/>
      <c r="N237" s="28"/>
      <c r="O237" s="28"/>
      <c r="P237" s="31"/>
      <c r="AF237" s="7"/>
      <c r="AG237" s="7"/>
      <c r="AH237" s="7"/>
      <c r="AI237" s="7"/>
      <c r="AJ237" s="7"/>
      <c r="AK237" s="7"/>
      <c r="AL237" s="7"/>
      <c r="AM237" s="7"/>
      <c r="AN237" s="7"/>
      <c r="AR237" s="92"/>
      <c r="AS237" s="7"/>
      <c r="AT237" s="123"/>
      <c r="AU237" s="123"/>
      <c r="AV237" s="123"/>
      <c r="AW237" s="123"/>
      <c r="AX237" s="123"/>
      <c r="AY237" s="123"/>
      <c r="AZ237" s="7"/>
    </row>
    <row r="238" spans="1:52" s="18" customFormat="1">
      <c r="A238" s="19">
        <f>$E222</f>
        <v>2.7755910052767949</v>
      </c>
      <c r="B238" s="26">
        <f t="shared" ref="B238:B243" si="242">COS(A238)</f>
        <v>-0.93376575496298186</v>
      </c>
      <c r="C238" s="26">
        <f t="shared" ref="C238:C243" si="243">($C$222+B238)</f>
        <v>-0.75950677490840879</v>
      </c>
      <c r="D238" s="26">
        <f t="shared" ref="D238:D243" si="244">POWER(TAN(A238/2),$C$222)</f>
        <v>1.3417533719546335</v>
      </c>
      <c r="E238" s="26">
        <f t="shared" ref="E238:E243" si="245">SIN(A238)</f>
        <v>0.3578847787464739</v>
      </c>
      <c r="F238" s="77">
        <f t="shared" ref="F238:F243" si="246">(C238*$H$222*D238/E238/$I$222/$J$222)</f>
        <v>1</v>
      </c>
      <c r="G238" s="77">
        <f t="shared" ref="G238:G243" si="247">$D$222*($C$222+$G$222)/9.81/SIN($C$219)/(1-$C$222*$C$219)*(F238-1)</f>
        <v>0</v>
      </c>
      <c r="H238" s="109">
        <f t="shared" ref="H238:H243" si="248">-(-$H$219+$K$222*((POWER(TAN(A238/2),2*$C$222-1)/(2*$C$222-1))+(POWER(TAN(A238/2),2*$C$222+1)/(2*$C$222+1))-(POWER(TAN($E$222/2),2*$C$222-1)/(2*$C$222-1))-(POWER(TAN($E$222/2),2*$C$222+1)/(2*$C$222+1))))</f>
        <v>1.3607326427021871</v>
      </c>
      <c r="I238" s="109">
        <f t="shared" ref="I238:I243" si="249">-(-$I$219+0.5*$K$222*((POWER(TAN(A238/2),2*$C$222-2)/(2*$C$222-2))-(POWER(TAN(A238/2),2*$C$222+2)/(2*$C$222+2))-(POWER(TAN($E$222/2),2*$C$222-2)/(2*$C$222-2))+(POWER(TAN($E$222/2),2*$C$222+2)/(2*$C$222+2))))</f>
        <v>-8.9833694127450056E-2</v>
      </c>
      <c r="J238" s="77">
        <f t="shared" ref="J238:J243" si="250">-$D$222*SIN(A238)*($C$222+$G$222)/($C$222+B238)*F238</f>
        <v>-0.98304044019377412</v>
      </c>
      <c r="K238" s="77">
        <f t="shared" ref="K238:K243" si="251">-$D$222*COS(A238)*($C$222+$G$222)/($C$222+B238)*F238</f>
        <v>2.5648743766410478</v>
      </c>
      <c r="L238" s="91">
        <f t="shared" ref="L238:L243" si="252">SQRT(J238*J238+K238*K238)</f>
        <v>2.7468070691270206</v>
      </c>
      <c r="M238" s="28"/>
      <c r="N238" s="28"/>
      <c r="O238" s="28"/>
      <c r="P238" s="31"/>
      <c r="AF238" s="7"/>
      <c r="AG238" s="7"/>
      <c r="AH238" s="7"/>
      <c r="AI238" s="7"/>
      <c r="AJ238" s="7"/>
      <c r="AK238" s="7"/>
      <c r="AL238" s="7"/>
      <c r="AM238" s="7"/>
      <c r="AN238" s="7"/>
      <c r="AR238" s="92"/>
      <c r="AS238" s="7"/>
      <c r="AT238" s="123"/>
      <c r="AU238" s="123"/>
      <c r="AV238" s="123"/>
      <c r="AW238" s="123"/>
      <c r="AX238" s="123"/>
      <c r="AY238" s="123"/>
      <c r="AZ238" s="7"/>
    </row>
    <row r="239" spans="1:52" s="18" customFormat="1">
      <c r="A239" s="20">
        <f>A238-$F$222</f>
        <v>2.7676941223497877</v>
      </c>
      <c r="B239" s="26">
        <f t="shared" si="242"/>
        <v>-0.93091049511774993</v>
      </c>
      <c r="C239" s="26">
        <f t="shared" si="243"/>
        <v>-0.75665151506317685</v>
      </c>
      <c r="D239" s="26">
        <f t="shared" si="244"/>
        <v>1.3366562805914737</v>
      </c>
      <c r="E239" s="26">
        <f t="shared" si="245"/>
        <v>0.36524738202980411</v>
      </c>
      <c r="F239" s="77">
        <f t="shared" si="246"/>
        <v>0.97245030707888236</v>
      </c>
      <c r="G239" s="77">
        <f t="shared" si="247"/>
        <v>1.6838497781030932E-2</v>
      </c>
      <c r="H239" s="109">
        <f t="shared" si="248"/>
        <v>1.344827793408893</v>
      </c>
      <c r="I239" s="109">
        <f t="shared" si="249"/>
        <v>-4.8815780354944598E-2</v>
      </c>
      <c r="J239" s="77">
        <f t="shared" si="250"/>
        <v>-0.97930603784973591</v>
      </c>
      <c r="K239" s="77">
        <f t="shared" si="251"/>
        <v>2.495969344120061</v>
      </c>
      <c r="L239" s="91">
        <f t="shared" si="252"/>
        <v>2.6812130244641281</v>
      </c>
      <c r="M239" s="28"/>
      <c r="N239" s="28"/>
      <c r="O239" s="28"/>
      <c r="P239" s="31"/>
      <c r="AF239" s="7"/>
      <c r="AG239" s="7"/>
      <c r="AH239" s="7"/>
      <c r="AI239" s="7"/>
      <c r="AJ239" s="7"/>
      <c r="AK239" s="7"/>
      <c r="AL239" s="7"/>
      <c r="AM239" s="7"/>
      <c r="AN239" s="7"/>
      <c r="AR239" s="92"/>
      <c r="AS239" s="7"/>
      <c r="AT239" s="123"/>
      <c r="AU239" s="123"/>
      <c r="AV239" s="123"/>
      <c r="AW239" s="123"/>
      <c r="AX239" s="123"/>
      <c r="AY239" s="123"/>
      <c r="AZ239" s="7"/>
    </row>
    <row r="240" spans="1:52" s="18" customFormat="1">
      <c r="A240" s="20">
        <f>A239-$F$222</f>
        <v>2.7597972394227805</v>
      </c>
      <c r="B240" s="26">
        <f t="shared" si="242"/>
        <v>-0.92799718328826653</v>
      </c>
      <c r="C240" s="26">
        <f t="shared" si="243"/>
        <v>-0.75373820323369345</v>
      </c>
      <c r="D240" s="26">
        <f t="shared" si="244"/>
        <v>1.3316795525371921</v>
      </c>
      <c r="E240" s="26">
        <f t="shared" si="245"/>
        <v>0.37258720832718278</v>
      </c>
      <c r="F240" s="77">
        <f t="shared" si="246"/>
        <v>0.94608727013967209</v>
      </c>
      <c r="G240" s="77">
        <f t="shared" si="247"/>
        <v>3.2951706021615554E-2</v>
      </c>
      <c r="H240" s="109">
        <f t="shared" si="248"/>
        <v>1.3296652658932775</v>
      </c>
      <c r="I240" s="109">
        <f t="shared" si="249"/>
        <v>-1.0610237068261252E-2</v>
      </c>
      <c r="J240" s="77">
        <f t="shared" si="250"/>
        <v>-0.97565982011742758</v>
      </c>
      <c r="K240" s="77">
        <f t="shared" si="251"/>
        <v>2.430060787598042</v>
      </c>
      <c r="L240" s="91">
        <f t="shared" si="252"/>
        <v>2.6186079347648032</v>
      </c>
      <c r="M240" s="45"/>
      <c r="N240" s="28"/>
      <c r="O240" s="28"/>
      <c r="P240" s="31"/>
      <c r="AF240" s="7"/>
      <c r="AG240" s="7"/>
      <c r="AH240" s="7"/>
      <c r="AI240" s="7"/>
      <c r="AJ240" s="7"/>
      <c r="AK240" s="7"/>
      <c r="AL240" s="7"/>
      <c r="AM240" s="7"/>
      <c r="AN240" s="7"/>
      <c r="AR240" s="92"/>
      <c r="AS240" s="7"/>
      <c r="AT240" s="123"/>
      <c r="AU240" s="123"/>
      <c r="AV240" s="123"/>
      <c r="AW240" s="123"/>
      <c r="AX240" s="123"/>
      <c r="AY240" s="123"/>
      <c r="AZ240" s="7"/>
    </row>
    <row r="241" spans="1:52" s="18" customFormat="1">
      <c r="A241" s="20">
        <f>A240-$F$222</f>
        <v>2.7519003564957734</v>
      </c>
      <c r="B241" s="26">
        <f t="shared" si="242"/>
        <v>-0.92502600114992717</v>
      </c>
      <c r="C241" s="26">
        <f t="shared" si="243"/>
        <v>-0.75076702109535409</v>
      </c>
      <c r="D241" s="26">
        <f t="shared" si="244"/>
        <v>1.3268177566363915</v>
      </c>
      <c r="E241" s="26">
        <f t="shared" si="245"/>
        <v>0.37990379992384254</v>
      </c>
      <c r="F241" s="77">
        <f t="shared" si="246"/>
        <v>0.92083475985347529</v>
      </c>
      <c r="G241" s="77">
        <f t="shared" si="247"/>
        <v>4.8386155314284307E-2</v>
      </c>
      <c r="H241" s="109">
        <f t="shared" si="248"/>
        <v>1.3151950055317678</v>
      </c>
      <c r="I241" s="109">
        <f t="shared" si="249"/>
        <v>2.5027466541007529E-2</v>
      </c>
      <c r="J241" s="77">
        <f t="shared" si="250"/>
        <v>-0.97209780784128708</v>
      </c>
      <c r="K241" s="77">
        <f t="shared" si="251"/>
        <v>2.3669564455377849</v>
      </c>
      <c r="L241" s="91">
        <f t="shared" si="252"/>
        <v>2.5587999068084049</v>
      </c>
      <c r="M241" s="45"/>
      <c r="N241" s="28"/>
      <c r="O241" s="28"/>
      <c r="P241" s="31"/>
      <c r="AF241" s="7"/>
      <c r="AG241" s="7"/>
      <c r="AH241" s="7"/>
      <c r="AI241" s="7"/>
      <c r="AJ241" s="7"/>
      <c r="AK241" s="7"/>
      <c r="AL241" s="7"/>
      <c r="AM241" s="7"/>
      <c r="AN241" s="7"/>
      <c r="AR241" s="92"/>
      <c r="AS241" s="7"/>
      <c r="AT241" s="123"/>
      <c r="AU241" s="123"/>
      <c r="AV241" s="123"/>
      <c r="AW241" s="123"/>
      <c r="AX241" s="123"/>
      <c r="AY241" s="123"/>
      <c r="AZ241" s="7"/>
    </row>
    <row r="242" spans="1:52" s="18" customFormat="1">
      <c r="A242" s="20">
        <f>A241-$F$222</f>
        <v>2.7440034735687662</v>
      </c>
      <c r="B242" s="26">
        <f t="shared" si="242"/>
        <v>-0.92199713398694505</v>
      </c>
      <c r="C242" s="26">
        <f t="shared" si="243"/>
        <v>-0.74773815393237197</v>
      </c>
      <c r="D242" s="26">
        <f t="shared" si="244"/>
        <v>1.3220658069686115</v>
      </c>
      <c r="E242" s="26">
        <f t="shared" si="245"/>
        <v>0.38719670055394223</v>
      </c>
      <c r="F242" s="77">
        <f t="shared" si="246"/>
        <v>0.89662294155613953</v>
      </c>
      <c r="G242" s="77">
        <f t="shared" si="247"/>
        <v>6.318452892381031E-2</v>
      </c>
      <c r="H242" s="109">
        <f t="shared" si="248"/>
        <v>1.3013712599259171</v>
      </c>
      <c r="I242" s="109">
        <f t="shared" si="249"/>
        <v>5.8316226530770163E-2</v>
      </c>
      <c r="J242" s="77">
        <f t="shared" si="250"/>
        <v>-0.96861627480337253</v>
      </c>
      <c r="K242" s="77">
        <f t="shared" si="251"/>
        <v>2.3064799571488188</v>
      </c>
      <c r="L242" s="91">
        <f t="shared" si="252"/>
        <v>2.5016129357962593</v>
      </c>
      <c r="M242" s="45"/>
      <c r="N242" s="28"/>
      <c r="O242" s="28"/>
      <c r="P242" s="89"/>
      <c r="AF242" s="7"/>
      <c r="AG242" s="7"/>
      <c r="AH242" s="7"/>
      <c r="AI242" s="7"/>
      <c r="AJ242" s="7"/>
      <c r="AK242" s="7"/>
      <c r="AL242" s="7"/>
      <c r="AM242" s="7"/>
      <c r="AN242" s="7"/>
      <c r="AR242" s="92"/>
      <c r="AS242" s="7"/>
      <c r="AT242" s="123"/>
      <c r="AU242" s="123"/>
      <c r="AV242" s="123"/>
      <c r="AW242" s="123"/>
      <c r="AX242" s="123"/>
      <c r="AY242" s="123"/>
      <c r="AZ242" s="7"/>
    </row>
    <row r="243" spans="1:52" s="18" customFormat="1">
      <c r="A243" s="20">
        <f>A242-$F$222</f>
        <v>2.736106590641759</v>
      </c>
      <c r="B243" s="26">
        <f t="shared" si="242"/>
        <v>-0.91891077068079685</v>
      </c>
      <c r="C243" s="26">
        <f t="shared" si="243"/>
        <v>-0.74465179062622378</v>
      </c>
      <c r="D243" s="26">
        <f t="shared" si="244"/>
        <v>1.3174189345387453</v>
      </c>
      <c r="E243" s="26">
        <f t="shared" si="245"/>
        <v>0.39446545542901967</v>
      </c>
      <c r="F243" s="77">
        <f t="shared" si="246"/>
        <v>0.873387642195394</v>
      </c>
      <c r="G243" s="77">
        <f t="shared" si="247"/>
        <v>7.7386049712000304E-2</v>
      </c>
      <c r="H243" s="109">
        <f t="shared" si="248"/>
        <v>1.2881521325461469</v>
      </c>
      <c r="I243" s="109">
        <f t="shared" si="249"/>
        <v>8.9452432063243534E-2</v>
      </c>
      <c r="J243" s="77">
        <f t="shared" si="250"/>
        <v>-0.96521172698224422</v>
      </c>
      <c r="K243" s="77">
        <f t="shared" si="251"/>
        <v>2.248469263162117</v>
      </c>
      <c r="L243" s="91">
        <f t="shared" si="252"/>
        <v>2.4468853069338659</v>
      </c>
      <c r="M243" s="45"/>
      <c r="N243" s="28"/>
      <c r="O243" s="28"/>
      <c r="P243" s="28"/>
      <c r="AF243" s="7"/>
      <c r="AG243" s="7"/>
      <c r="AH243" s="7"/>
      <c r="AI243" s="7"/>
      <c r="AJ243" s="7"/>
      <c r="AK243" s="7"/>
      <c r="AL243" s="7"/>
      <c r="AM243" s="7"/>
      <c r="AN243" s="7"/>
      <c r="AR243" s="92"/>
      <c r="AS243" s="7"/>
      <c r="AT243" s="123"/>
      <c r="AU243" s="123"/>
      <c r="AV243" s="123"/>
      <c r="AW243" s="123"/>
      <c r="AX243" s="123"/>
      <c r="AY243" s="123"/>
      <c r="AZ243" s="7"/>
    </row>
    <row r="244" spans="1:52" s="1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AF244" s="7"/>
      <c r="AG244" s="7"/>
      <c r="AH244" s="7"/>
      <c r="AI244" s="7"/>
      <c r="AJ244" s="7"/>
      <c r="AK244" s="7"/>
      <c r="AL244" s="7"/>
      <c r="AM244" s="7"/>
      <c r="AN244" s="7"/>
      <c r="AR244" s="92"/>
      <c r="AS244" s="7"/>
      <c r="AT244" s="123"/>
      <c r="AU244" s="123"/>
      <c r="AV244" s="123"/>
      <c r="AW244" s="123"/>
      <c r="AX244" s="123"/>
      <c r="AY244" s="123"/>
      <c r="AZ244" s="7"/>
    </row>
    <row r="245" spans="1:52" s="18" customFormat="1">
      <c r="A245" s="88" t="s">
        <v>73</v>
      </c>
      <c r="B245" s="88"/>
      <c r="C245" s="23" t="str">
        <f>CONCATENATE("m",Stufengrün!AH49)</f>
        <v>m1</v>
      </c>
      <c r="D245" s="23" t="s">
        <v>30</v>
      </c>
      <c r="E245" s="28"/>
      <c r="F245" s="28"/>
      <c r="G245" s="28"/>
      <c r="H245" s="36" t="s">
        <v>57</v>
      </c>
      <c r="I245" s="36" t="s">
        <v>51</v>
      </c>
      <c r="J245" s="36" t="s">
        <v>58</v>
      </c>
      <c r="K245" s="36" t="s">
        <v>59</v>
      </c>
      <c r="L245" s="28"/>
      <c r="M245" s="28"/>
      <c r="N245" s="28"/>
      <c r="O245" s="28"/>
      <c r="P245" s="28"/>
      <c r="AF245" s="7"/>
      <c r="AG245" s="7"/>
      <c r="AH245" s="7"/>
      <c r="AI245" s="7"/>
      <c r="AJ245" s="7"/>
      <c r="AK245" s="7"/>
      <c r="AL245" s="7"/>
      <c r="AM245" s="7"/>
      <c r="AN245" s="7"/>
      <c r="AR245" s="92"/>
      <c r="AS245" s="7"/>
      <c r="AT245" s="123"/>
      <c r="AU245" s="123"/>
      <c r="AV245" s="123"/>
      <c r="AW245" s="123"/>
      <c r="AX245" s="123"/>
      <c r="AY245" s="123"/>
      <c r="AZ245" s="7"/>
    </row>
    <row r="246" spans="1:52" s="18" customFormat="1">
      <c r="A246" s="88" t="s">
        <v>69</v>
      </c>
      <c r="B246" s="88"/>
      <c r="C246" s="36">
        <f>Stufengrün!AI49</f>
        <v>0.3251944406533937</v>
      </c>
      <c r="D246" s="26">
        <f>Stufengrün!AK49</f>
        <v>0.18321833372345622</v>
      </c>
      <c r="E246" s="28"/>
      <c r="F246" s="28"/>
      <c r="G246" s="28"/>
      <c r="H246" s="78">
        <f>H235</f>
        <v>1.2879884436857663</v>
      </c>
      <c r="I246" s="78">
        <f>I235</f>
        <v>8.9833694127449668E-2</v>
      </c>
      <c r="J246" s="78">
        <f>J235</f>
        <v>-0.96516909371560944</v>
      </c>
      <c r="K246" s="78">
        <f>K235</f>
        <v>2.2477498163689251</v>
      </c>
      <c r="L246" s="28"/>
      <c r="M246" s="28"/>
      <c r="N246" s="28"/>
      <c r="O246" s="28"/>
      <c r="P246" s="28"/>
      <c r="AF246" s="7"/>
      <c r="AG246" s="7"/>
      <c r="AH246" s="7"/>
      <c r="AI246" s="7"/>
      <c r="AJ246" s="7"/>
      <c r="AK246" s="7"/>
      <c r="AL246" s="7"/>
      <c r="AM246" s="7"/>
      <c r="AN246" s="7"/>
      <c r="AR246" s="92"/>
      <c r="AS246" s="7"/>
      <c r="AT246" s="123"/>
      <c r="AU246" s="123"/>
      <c r="AV246" s="123"/>
      <c r="AW246" s="123"/>
      <c r="AX246" s="123"/>
      <c r="AY246" s="123"/>
      <c r="AZ246" s="7"/>
    </row>
    <row r="247" spans="1:52" s="18" customFormat="1">
      <c r="A247" s="95"/>
      <c r="B247" s="95"/>
      <c r="C247" s="28"/>
      <c r="D247" s="28"/>
      <c r="E247" s="28"/>
      <c r="F247" s="28"/>
      <c r="G247" s="28"/>
      <c r="H247" s="37" t="s">
        <v>8</v>
      </c>
      <c r="I247" s="37" t="s">
        <v>8</v>
      </c>
      <c r="J247" s="37" t="s">
        <v>9</v>
      </c>
      <c r="K247" s="37" t="s">
        <v>9</v>
      </c>
      <c r="L247" s="28"/>
      <c r="M247" s="28"/>
      <c r="N247" s="28"/>
      <c r="O247" s="28"/>
      <c r="P247" s="28"/>
      <c r="AF247" s="7"/>
      <c r="AG247" s="7"/>
      <c r="AH247" s="7"/>
      <c r="AI247" s="7"/>
      <c r="AJ247" s="7"/>
      <c r="AK247" s="7"/>
      <c r="AL247" s="7"/>
      <c r="AM247" s="7"/>
      <c r="AN247" s="7"/>
      <c r="AR247" s="92"/>
      <c r="AS247" s="7"/>
      <c r="AT247" s="123"/>
      <c r="AU247" s="123"/>
      <c r="AV247" s="123"/>
      <c r="AW247" s="123"/>
      <c r="AX247" s="123"/>
      <c r="AY247" s="123"/>
      <c r="AZ247" s="7"/>
    </row>
    <row r="248" spans="1:52" s="18" customFormat="1">
      <c r="A248" s="88" t="s">
        <v>68</v>
      </c>
      <c r="B248" s="88"/>
      <c r="C248" s="115" t="s">
        <v>15</v>
      </c>
      <c r="D248" s="115" t="s">
        <v>55</v>
      </c>
      <c r="E248" s="115" t="s">
        <v>12</v>
      </c>
      <c r="F248" s="115" t="s">
        <v>10</v>
      </c>
      <c r="G248" s="115" t="s">
        <v>14</v>
      </c>
      <c r="H248" s="115" t="s">
        <v>21</v>
      </c>
      <c r="I248" s="115" t="s">
        <v>16</v>
      </c>
      <c r="J248" s="115" t="s">
        <v>17</v>
      </c>
      <c r="K248" s="115" t="s">
        <v>23</v>
      </c>
      <c r="L248" s="28"/>
      <c r="M248" s="28"/>
      <c r="N248" s="28"/>
      <c r="O248" s="28"/>
      <c r="P248" s="28"/>
      <c r="AF248" s="7"/>
      <c r="AG248" s="7"/>
      <c r="AH248" s="7"/>
      <c r="AI248" s="7"/>
      <c r="AJ248" s="7"/>
      <c r="AK248" s="7"/>
      <c r="AL248" s="7"/>
      <c r="AM248" s="7"/>
      <c r="AN248" s="7"/>
      <c r="AR248" s="92"/>
      <c r="AS248" s="7"/>
      <c r="AT248" s="123"/>
      <c r="AU248" s="123"/>
      <c r="AV248" s="123"/>
      <c r="AW248" s="123"/>
      <c r="AX248" s="123"/>
      <c r="AY248" s="123"/>
      <c r="AZ248" s="7"/>
    </row>
    <row r="249" spans="1:52" s="18" customFormat="1">
      <c r="A249" s="28"/>
      <c r="B249" s="28"/>
      <c r="C249" s="23">
        <f>Mü/TAN($C246)</f>
        <v>0.20761392232733894</v>
      </c>
      <c r="D249" s="42">
        <f>SQRT($J246*$J246+$K246*$K246)</f>
        <v>2.4462073944067679</v>
      </c>
      <c r="E249" s="20">
        <f>ATAN($J246/$K246)+PI()</f>
        <v>2.7360065906417588</v>
      </c>
      <c r="F249" s="23">
        <f>($E249-A262-0.0001)/5</f>
        <v>4.5966591033288467E-3</v>
      </c>
      <c r="G249" s="23">
        <f>COS($E249)</f>
        <v>-0.91887131954076584</v>
      </c>
      <c r="H249" s="23">
        <f>SIN($E249)</f>
        <v>0.39455734453360747</v>
      </c>
      <c r="I249" s="23">
        <f>$C249+$G249</f>
        <v>-0.71125739721342685</v>
      </c>
      <c r="J249" s="23">
        <f>POWER(TAN($E249/2),$C249)</f>
        <v>1.3887287264133354</v>
      </c>
      <c r="K249" s="23">
        <f>-$D249*$D249*SIN($E249)*SIN($E249)/(2*9.81*SIN($C246)*POWER(TAN($E249/2),2*$C249))</f>
        <v>-7.7056906146496115E-2</v>
      </c>
      <c r="L249" s="28"/>
      <c r="M249" s="28"/>
      <c r="N249" s="28"/>
      <c r="O249" s="28"/>
      <c r="P249" s="28"/>
      <c r="AF249" s="7"/>
      <c r="AG249" s="7"/>
      <c r="AH249" s="7"/>
      <c r="AI249" s="7"/>
      <c r="AJ249" s="7"/>
      <c r="AK249" s="7"/>
      <c r="AL249" s="7"/>
      <c r="AM249" s="7"/>
      <c r="AN249" s="7"/>
      <c r="AR249" s="92"/>
      <c r="AS249" s="7"/>
      <c r="AT249" s="123"/>
      <c r="AU249" s="123"/>
      <c r="AV249" s="123"/>
      <c r="AW249" s="123"/>
      <c r="AX249" s="123"/>
      <c r="AY249" s="123"/>
      <c r="AZ249" s="7"/>
    </row>
    <row r="250" spans="1:52" s="18" customFormat="1">
      <c r="A250" s="88" t="s">
        <v>70</v>
      </c>
      <c r="B250" s="8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45"/>
      <c r="N250" s="28"/>
      <c r="O250" s="28"/>
      <c r="P250" s="28"/>
      <c r="AF250" s="7"/>
      <c r="AG250" s="7"/>
      <c r="AH250" s="7"/>
      <c r="AI250" s="7"/>
      <c r="AJ250" s="7"/>
      <c r="AK250" s="7"/>
      <c r="AL250" s="7"/>
      <c r="AM250" s="7"/>
      <c r="AN250" s="7"/>
      <c r="AR250" s="92"/>
      <c r="AS250" s="7"/>
      <c r="AT250" s="123"/>
      <c r="AU250" s="123"/>
      <c r="AV250" s="123"/>
      <c r="AW250" s="123"/>
      <c r="AX250" s="123"/>
      <c r="AY250" s="123"/>
      <c r="AZ250" s="7"/>
    </row>
    <row r="251" spans="1:52" s="18" customFormat="1">
      <c r="A251" s="115" t="s">
        <v>11</v>
      </c>
      <c r="B251" s="115" t="s">
        <v>13</v>
      </c>
      <c r="C251" s="117" t="s">
        <v>22</v>
      </c>
      <c r="D251" s="117" t="s">
        <v>18</v>
      </c>
      <c r="E251" s="115" t="s">
        <v>19</v>
      </c>
      <c r="F251" s="117" t="s">
        <v>20</v>
      </c>
      <c r="G251" s="117" t="s">
        <v>2</v>
      </c>
      <c r="H251" s="117" t="s">
        <v>65</v>
      </c>
      <c r="I251" s="117" t="s">
        <v>66</v>
      </c>
      <c r="J251" s="118" t="s">
        <v>3</v>
      </c>
      <c r="K251" s="118" t="s">
        <v>4</v>
      </c>
      <c r="L251" s="116" t="s">
        <v>7</v>
      </c>
      <c r="M251" s="93"/>
      <c r="N251" s="117" t="s">
        <v>61</v>
      </c>
      <c r="O251" s="117" t="s">
        <v>62</v>
      </c>
      <c r="P251" s="115" t="s">
        <v>63</v>
      </c>
      <c r="AF251" s="7"/>
      <c r="AG251" s="7"/>
      <c r="AH251" s="7"/>
      <c r="AI251" s="7"/>
      <c r="AJ251" s="7"/>
      <c r="AK251" s="7"/>
      <c r="AL251" s="7"/>
      <c r="AM251" s="7"/>
      <c r="AN251" s="7"/>
      <c r="AR251" s="92"/>
      <c r="AS251" s="7"/>
      <c r="AT251" s="123"/>
      <c r="AU251" s="123"/>
      <c r="AV251" s="123"/>
      <c r="AW251" s="123"/>
      <c r="AX251" s="123"/>
      <c r="AY251" s="123"/>
      <c r="AZ251" s="7"/>
    </row>
    <row r="252" spans="1:52" s="18" customFormat="1">
      <c r="A252" s="19">
        <f>$E249</f>
        <v>2.7360065906417588</v>
      </c>
      <c r="B252" s="26">
        <f>COS(A252)</f>
        <v>-0.91887131954076584</v>
      </c>
      <c r="C252" s="26">
        <f>($C$249+B252)</f>
        <v>-0.71125739721342685</v>
      </c>
      <c r="D252" s="26">
        <f>POWER(TAN(A252/2),$C$249)</f>
        <v>1.3887287264133354</v>
      </c>
      <c r="E252" s="26">
        <f>SIN(A252)</f>
        <v>0.39455734453360747</v>
      </c>
      <c r="F252" s="77">
        <f>(C252*$H$249*D252/E252/$I$249/$J$249)</f>
        <v>1</v>
      </c>
      <c r="G252" s="77">
        <f>$D$249*($C$249+$G$249)/9.81/SIN($C$246)/(1-$C$249*$C$246)*(F252-1)</f>
        <v>0</v>
      </c>
      <c r="H252" s="75">
        <f>-(-$H$246+$K$249*((POWER(TAN(A252/2),2*$C$249-1)/(2*$C$249-1))+(POWER(TAN(A252/2),2*$C$249+1)/(2*$C$249+1))-(POWER(TAN($E$249/2),2*$C$249-1)/(2*$C$249-1))-(POWER(TAN($E$249/2),2*$C$249+1)/(2*$C$249+1))))</f>
        <v>1.2879884436857663</v>
      </c>
      <c r="I252" s="75">
        <f>-(-$I$246+0.5*$K$249*((POWER(TAN(A252/2),2*$C$249-2)/(2*$C$249-2))-(POWER(TAN(A252/2),2*$C$249+2)/(2*$C$249+2))-(POWER(TAN($E$249/2),2*$C$249-2)/(2*$C$249-2))+(POWER(TAN($E$249/2),2*$C$249+2)/(2*$C$249+2))))</f>
        <v>8.9833694127449668E-2</v>
      </c>
      <c r="J252" s="77">
        <f>-$D$249*SIN(A252)*($C$249+$G$249)/($C$249+B252)*F252</f>
        <v>-0.96516909371560933</v>
      </c>
      <c r="K252" s="77">
        <f>-$D$249*COS(A252)*($C$249+$G$249)/($C$249+B252)*F252</f>
        <v>2.2477498163689256</v>
      </c>
      <c r="L252" s="91">
        <f>SQRT(J252*J252+K252*K252)</f>
        <v>2.4462073944067679</v>
      </c>
      <c r="M252" s="93"/>
      <c r="N252" s="75">
        <f>-(-$I$246+0.5*$K$249*((POWER(TAN(A252/2),2*$C$249-2)/(2*$C$249-2))-(POWER(TAN(A252/2),2*$C$249+2)/(2*$C$249+2))-(POWER(TAN($E$249/2),2*$C$249-2)/(2*$C$249-2))+(POWER(TAN($E$249/2),2*$C$249+2)/(2*$C$249+2))))-$D$246</f>
        <v>-9.3384639596006555E-2</v>
      </c>
      <c r="O252" s="75">
        <f>-(-$I$246+0.5*$K$249*((POWER(TAN((A252+$M$9)/2),2*$C$249-2)/(2*$C$249-2))-(POWER(TAN((A252+$M$9)/2),2*$C$249+2)/(2*$C$249+2))-(POWER(TAN($E$249/2),2*$C$249-2)/(2*$C$249-2))+(POWER(TAN($E$249/2),2*$C$249+2)/(2*$C$249+2))))-$D$246</f>
        <v>-0.10689490275001069</v>
      </c>
      <c r="P252" s="75">
        <f>A252-N252/(O252-N252)*$M$9</f>
        <v>2.7152702130009585</v>
      </c>
      <c r="AF252" s="7"/>
      <c r="AG252" s="7"/>
      <c r="AH252" s="7"/>
      <c r="AI252" s="7"/>
      <c r="AJ252" s="7"/>
      <c r="AK252" s="7"/>
      <c r="AL252" s="7"/>
      <c r="AM252" s="7"/>
      <c r="AN252" s="7"/>
      <c r="AR252" s="92"/>
      <c r="AS252" s="7"/>
      <c r="AT252" s="123"/>
      <c r="AU252" s="123"/>
      <c r="AV252" s="123"/>
      <c r="AW252" s="123"/>
      <c r="AX252" s="123"/>
      <c r="AY252" s="123"/>
      <c r="AZ252" s="7"/>
    </row>
    <row r="253" spans="1:52" s="18" customFormat="1">
      <c r="A253" s="19">
        <f>$P252</f>
        <v>2.7152702130009585</v>
      </c>
      <c r="B253" s="26">
        <f t="shared" ref="B253:B262" si="253">COS(A253)</f>
        <v>-0.91049266674104545</v>
      </c>
      <c r="C253" s="26">
        <f t="shared" ref="C253:C262" si="254">($C$249+B253)</f>
        <v>-0.70287874441370657</v>
      </c>
      <c r="D253" s="26">
        <f t="shared" ref="D253:D262" si="255">POWER(TAN(A253/2),$C$249)</f>
        <v>1.3740078651830412</v>
      </c>
      <c r="E253" s="26">
        <f t="shared" ref="E253:E262" si="256">SIN(A253)</f>
        <v>0.41352521544735271</v>
      </c>
      <c r="F253" s="77">
        <f t="shared" ref="F253:F262" si="257">(C253*$H$249*D253/E253/$I$249/$J$249)</f>
        <v>0.93289668315067464</v>
      </c>
      <c r="G253" s="77">
        <f t="shared" ref="G253:G262" si="258">$D$249*($C$249+$G$249)/9.81/SIN($C$246)/(1-$C$249*$C$246)*(F253-1)</f>
        <v>3.9947696600487463E-2</v>
      </c>
      <c r="H253" s="75">
        <f t="shared" ref="H253:H262" si="259">-(-$H$246+$K$249*((POWER(TAN(A253/2),2*$C$249-1)/(2*$C$249-1))+(POWER(TAN(A253/2),2*$C$249+1)/(2*$C$249+1))-(POWER(TAN($E$249/2),2*$C$249-1)/(2*$C$249-1))-(POWER(TAN($E$249/2),2*$C$249+1)/(2*$C$249+1))))</f>
        <v>1.2506133509102908</v>
      </c>
      <c r="I253" s="75">
        <f t="shared" ref="I253:I262" si="260">-(-$I$246+0.5*$K$249*((POWER(TAN(A253/2),2*$C$249-2)/(2*$C$249-2))-(POWER(TAN(A253/2),2*$C$249+2)/(2*$C$249+2))-(POWER(TAN($E$249/2),2*$C$249-2)/(2*$C$249-2))+(POWER(TAN($E$249/2),2*$C$249+2)/(2*$C$249+2))))</f>
        <v>0.17450884364859248</v>
      </c>
      <c r="J253" s="77">
        <f t="shared" ref="J253:J262" si="261">-$D$249*SIN(A253)*($C$249+$G$249)/($C$249+B253)*F253</f>
        <v>-0.95493806729401898</v>
      </c>
      <c r="K253" s="77">
        <f t="shared" ref="K253:K262" si="262">-$D$249*COS(A253)*($C$249+$G$249)/($C$249+B253)*F253</f>
        <v>2.1025661192691301</v>
      </c>
      <c r="L253" s="91">
        <f t="shared" ref="L253:L262" si="263">SQRT(J253*J253+K253*K253)</f>
        <v>2.3092620029493593</v>
      </c>
      <c r="M253" s="93"/>
      <c r="N253" s="75">
        <f t="shared" ref="N253:N262" si="264">-(-$I$246+0.5*$K$249*((POWER(TAN(A253/2),2*$C$249-2)/(2*$C$249-2))-(POWER(TAN(A253/2),2*$C$249+2)/(2*$C$249+2))-(POWER(TAN($E$249/2),2*$C$249-2)/(2*$C$249-2))+(POWER(TAN($E$249/2),2*$C$249+2)/(2*$C$249+2))))-$D$246</f>
        <v>-8.7094900748637405E-3</v>
      </c>
      <c r="O253" s="75">
        <f t="shared" ref="O253:O262" si="265">-(-$I$246+0.5*$K$249*((POWER(TAN((A253+$M$9)/2),2*$C$249-2)/(2*$C$249-2))-(POWER(TAN((A253+$M$9)/2),2*$C$249+2)/(2*$C$249+2))-(POWER(TAN($E$249/2),2*$C$249-2)/(2*$C$249-2))+(POWER(TAN($E$249/2),2*$C$249+2)/(2*$C$249+2))))-$D$246</f>
        <v>-2.0085435544783703E-2</v>
      </c>
      <c r="P253" s="75">
        <f t="shared" ref="P253:P262" si="266">A253-N253/(O253-N253)*$M$9</f>
        <v>2.712973395536979</v>
      </c>
      <c r="AF253" s="7"/>
      <c r="AG253" s="7"/>
      <c r="AH253" s="7"/>
      <c r="AI253" s="7"/>
      <c r="AJ253" s="7"/>
      <c r="AK253" s="7"/>
      <c r="AL253" s="7"/>
      <c r="AM253" s="7"/>
      <c r="AN253" s="7"/>
      <c r="AR253" s="92"/>
      <c r="AS253" s="7"/>
      <c r="AT253" s="123"/>
      <c r="AU253" s="123"/>
      <c r="AV253" s="123"/>
      <c r="AW253" s="123"/>
      <c r="AX253" s="123"/>
      <c r="AY253" s="123"/>
      <c r="AZ253" s="7"/>
    </row>
    <row r="254" spans="1:52" s="18" customFormat="1">
      <c r="A254" s="19">
        <f t="shared" ref="A254:A262" si="267">$P253</f>
        <v>2.712973395536979</v>
      </c>
      <c r="B254" s="26">
        <f t="shared" si="253"/>
        <v>-0.90954047404748939</v>
      </c>
      <c r="C254" s="26">
        <f t="shared" si="254"/>
        <v>-0.7019265517201505</v>
      </c>
      <c r="D254" s="26">
        <f t="shared" si="255"/>
        <v>1.3724283457081778</v>
      </c>
      <c r="E254" s="26">
        <f t="shared" si="256"/>
        <v>0.41561535831760155</v>
      </c>
      <c r="F254" s="77">
        <f t="shared" si="257"/>
        <v>0.92588208070025457</v>
      </c>
      <c r="G254" s="77">
        <f t="shared" si="258"/>
        <v>4.4123603599117954E-2</v>
      </c>
      <c r="H254" s="75">
        <f t="shared" si="259"/>
        <v>1.24672958100006</v>
      </c>
      <c r="I254" s="75">
        <f t="shared" si="260"/>
        <v>0.18303411989595053</v>
      </c>
      <c r="J254" s="77">
        <f t="shared" si="261"/>
        <v>-0.95384029826896444</v>
      </c>
      <c r="K254" s="77">
        <f t="shared" si="262"/>
        <v>2.0874020646517839</v>
      </c>
      <c r="L254" s="91">
        <f t="shared" si="263"/>
        <v>2.2950073407539149</v>
      </c>
      <c r="M254" s="93"/>
      <c r="N254" s="75">
        <f t="shared" si="264"/>
        <v>-1.8421382750569149E-4</v>
      </c>
      <c r="O254" s="75">
        <f t="shared" si="265"/>
        <v>-1.1351236072439513E-2</v>
      </c>
      <c r="P254" s="75">
        <f t="shared" si="266"/>
        <v>2.7129239068308229</v>
      </c>
      <c r="AF254" s="7"/>
      <c r="AG254" s="7"/>
      <c r="AH254" s="7"/>
      <c r="AI254" s="7"/>
      <c r="AJ254" s="7"/>
      <c r="AK254" s="7"/>
      <c r="AL254" s="7"/>
      <c r="AM254" s="7"/>
      <c r="AN254" s="7"/>
      <c r="AR254" s="92"/>
      <c r="AS254" s="7"/>
      <c r="AT254" s="123"/>
      <c r="AU254" s="123"/>
      <c r="AV254" s="123"/>
      <c r="AW254" s="123"/>
      <c r="AX254" s="123"/>
      <c r="AY254" s="123"/>
      <c r="AZ254" s="7"/>
    </row>
    <row r="255" spans="1:52" s="18" customFormat="1">
      <c r="A255" s="19">
        <f t="shared" si="267"/>
        <v>2.7129239068308229</v>
      </c>
      <c r="B255" s="26">
        <f t="shared" si="253"/>
        <v>-0.90951990466736365</v>
      </c>
      <c r="C255" s="26">
        <f t="shared" si="254"/>
        <v>-0.70190598234002466</v>
      </c>
      <c r="D255" s="26">
        <f t="shared" si="255"/>
        <v>1.3723944197767091</v>
      </c>
      <c r="E255" s="26">
        <f t="shared" si="256"/>
        <v>0.41566036978989201</v>
      </c>
      <c r="F255" s="77">
        <f t="shared" si="257"/>
        <v>0.92573180420154655</v>
      </c>
      <c r="G255" s="77">
        <f t="shared" si="258"/>
        <v>4.4213065644489742E-2</v>
      </c>
      <c r="H255" s="75">
        <f t="shared" si="259"/>
        <v>1.2466464264383588</v>
      </c>
      <c r="I255" s="75">
        <f t="shared" si="260"/>
        <v>0.18321608499369541</v>
      </c>
      <c r="J255" s="77">
        <f t="shared" si="261"/>
        <v>-0.95381671968237203</v>
      </c>
      <c r="K255" s="77">
        <f t="shared" si="262"/>
        <v>2.0870772270018425</v>
      </c>
      <c r="L255" s="91">
        <f t="shared" si="263"/>
        <v>2.2947020909510978</v>
      </c>
      <c r="M255" s="93"/>
      <c r="N255" s="75">
        <f t="shared" si="264"/>
        <v>-2.2487297608175805E-6</v>
      </c>
      <c r="O255" s="75">
        <f t="shared" si="265"/>
        <v>-1.1164823881665148E-2</v>
      </c>
      <c r="P255" s="75">
        <f t="shared" si="266"/>
        <v>2.7129233024730297</v>
      </c>
      <c r="AF255" s="7"/>
      <c r="AG255" s="7"/>
      <c r="AH255" s="7"/>
      <c r="AI255" s="7"/>
      <c r="AJ255" s="7"/>
      <c r="AK255" s="7"/>
      <c r="AL255" s="7"/>
      <c r="AM255" s="7"/>
      <c r="AN255" s="7"/>
      <c r="AR255" s="92"/>
      <c r="AS255" s="7"/>
      <c r="AT255" s="123"/>
      <c r="AU255" s="123"/>
      <c r="AV255" s="123"/>
      <c r="AW255" s="123"/>
      <c r="AX255" s="123"/>
      <c r="AY255" s="123"/>
      <c r="AZ255" s="7"/>
    </row>
    <row r="256" spans="1:52" s="18" customFormat="1">
      <c r="A256" s="19">
        <f t="shared" si="267"/>
        <v>2.7129233024730297</v>
      </c>
      <c r="B256" s="26">
        <f t="shared" si="253"/>
        <v>-0.90951965345961372</v>
      </c>
      <c r="C256" s="26">
        <f t="shared" si="254"/>
        <v>-0.70190573113227472</v>
      </c>
      <c r="D256" s="26">
        <f t="shared" si="255"/>
        <v>1.3723940054999488</v>
      </c>
      <c r="E256" s="26">
        <f t="shared" si="256"/>
        <v>0.41566091946525852</v>
      </c>
      <c r="F256" s="77">
        <f t="shared" si="257"/>
        <v>0.92572996924385453</v>
      </c>
      <c r="G256" s="77">
        <f t="shared" si="258"/>
        <v>4.4214158024667008E-2</v>
      </c>
      <c r="H256" s="75">
        <f t="shared" si="259"/>
        <v>1.2466454110886871</v>
      </c>
      <c r="I256" s="75">
        <f t="shared" si="260"/>
        <v>0.18321830671138983</v>
      </c>
      <c r="J256" s="77">
        <f t="shared" si="261"/>
        <v>-0.95381643175923958</v>
      </c>
      <c r="K256" s="77">
        <f t="shared" si="262"/>
        <v>2.0870732605648699</v>
      </c>
      <c r="L256" s="91">
        <f t="shared" si="263"/>
        <v>2.2946983637199039</v>
      </c>
      <c r="M256" s="93"/>
      <c r="N256" s="75">
        <f t="shared" si="264"/>
        <v>-2.7012066389220379E-8</v>
      </c>
      <c r="O256" s="75">
        <f t="shared" si="265"/>
        <v>-1.1162547869985801E-2</v>
      </c>
      <c r="P256" s="75">
        <f t="shared" si="266"/>
        <v>2.7129232952133613</v>
      </c>
      <c r="AF256" s="7"/>
      <c r="AG256" s="7"/>
      <c r="AH256" s="7"/>
      <c r="AI256" s="7"/>
      <c r="AJ256" s="7"/>
      <c r="AK256" s="7"/>
      <c r="AL256" s="7"/>
      <c r="AM256" s="7"/>
      <c r="AN256" s="7"/>
      <c r="AR256" s="92"/>
      <c r="AS256" s="7"/>
      <c r="AT256" s="123"/>
      <c r="AU256" s="123"/>
      <c r="AV256" s="123"/>
      <c r="AW256" s="123"/>
      <c r="AX256" s="123"/>
      <c r="AY256" s="123"/>
      <c r="AZ256" s="7"/>
    </row>
    <row r="257" spans="1:52" s="18" customFormat="1">
      <c r="A257" s="19">
        <f t="shared" si="267"/>
        <v>2.7129232952133613</v>
      </c>
      <c r="B257" s="26">
        <f t="shared" si="253"/>
        <v>-0.9095196504420533</v>
      </c>
      <c r="C257" s="26">
        <f t="shared" si="254"/>
        <v>-0.7019057281147143</v>
      </c>
      <c r="D257" s="26">
        <f t="shared" si="255"/>
        <v>1.3723940005235764</v>
      </c>
      <c r="E257" s="26">
        <f t="shared" si="256"/>
        <v>0.41566092606806959</v>
      </c>
      <c r="F257" s="77">
        <f t="shared" si="257"/>
        <v>0.9257299472020033</v>
      </c>
      <c r="G257" s="77">
        <f t="shared" si="258"/>
        <v>4.421417114653977E-2</v>
      </c>
      <c r="H257" s="75">
        <f t="shared" si="259"/>
        <v>1.2466453988921209</v>
      </c>
      <c r="I257" s="75">
        <f t="shared" si="260"/>
        <v>0.18321833339904808</v>
      </c>
      <c r="J257" s="77">
        <f t="shared" si="261"/>
        <v>-0.95381642830065105</v>
      </c>
      <c r="K257" s="77">
        <f t="shared" si="262"/>
        <v>2.0870732129192957</v>
      </c>
      <c r="L257" s="91">
        <f t="shared" si="263"/>
        <v>2.2946983189477179</v>
      </c>
      <c r="M257" s="93"/>
      <c r="N257" s="75">
        <f t="shared" si="264"/>
        <v>-3.2440813924061729E-10</v>
      </c>
      <c r="O257" s="75">
        <f t="shared" si="265"/>
        <v>-1.1162520530139303E-2</v>
      </c>
      <c r="P257" s="75">
        <f t="shared" si="266"/>
        <v>2.7129232951261746</v>
      </c>
      <c r="AF257" s="7"/>
      <c r="AG257" s="7"/>
      <c r="AH257" s="7"/>
      <c r="AI257" s="7"/>
      <c r="AJ257" s="7"/>
      <c r="AK257" s="7"/>
      <c r="AL257" s="7"/>
      <c r="AM257" s="7"/>
      <c r="AN257" s="7"/>
      <c r="AR257" s="92"/>
      <c r="AS257" s="7"/>
      <c r="AT257" s="123"/>
      <c r="AU257" s="123"/>
      <c r="AV257" s="123"/>
      <c r="AW257" s="123"/>
      <c r="AX257" s="123"/>
      <c r="AY257" s="123"/>
      <c r="AZ257" s="7"/>
    </row>
    <row r="258" spans="1:52" s="18" customFormat="1">
      <c r="A258" s="19">
        <f t="shared" si="267"/>
        <v>2.7129232951261746</v>
      </c>
      <c r="B258" s="26">
        <f t="shared" si="253"/>
        <v>-0.90951965040581317</v>
      </c>
      <c r="C258" s="26">
        <f t="shared" si="254"/>
        <v>-0.70190572807847418</v>
      </c>
      <c r="D258" s="26">
        <f t="shared" si="255"/>
        <v>1.3723940004638115</v>
      </c>
      <c r="E258" s="26">
        <f t="shared" si="256"/>
        <v>0.4156609261473676</v>
      </c>
      <c r="F258" s="77">
        <f t="shared" si="257"/>
        <v>0.92572994693728672</v>
      </c>
      <c r="G258" s="77">
        <f t="shared" si="258"/>
        <v>4.4214171304129864E-2</v>
      </c>
      <c r="H258" s="75">
        <f t="shared" si="259"/>
        <v>1.2466453987456432</v>
      </c>
      <c r="I258" s="75">
        <f t="shared" si="260"/>
        <v>0.18321833371955965</v>
      </c>
      <c r="J258" s="77">
        <f t="shared" si="261"/>
        <v>-0.95381642825911472</v>
      </c>
      <c r="K258" s="77">
        <f t="shared" si="262"/>
        <v>2.0870732123470854</v>
      </c>
      <c r="L258" s="91">
        <f t="shared" si="263"/>
        <v>2.2946983184100165</v>
      </c>
      <c r="M258" s="93"/>
      <c r="N258" s="75">
        <f t="shared" si="264"/>
        <v>-3.8965775051025275E-12</v>
      </c>
      <c r="O258" s="75">
        <f t="shared" si="265"/>
        <v>-1.116252020179484E-2</v>
      </c>
      <c r="P258" s="75">
        <f t="shared" si="266"/>
        <v>2.7129232951251274</v>
      </c>
      <c r="AF258" s="7"/>
      <c r="AG258" s="7"/>
      <c r="AH258" s="7"/>
      <c r="AI258" s="7"/>
      <c r="AJ258" s="7"/>
      <c r="AK258" s="7"/>
      <c r="AL258" s="7"/>
      <c r="AM258" s="7"/>
      <c r="AN258" s="7"/>
      <c r="AR258" s="92"/>
      <c r="AS258" s="7"/>
      <c r="AT258" s="123"/>
      <c r="AU258" s="123"/>
      <c r="AV258" s="123"/>
      <c r="AW258" s="123"/>
      <c r="AX258" s="123"/>
      <c r="AY258" s="123"/>
      <c r="AZ258" s="7"/>
    </row>
    <row r="259" spans="1:52" s="18" customFormat="1">
      <c r="A259" s="19">
        <f t="shared" si="267"/>
        <v>2.7129232951251274</v>
      </c>
      <c r="B259" s="26">
        <f t="shared" si="253"/>
        <v>-0.90951965040537786</v>
      </c>
      <c r="C259" s="26">
        <f t="shared" si="254"/>
        <v>-0.70190572807803897</v>
      </c>
      <c r="D259" s="26">
        <f t="shared" si="255"/>
        <v>1.3723940004630937</v>
      </c>
      <c r="E259" s="26">
        <f t="shared" si="256"/>
        <v>0.41566092614832001</v>
      </c>
      <c r="F259" s="77">
        <f t="shared" si="257"/>
        <v>0.92572994693410715</v>
      </c>
      <c r="G259" s="77">
        <f t="shared" si="258"/>
        <v>4.4214171306022711E-2</v>
      </c>
      <c r="H259" s="75">
        <f t="shared" si="259"/>
        <v>1.2466453987438839</v>
      </c>
      <c r="I259" s="75">
        <f t="shared" si="260"/>
        <v>0.18321833372340915</v>
      </c>
      <c r="J259" s="77">
        <f t="shared" si="261"/>
        <v>-0.95381642825861546</v>
      </c>
      <c r="K259" s="77">
        <f t="shared" si="262"/>
        <v>2.0870732123402123</v>
      </c>
      <c r="L259" s="91">
        <f t="shared" si="263"/>
        <v>2.2946983184035576</v>
      </c>
      <c r="M259" s="93"/>
      <c r="N259" s="75">
        <f t="shared" si="264"/>
        <v>-4.7073456244106637E-14</v>
      </c>
      <c r="O259" s="75">
        <f t="shared" si="265"/>
        <v>-1.1162520197851328E-2</v>
      </c>
      <c r="P259" s="75">
        <f t="shared" si="266"/>
        <v>2.712923295125115</v>
      </c>
      <c r="AF259" s="7"/>
      <c r="AG259" s="7"/>
      <c r="AH259" s="7"/>
      <c r="AI259" s="7"/>
      <c r="AJ259" s="7"/>
      <c r="AK259" s="7"/>
      <c r="AL259" s="7"/>
      <c r="AM259" s="7"/>
      <c r="AN259" s="7"/>
      <c r="AR259" s="92"/>
      <c r="AS259" s="7"/>
      <c r="AT259" s="123"/>
      <c r="AU259" s="123"/>
      <c r="AV259" s="123"/>
      <c r="AW259" s="123"/>
      <c r="AX259" s="123"/>
      <c r="AY259" s="123"/>
      <c r="AZ259" s="7"/>
    </row>
    <row r="260" spans="1:52" s="18" customFormat="1">
      <c r="A260" s="19">
        <f t="shared" si="267"/>
        <v>2.712923295125115</v>
      </c>
      <c r="B260" s="26">
        <f t="shared" si="253"/>
        <v>-0.90951965040537275</v>
      </c>
      <c r="C260" s="26">
        <f t="shared" si="254"/>
        <v>-0.70190572807803386</v>
      </c>
      <c r="D260" s="26">
        <f t="shared" si="255"/>
        <v>1.3723940004630852</v>
      </c>
      <c r="E260" s="26">
        <f t="shared" si="256"/>
        <v>0.41566092614833133</v>
      </c>
      <c r="F260" s="77">
        <f t="shared" si="257"/>
        <v>0.92572994693406963</v>
      </c>
      <c r="G260" s="77">
        <f t="shared" si="258"/>
        <v>4.4214171306045047E-2</v>
      </c>
      <c r="H260" s="75">
        <f t="shared" si="259"/>
        <v>1.2466453987438633</v>
      </c>
      <c r="I260" s="75">
        <f t="shared" si="260"/>
        <v>0.183218333723455</v>
      </c>
      <c r="J260" s="77">
        <f t="shared" si="261"/>
        <v>-0.95381642825860968</v>
      </c>
      <c r="K260" s="77">
        <f t="shared" si="262"/>
        <v>2.0870732123401314</v>
      </c>
      <c r="L260" s="91">
        <f t="shared" si="263"/>
        <v>2.2946983184034817</v>
      </c>
      <c r="M260" s="93"/>
      <c r="N260" s="75">
        <f t="shared" si="264"/>
        <v>-1.2212453270876722E-15</v>
      </c>
      <c r="O260" s="75">
        <f t="shared" si="265"/>
        <v>-1.1162520197804782E-2</v>
      </c>
      <c r="P260" s="75">
        <f t="shared" si="266"/>
        <v>2.7129232951251145</v>
      </c>
      <c r="AF260" s="7"/>
      <c r="AG260" s="7"/>
      <c r="AH260" s="7"/>
      <c r="AI260" s="7"/>
      <c r="AJ260" s="7"/>
      <c r="AK260" s="7"/>
      <c r="AL260" s="7"/>
      <c r="AM260" s="7"/>
      <c r="AN260" s="7"/>
      <c r="AR260" s="92"/>
      <c r="AS260" s="7"/>
      <c r="AT260" s="123"/>
      <c r="AU260" s="123"/>
      <c r="AV260" s="123"/>
      <c r="AW260" s="123"/>
      <c r="AX260" s="123"/>
      <c r="AY260" s="123"/>
      <c r="AZ260" s="7"/>
    </row>
    <row r="261" spans="1:52" s="18" customFormat="1">
      <c r="A261" s="19">
        <f t="shared" si="267"/>
        <v>2.7129232951251145</v>
      </c>
      <c r="B261" s="26">
        <f t="shared" si="253"/>
        <v>-0.90951965040537253</v>
      </c>
      <c r="C261" s="26">
        <f t="shared" si="254"/>
        <v>-0.70190572807803364</v>
      </c>
      <c r="D261" s="26">
        <f t="shared" si="255"/>
        <v>1.3723940004630848</v>
      </c>
      <c r="E261" s="26">
        <f t="shared" si="256"/>
        <v>0.41566092614833172</v>
      </c>
      <c r="F261" s="77">
        <f t="shared" si="257"/>
        <v>0.92572994693406829</v>
      </c>
      <c r="G261" s="77">
        <f t="shared" si="258"/>
        <v>4.4214171306045845E-2</v>
      </c>
      <c r="H261" s="75">
        <f t="shared" si="259"/>
        <v>1.2466453987438619</v>
      </c>
      <c r="I261" s="75">
        <f t="shared" si="260"/>
        <v>0.18321833372345692</v>
      </c>
      <c r="J261" s="77">
        <f t="shared" si="261"/>
        <v>-0.95381642825860935</v>
      </c>
      <c r="K261" s="77">
        <f t="shared" si="262"/>
        <v>2.0870732123401288</v>
      </c>
      <c r="L261" s="91">
        <f t="shared" si="263"/>
        <v>2.294698318403479</v>
      </c>
      <c r="M261" s="93"/>
      <c r="N261" s="75">
        <f t="shared" si="264"/>
        <v>6.9388939039072284E-16</v>
      </c>
      <c r="O261" s="75">
        <f t="shared" si="265"/>
        <v>-1.1162520197803005E-2</v>
      </c>
      <c r="P261" s="75">
        <f t="shared" si="266"/>
        <v>2.7129232951251145</v>
      </c>
      <c r="AF261" s="7"/>
      <c r="AG261" s="7"/>
      <c r="AH261" s="7"/>
      <c r="AI261" s="7"/>
      <c r="AJ261" s="7"/>
      <c r="AK261" s="7"/>
      <c r="AL261" s="7"/>
      <c r="AM261" s="7"/>
      <c r="AN261" s="7"/>
      <c r="AR261" s="92"/>
      <c r="AS261" s="7"/>
      <c r="AT261" s="123"/>
      <c r="AU261" s="123"/>
      <c r="AV261" s="123"/>
      <c r="AW261" s="123"/>
      <c r="AX261" s="123"/>
      <c r="AY261" s="123"/>
      <c r="AZ261" s="7"/>
    </row>
    <row r="262" spans="1:52" s="18" customFormat="1">
      <c r="A262" s="19">
        <f t="shared" si="267"/>
        <v>2.7129232951251145</v>
      </c>
      <c r="B262" s="26">
        <f t="shared" si="253"/>
        <v>-0.90951965040537253</v>
      </c>
      <c r="C262" s="26">
        <f t="shared" si="254"/>
        <v>-0.70190572807803364</v>
      </c>
      <c r="D262" s="26">
        <f t="shared" si="255"/>
        <v>1.3723940004630848</v>
      </c>
      <c r="E262" s="26">
        <f t="shared" si="256"/>
        <v>0.41566092614833172</v>
      </c>
      <c r="F262" s="77">
        <f t="shared" si="257"/>
        <v>0.92572994693406829</v>
      </c>
      <c r="G262" s="77">
        <f t="shared" si="258"/>
        <v>4.4214171306045845E-2</v>
      </c>
      <c r="H262" s="75">
        <f t="shared" si="259"/>
        <v>1.2466453987438619</v>
      </c>
      <c r="I262" s="75">
        <f t="shared" si="260"/>
        <v>0.18321833372345692</v>
      </c>
      <c r="J262" s="77">
        <f t="shared" si="261"/>
        <v>-0.95381642825860935</v>
      </c>
      <c r="K262" s="77">
        <f t="shared" si="262"/>
        <v>2.0870732123401288</v>
      </c>
      <c r="L262" s="91">
        <f t="shared" si="263"/>
        <v>2.294698318403479</v>
      </c>
      <c r="M262" s="93"/>
      <c r="N262" s="75">
        <f t="shared" si="264"/>
        <v>6.9388939039072284E-16</v>
      </c>
      <c r="O262" s="75">
        <f t="shared" si="265"/>
        <v>-1.1162520197803005E-2</v>
      </c>
      <c r="P262" s="75">
        <f t="shared" si="266"/>
        <v>2.7129232951251145</v>
      </c>
      <c r="AF262" s="7"/>
      <c r="AG262" s="7"/>
      <c r="AH262" s="7"/>
      <c r="AI262" s="7"/>
      <c r="AJ262" s="7"/>
      <c r="AK262" s="7"/>
      <c r="AL262" s="7"/>
      <c r="AM262" s="7"/>
      <c r="AN262" s="7"/>
      <c r="AR262" s="92"/>
      <c r="AS262" s="7"/>
      <c r="AT262" s="123"/>
      <c r="AU262" s="123"/>
      <c r="AV262" s="123"/>
      <c r="AW262" s="123"/>
      <c r="AX262" s="123"/>
      <c r="AY262" s="123"/>
      <c r="AZ262" s="7"/>
    </row>
    <row r="263" spans="1:52" s="18" customFormat="1">
      <c r="A263" s="88" t="s">
        <v>60</v>
      </c>
      <c r="B263" s="8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AF263" s="7"/>
      <c r="AG263" s="7"/>
      <c r="AH263" s="7"/>
      <c r="AI263" s="7"/>
      <c r="AJ263" s="7"/>
      <c r="AK263" s="7"/>
      <c r="AL263" s="7"/>
      <c r="AM263" s="7"/>
      <c r="AN263" s="7"/>
      <c r="AR263" s="92"/>
      <c r="AS263" s="7"/>
      <c r="AT263" s="123"/>
      <c r="AU263" s="123"/>
      <c r="AV263" s="123"/>
      <c r="AW263" s="123"/>
      <c r="AX263" s="123"/>
      <c r="AY263" s="123"/>
      <c r="AZ263" s="7"/>
    </row>
    <row r="264" spans="1:52" s="18" customFormat="1">
      <c r="A264" s="26" t="s">
        <v>11</v>
      </c>
      <c r="B264" s="26" t="s">
        <v>13</v>
      </c>
      <c r="C264" s="26" t="s">
        <v>22</v>
      </c>
      <c r="D264" s="26" t="s">
        <v>18</v>
      </c>
      <c r="E264" s="26" t="s">
        <v>19</v>
      </c>
      <c r="F264" s="26" t="s">
        <v>20</v>
      </c>
      <c r="G264" s="26" t="s">
        <v>2</v>
      </c>
      <c r="H264" s="26" t="s">
        <v>1</v>
      </c>
      <c r="I264" s="26" t="s">
        <v>0</v>
      </c>
      <c r="J264" s="76" t="s">
        <v>3</v>
      </c>
      <c r="K264" s="76" t="s">
        <v>4</v>
      </c>
      <c r="L264" s="44" t="s">
        <v>7</v>
      </c>
      <c r="M264" s="28"/>
      <c r="N264" s="28"/>
      <c r="O264" s="28"/>
      <c r="P264" s="31"/>
      <c r="AF264" s="7"/>
      <c r="AG264" s="7"/>
      <c r="AH264" s="7"/>
      <c r="AI264" s="7"/>
      <c r="AJ264" s="7"/>
      <c r="AK264" s="7"/>
      <c r="AL264" s="7"/>
      <c r="AM264" s="7"/>
      <c r="AN264" s="7"/>
      <c r="AR264" s="92"/>
      <c r="AS264" s="7"/>
      <c r="AT264" s="123"/>
      <c r="AU264" s="123"/>
      <c r="AV264" s="123"/>
      <c r="AW264" s="123"/>
      <c r="AX264" s="123"/>
      <c r="AY264" s="123"/>
      <c r="AZ264" s="7"/>
    </row>
    <row r="265" spans="1:52" s="18" customFormat="1">
      <c r="A265" s="19">
        <f>$E249</f>
        <v>2.7360065906417588</v>
      </c>
      <c r="B265" s="26">
        <f t="shared" ref="B265:B270" si="268">COS(A265)</f>
        <v>-0.91887131954076584</v>
      </c>
      <c r="C265" s="26">
        <f t="shared" ref="C265:C270" si="269">($C$249+B265)</f>
        <v>-0.71125739721342685</v>
      </c>
      <c r="D265" s="26">
        <f t="shared" ref="D265:D270" si="270">POWER(TAN(A265/2),$C$249)</f>
        <v>1.3887287264133354</v>
      </c>
      <c r="E265" s="26">
        <f t="shared" ref="E265:E270" si="271">SIN(A265)</f>
        <v>0.39455734453360747</v>
      </c>
      <c r="F265" s="77">
        <f t="shared" ref="F265:F270" si="272">(C265*$H$249*D265/E265/$I$249/$J$249)</f>
        <v>1</v>
      </c>
      <c r="G265" s="77">
        <f t="shared" ref="G265:G270" si="273">$D$249*($C$249+$G$249)/9.81/SIN($C$246)/(1-$C$249*$C$246)*(F265-1)</f>
        <v>0</v>
      </c>
      <c r="H265" s="138">
        <f t="shared" ref="H265:H270" si="274">-(-$H$246+$K$249*((POWER(TAN(A265/2),2*$C$249-1)/(2*$C$249-1))+(POWER(TAN(A265/2),2*$C$249+1)/(2*$C$249+1))-(POWER(TAN($E$249/2),2*$C$249-1)/(2*$C$249-1))-(POWER(TAN($E$249/2),2*$C$249+1)/(2*$C$249+1))))</f>
        <v>1.2879884436857663</v>
      </c>
      <c r="I265" s="138">
        <f t="shared" ref="I265:I270" si="275">-(-$I$246+0.5*$K$249*((POWER(TAN(A265/2),2*$C$249-2)/(2*$C$249-2))-(POWER(TAN(A265/2),2*$C$249+2)/(2*$C$249+2))-(POWER(TAN($E$249/2),2*$C$249-2)/(2*$C$249-2))+(POWER(TAN($E$249/2),2*$C$249+2)/(2*$C$249+2))))</f>
        <v>8.9833694127449668E-2</v>
      </c>
      <c r="J265" s="77">
        <f t="shared" ref="J265:J270" si="276">-$D$249*SIN(A265)*($C$249+$G$249)/($C$249+B265)*F265</f>
        <v>-0.96516909371560933</v>
      </c>
      <c r="K265" s="77">
        <f t="shared" ref="K265:K270" si="277">-$D$249*COS(A265)*($C$249+$G$249)/($C$249+B265)*F265</f>
        <v>2.2477498163689256</v>
      </c>
      <c r="L265" s="91">
        <f t="shared" ref="L265:L270" si="278">SQRT(J265*J265+K265*K265)</f>
        <v>2.4462073944067679</v>
      </c>
      <c r="M265" s="28"/>
      <c r="N265" s="28"/>
      <c r="O265" s="28"/>
      <c r="P265" s="31"/>
      <c r="AF265" s="7"/>
      <c r="AG265" s="7"/>
      <c r="AH265" s="7"/>
      <c r="AI265" s="7"/>
      <c r="AJ265" s="7"/>
      <c r="AK265" s="7"/>
      <c r="AL265" s="7"/>
      <c r="AM265" s="7"/>
      <c r="AN265" s="7"/>
      <c r="AR265" s="92"/>
      <c r="AS265" s="7"/>
      <c r="AT265" s="123"/>
      <c r="AU265" s="123"/>
      <c r="AV265" s="123"/>
      <c r="AW265" s="123"/>
      <c r="AX265" s="123"/>
      <c r="AY265" s="123"/>
      <c r="AZ265" s="7"/>
    </row>
    <row r="266" spans="1:52" s="18" customFormat="1">
      <c r="A266" s="20">
        <f>A265-$F$249</f>
        <v>2.7314099315384301</v>
      </c>
      <c r="B266" s="26">
        <f t="shared" si="268"/>
        <v>-0.9170479727927926</v>
      </c>
      <c r="C266" s="26">
        <f t="shared" si="269"/>
        <v>-0.70943405046545371</v>
      </c>
      <c r="D266" s="26">
        <f t="shared" si="270"/>
        <v>1.3853916128430459</v>
      </c>
      <c r="E266" s="26">
        <f t="shared" si="271"/>
        <v>0.39877689952732909</v>
      </c>
      <c r="F266" s="77">
        <f t="shared" si="272"/>
        <v>0.98451085216314815</v>
      </c>
      <c r="G266" s="77">
        <f t="shared" si="273"/>
        <v>9.2209417870657041E-3</v>
      </c>
      <c r="H266" s="138">
        <f t="shared" si="274"/>
        <v>1.2793261191348009</v>
      </c>
      <c r="I266" s="138">
        <f t="shared" si="275"/>
        <v>0.1098806583124063</v>
      </c>
      <c r="J266" s="77">
        <f t="shared" si="276"/>
        <v>-0.9628497934671143</v>
      </c>
      <c r="K266" s="77">
        <f t="shared" si="277"/>
        <v>2.214219159258155</v>
      </c>
      <c r="L266" s="91">
        <f t="shared" si="278"/>
        <v>2.4145074466659979</v>
      </c>
      <c r="M266" s="28"/>
      <c r="N266" s="28"/>
      <c r="O266" s="28"/>
      <c r="P266" s="31"/>
      <c r="AF266" s="7"/>
      <c r="AG266" s="7"/>
      <c r="AH266" s="7"/>
      <c r="AI266" s="7"/>
      <c r="AJ266" s="7"/>
      <c r="AK266" s="7"/>
      <c r="AL266" s="7"/>
      <c r="AM266" s="7"/>
      <c r="AN266" s="7"/>
      <c r="AR266" s="92"/>
      <c r="AS266" s="7"/>
      <c r="AT266" s="123"/>
      <c r="AU266" s="123"/>
      <c r="AV266" s="123"/>
      <c r="AW266" s="123"/>
      <c r="AX266" s="123"/>
      <c r="AY266" s="123"/>
      <c r="AZ266" s="7"/>
    </row>
    <row r="267" spans="1:52" s="18" customFormat="1">
      <c r="A267" s="20">
        <f>A266-$F$249</f>
        <v>2.7268132724351015</v>
      </c>
      <c r="B267" s="26">
        <f t="shared" si="268"/>
        <v>-0.91520524952021232</v>
      </c>
      <c r="C267" s="26">
        <f t="shared" si="269"/>
        <v>-0.70759132719287332</v>
      </c>
      <c r="D267" s="26">
        <f t="shared" si="270"/>
        <v>1.3820974834234814</v>
      </c>
      <c r="E267" s="26">
        <f t="shared" si="271"/>
        <v>0.40298802866914796</v>
      </c>
      <c r="F267" s="77">
        <f t="shared" si="272"/>
        <v>0.96938199519094792</v>
      </c>
      <c r="G267" s="77">
        <f t="shared" si="273"/>
        <v>1.8227396558812215E-2</v>
      </c>
      <c r="H267" s="138">
        <f t="shared" si="274"/>
        <v>1.2708855128228567</v>
      </c>
      <c r="I267" s="138">
        <f t="shared" si="275"/>
        <v>0.12917049342339165</v>
      </c>
      <c r="J267" s="77">
        <f t="shared" si="276"/>
        <v>-0.96056036728474226</v>
      </c>
      <c r="K267" s="77">
        <f t="shared" si="277"/>
        <v>2.1814789226451348</v>
      </c>
      <c r="L267" s="91">
        <f t="shared" si="278"/>
        <v>2.3835952905523157</v>
      </c>
      <c r="M267" s="45"/>
      <c r="N267" s="28"/>
      <c r="O267" s="28"/>
      <c r="P267" s="31"/>
      <c r="AF267" s="7"/>
      <c r="AG267" s="7"/>
      <c r="AH267" s="7"/>
      <c r="AI267" s="7"/>
      <c r="AJ267" s="7"/>
      <c r="AK267" s="7"/>
      <c r="AL267" s="7"/>
      <c r="AM267" s="7"/>
      <c r="AN267" s="7"/>
      <c r="AR267" s="92"/>
      <c r="AS267" s="7"/>
      <c r="AT267" s="123"/>
      <c r="AU267" s="123"/>
      <c r="AV267" s="123"/>
      <c r="AW267" s="123"/>
      <c r="AX267" s="123"/>
      <c r="AY267" s="123"/>
      <c r="AZ267" s="7"/>
    </row>
    <row r="268" spans="1:52" s="18" customFormat="1">
      <c r="A268" s="20">
        <f>A267-$F$249</f>
        <v>2.7222166133317729</v>
      </c>
      <c r="B268" s="26">
        <f t="shared" si="268"/>
        <v>-0.91334318865836284</v>
      </c>
      <c r="C268" s="26">
        <f t="shared" si="269"/>
        <v>-0.70572926633102395</v>
      </c>
      <c r="D268" s="26">
        <f t="shared" si="270"/>
        <v>1.3788452755505816</v>
      </c>
      <c r="E268" s="26">
        <f t="shared" si="271"/>
        <v>0.4071906429811154</v>
      </c>
      <c r="F268" s="77">
        <f t="shared" si="272"/>
        <v>0.95460079197067349</v>
      </c>
      <c r="G268" s="77">
        <f t="shared" si="273"/>
        <v>2.7026887394109245E-2</v>
      </c>
      <c r="H268" s="138">
        <f t="shared" si="274"/>
        <v>1.2626583748821865</v>
      </c>
      <c r="I268" s="138">
        <f t="shared" si="275"/>
        <v>0.14773957990120343</v>
      </c>
      <c r="J268" s="77">
        <f t="shared" si="276"/>
        <v>-0.95830007665665939</v>
      </c>
      <c r="K268" s="77">
        <f t="shared" si="277"/>
        <v>2.1495013767930304</v>
      </c>
      <c r="L268" s="91">
        <f t="shared" si="278"/>
        <v>2.3534432658883646</v>
      </c>
      <c r="M268" s="45"/>
      <c r="N268" s="28"/>
      <c r="O268" s="28"/>
      <c r="P268" s="31"/>
      <c r="AF268" s="7"/>
      <c r="AG268" s="7"/>
      <c r="AH268" s="7"/>
      <c r="AI268" s="7"/>
      <c r="AJ268" s="7"/>
      <c r="AK268" s="7"/>
      <c r="AL268" s="7"/>
      <c r="AM268" s="7"/>
      <c r="AN268" s="7"/>
      <c r="AR268" s="92"/>
      <c r="AS268" s="7"/>
      <c r="AT268" s="123"/>
      <c r="AU268" s="123"/>
      <c r="AV268" s="123"/>
      <c r="AW268" s="123"/>
      <c r="AX268" s="123"/>
      <c r="AY268" s="123"/>
      <c r="AZ268" s="7"/>
    </row>
    <row r="269" spans="1:52" s="18" customFormat="1">
      <c r="A269" s="20">
        <f>A268-$F$249</f>
        <v>2.7176199542284443</v>
      </c>
      <c r="B269" s="26">
        <f t="shared" si="268"/>
        <v>-0.91146182955117094</v>
      </c>
      <c r="C269" s="26">
        <f t="shared" si="269"/>
        <v>-0.70384790722383195</v>
      </c>
      <c r="D269" s="26">
        <f t="shared" si="270"/>
        <v>1.3756339637272643</v>
      </c>
      <c r="E269" s="26">
        <f t="shared" si="271"/>
        <v>0.41138465366519472</v>
      </c>
      <c r="F269" s="77">
        <f t="shared" si="272"/>
        <v>0.94015518045685909</v>
      </c>
      <c r="G269" s="77">
        <f t="shared" si="273"/>
        <v>3.5626595024927613E-2</v>
      </c>
      <c r="H269" s="138">
        <f t="shared" si="274"/>
        <v>1.2546368487430728</v>
      </c>
      <c r="I269" s="138">
        <f t="shared" si="275"/>
        <v>0.16562217765166598</v>
      </c>
      <c r="J269" s="77">
        <f t="shared" si="276"/>
        <v>-0.95606820886045296</v>
      </c>
      <c r="K269" s="77">
        <f t="shared" si="277"/>
        <v>2.1182600543307188</v>
      </c>
      <c r="L269" s="91">
        <f t="shared" si="278"/>
        <v>2.3240249735678002</v>
      </c>
      <c r="M269" s="45"/>
      <c r="N269" s="28"/>
      <c r="O269" s="28"/>
      <c r="P269" s="89"/>
      <c r="AF269" s="7"/>
      <c r="AG269" s="7"/>
      <c r="AH269" s="7"/>
      <c r="AI269" s="7"/>
      <c r="AJ269" s="7"/>
      <c r="AK269" s="7"/>
      <c r="AL269" s="7"/>
      <c r="AM269" s="7"/>
      <c r="AN269" s="7"/>
      <c r="AR269" s="92"/>
      <c r="AS269" s="7"/>
      <c r="AT269" s="123"/>
      <c r="AU269" s="123"/>
      <c r="AV269" s="123"/>
      <c r="AW269" s="123"/>
      <c r="AX269" s="123"/>
      <c r="AY269" s="123"/>
      <c r="AZ269" s="7"/>
    </row>
    <row r="270" spans="1:52" s="18" customFormat="1">
      <c r="A270" s="20">
        <f>A269-$F$249</f>
        <v>2.7130232951251156</v>
      </c>
      <c r="B270" s="26">
        <f t="shared" si="268"/>
        <v>-0.90956121195032036</v>
      </c>
      <c r="C270" s="26">
        <f t="shared" si="269"/>
        <v>-0.70194728962298147</v>
      </c>
      <c r="D270" s="26">
        <f t="shared" si="270"/>
        <v>1.3724625578806675</v>
      </c>
      <c r="E270" s="26">
        <f t="shared" si="271"/>
        <v>0.41556997210513713</v>
      </c>
      <c r="F270" s="77">
        <f t="shared" si="272"/>
        <v>0.92603364159854484</v>
      </c>
      <c r="G270" s="77">
        <f t="shared" si="273"/>
        <v>4.4033376929771759E-2</v>
      </c>
      <c r="H270" s="138">
        <f t="shared" si="274"/>
        <v>1.246813448358137</v>
      </c>
      <c r="I270" s="138">
        <f t="shared" si="275"/>
        <v>0.18285057087562068</v>
      </c>
      <c r="J270" s="77">
        <f t="shared" si="276"/>
        <v>-0.95386407579360821</v>
      </c>
      <c r="K270" s="77">
        <f t="shared" si="277"/>
        <v>2.0877296798412774</v>
      </c>
      <c r="L270" s="91">
        <f t="shared" si="278"/>
        <v>2.2953152051907288</v>
      </c>
      <c r="M270" s="45"/>
      <c r="N270" s="28"/>
      <c r="O270" s="28"/>
      <c r="P270" s="28"/>
      <c r="AF270" s="7"/>
      <c r="AG270" s="7"/>
      <c r="AH270" s="7"/>
      <c r="AI270" s="7"/>
      <c r="AJ270" s="7"/>
      <c r="AK270" s="7"/>
      <c r="AL270" s="7"/>
      <c r="AM270" s="7"/>
      <c r="AN270" s="7"/>
      <c r="AR270" s="92"/>
      <c r="AS270" s="7"/>
      <c r="AT270" s="123"/>
      <c r="AU270" s="123"/>
      <c r="AV270" s="123"/>
      <c r="AW270" s="123"/>
      <c r="AX270" s="123"/>
      <c r="AY270" s="123"/>
      <c r="AZ270" s="7"/>
    </row>
    <row r="271" spans="1:52" s="18" customFormat="1">
      <c r="A271" s="94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AF271" s="7"/>
      <c r="AG271" s="7"/>
      <c r="AH271" s="7"/>
      <c r="AI271" s="7"/>
      <c r="AJ271" s="7"/>
      <c r="AK271" s="7"/>
      <c r="AL271" s="7"/>
      <c r="AM271" s="7"/>
      <c r="AN271" s="7"/>
      <c r="AR271" s="92"/>
      <c r="AS271" s="7"/>
      <c r="AT271" s="123"/>
      <c r="AU271" s="123"/>
      <c r="AV271" s="123"/>
      <c r="AW271" s="123"/>
      <c r="AX271" s="123"/>
      <c r="AY271" s="123"/>
      <c r="AZ271" s="7"/>
    </row>
    <row r="272" spans="1:52" s="18" customFormat="1">
      <c r="A272" s="88" t="s">
        <v>73</v>
      </c>
      <c r="B272" s="88"/>
      <c r="C272" s="23" t="str">
        <f>CONCATENATE("m",Stufengrün!AH50)</f>
        <v>m2</v>
      </c>
      <c r="D272" s="23" t="s">
        <v>30</v>
      </c>
      <c r="E272" s="28"/>
      <c r="F272" s="28"/>
      <c r="G272" s="28"/>
      <c r="H272" s="36" t="s">
        <v>57</v>
      </c>
      <c r="I272" s="36" t="s">
        <v>51</v>
      </c>
      <c r="J272" s="36" t="s">
        <v>58</v>
      </c>
      <c r="K272" s="36" t="s">
        <v>59</v>
      </c>
      <c r="L272" s="28"/>
      <c r="M272" s="28"/>
      <c r="N272" s="28"/>
      <c r="O272" s="28"/>
      <c r="P272" s="28"/>
      <c r="AF272" s="7"/>
      <c r="AG272" s="7"/>
      <c r="AH272" s="7"/>
      <c r="AI272" s="7"/>
      <c r="AJ272" s="7"/>
      <c r="AK272" s="7"/>
      <c r="AL272" s="7"/>
      <c r="AM272" s="7"/>
      <c r="AN272" s="7"/>
      <c r="AR272" s="92"/>
      <c r="AS272" s="7"/>
      <c r="AT272" s="123"/>
      <c r="AU272" s="123"/>
      <c r="AV272" s="123"/>
      <c r="AW272" s="123"/>
      <c r="AX272" s="123"/>
      <c r="AY272" s="123"/>
      <c r="AZ272" s="7"/>
    </row>
    <row r="273" spans="1:52" s="18" customFormat="1">
      <c r="A273" s="88" t="s">
        <v>69</v>
      </c>
      <c r="B273" s="88"/>
      <c r="C273" s="36">
        <f>Stufengrün!AI50</f>
        <v>0.26129405619084795</v>
      </c>
      <c r="D273" s="26">
        <f>Stufengrün!AK50</f>
        <v>0.27035186996590777</v>
      </c>
      <c r="E273" s="28"/>
      <c r="F273" s="28"/>
      <c r="G273" s="28"/>
      <c r="H273" s="78">
        <f>H262</f>
        <v>1.2466453987438619</v>
      </c>
      <c r="I273" s="78">
        <f>I262</f>
        <v>0.18321833372345692</v>
      </c>
      <c r="J273" s="78">
        <f>J262</f>
        <v>-0.95381642825860935</v>
      </c>
      <c r="K273" s="78">
        <f>K262</f>
        <v>2.0870732123401288</v>
      </c>
      <c r="L273" s="28"/>
      <c r="M273" s="28"/>
      <c r="N273" s="28"/>
      <c r="O273" s="28"/>
      <c r="P273" s="28"/>
      <c r="AF273" s="7"/>
      <c r="AG273" s="7"/>
      <c r="AH273" s="7"/>
      <c r="AI273" s="7"/>
      <c r="AJ273" s="7"/>
      <c r="AK273" s="7"/>
      <c r="AL273" s="7"/>
      <c r="AM273" s="7"/>
      <c r="AN273" s="7"/>
      <c r="AR273" s="92"/>
      <c r="AS273" s="7"/>
      <c r="AT273" s="123"/>
      <c r="AU273" s="123"/>
      <c r="AV273" s="123"/>
      <c r="AW273" s="123"/>
      <c r="AX273" s="123"/>
      <c r="AY273" s="123"/>
      <c r="AZ273" s="7"/>
    </row>
    <row r="274" spans="1:52" s="18" customFormat="1">
      <c r="A274" s="95"/>
      <c r="B274" s="95"/>
      <c r="C274" s="28"/>
      <c r="D274" s="28"/>
      <c r="E274" s="28"/>
      <c r="F274" s="28"/>
      <c r="G274" s="28"/>
      <c r="H274" s="37" t="s">
        <v>8</v>
      </c>
      <c r="I274" s="37" t="s">
        <v>8</v>
      </c>
      <c r="J274" s="37" t="s">
        <v>9</v>
      </c>
      <c r="K274" s="37" t="s">
        <v>9</v>
      </c>
      <c r="L274" s="28"/>
      <c r="M274" s="28"/>
      <c r="N274" s="28"/>
      <c r="O274" s="28"/>
      <c r="P274" s="28"/>
      <c r="AF274" s="7"/>
      <c r="AG274" s="7"/>
      <c r="AH274" s="7"/>
      <c r="AI274" s="7"/>
      <c r="AJ274" s="7"/>
      <c r="AK274" s="7"/>
      <c r="AL274" s="7"/>
      <c r="AM274" s="7"/>
      <c r="AN274" s="7"/>
      <c r="AR274" s="92"/>
      <c r="AS274" s="7"/>
      <c r="AT274" s="123"/>
      <c r="AU274" s="123"/>
      <c r="AV274" s="123"/>
      <c r="AW274" s="123"/>
      <c r="AX274" s="123"/>
      <c r="AY274" s="123"/>
      <c r="AZ274" s="7"/>
    </row>
    <row r="275" spans="1:52" s="18" customFormat="1">
      <c r="A275" s="88" t="s">
        <v>68</v>
      </c>
      <c r="B275" s="88"/>
      <c r="C275" s="115" t="s">
        <v>15</v>
      </c>
      <c r="D275" s="115" t="s">
        <v>55</v>
      </c>
      <c r="E275" s="115" t="s">
        <v>12</v>
      </c>
      <c r="F275" s="115" t="s">
        <v>10</v>
      </c>
      <c r="G275" s="115" t="s">
        <v>14</v>
      </c>
      <c r="H275" s="115" t="s">
        <v>21</v>
      </c>
      <c r="I275" s="115" t="s">
        <v>16</v>
      </c>
      <c r="J275" s="115" t="s">
        <v>17</v>
      </c>
      <c r="K275" s="115" t="s">
        <v>23</v>
      </c>
      <c r="L275" s="28"/>
      <c r="M275" s="28"/>
      <c r="N275" s="28"/>
      <c r="O275" s="28"/>
      <c r="P275" s="28"/>
      <c r="AF275" s="7"/>
      <c r="AG275" s="7"/>
      <c r="AH275" s="7"/>
      <c r="AI275" s="7"/>
      <c r="AJ275" s="7"/>
      <c r="AK275" s="7"/>
      <c r="AL275" s="7"/>
      <c r="AM275" s="7"/>
      <c r="AN275" s="7"/>
      <c r="AR275" s="92"/>
      <c r="AS275" s="7"/>
      <c r="AT275" s="123"/>
      <c r="AU275" s="123"/>
      <c r="AV275" s="123"/>
      <c r="AW275" s="123"/>
      <c r="AX275" s="123"/>
      <c r="AY275" s="123"/>
      <c r="AZ275" s="7"/>
    </row>
    <row r="276" spans="1:52" s="18" customFormat="1">
      <c r="A276" s="28"/>
      <c r="B276" s="28"/>
      <c r="C276" s="23">
        <f>Mü/TAN($C273)</f>
        <v>0.26177261284076359</v>
      </c>
      <c r="D276" s="42">
        <f>SQRT($J273*$J273+$K273*$K273)</f>
        <v>2.294698318403479</v>
      </c>
      <c r="E276" s="20">
        <f>ATAN($J273/$K273)+PI()</f>
        <v>2.7129232951251145</v>
      </c>
      <c r="F276" s="23">
        <f>($E276-A289-0.0001)/5</f>
        <v>4.147881438727772E-3</v>
      </c>
      <c r="G276" s="23">
        <f>COS($E276)</f>
        <v>-0.90951965040537253</v>
      </c>
      <c r="H276" s="23">
        <f>SIN($E276)</f>
        <v>0.41566092614833172</v>
      </c>
      <c r="I276" s="23">
        <f>$C276+$G276</f>
        <v>-0.64774703756460894</v>
      </c>
      <c r="J276" s="23">
        <f>POWER(TAN($E276/2),$C276)</f>
        <v>1.4905339744915325</v>
      </c>
      <c r="K276" s="23">
        <f>-$D276*$D276*SIN($E276)*SIN($E276)/(2*9.81*SIN($C273)*POWER(TAN($E276/2),2*$C276))</f>
        <v>-8.0792394306084273E-2</v>
      </c>
      <c r="L276" s="28"/>
      <c r="M276" s="28"/>
      <c r="N276" s="28"/>
      <c r="O276" s="28"/>
      <c r="P276" s="28"/>
      <c r="AF276" s="7"/>
      <c r="AG276" s="7"/>
      <c r="AH276" s="7"/>
      <c r="AI276" s="7"/>
      <c r="AJ276" s="7"/>
      <c r="AK276" s="7"/>
      <c r="AL276" s="7"/>
      <c r="AM276" s="7"/>
      <c r="AN276" s="7"/>
      <c r="AR276" s="92"/>
      <c r="AS276" s="7"/>
      <c r="AT276" s="123"/>
      <c r="AU276" s="123"/>
      <c r="AV276" s="123"/>
      <c r="AW276" s="123"/>
      <c r="AX276" s="123"/>
      <c r="AY276" s="123"/>
      <c r="AZ276" s="7"/>
    </row>
    <row r="277" spans="1:52" s="18" customFormat="1">
      <c r="A277" s="88" t="s">
        <v>70</v>
      </c>
      <c r="B277" s="8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45"/>
      <c r="N277" s="28"/>
      <c r="O277" s="28"/>
      <c r="P277" s="28"/>
      <c r="AF277" s="7"/>
      <c r="AG277" s="7"/>
      <c r="AH277" s="7"/>
      <c r="AI277" s="7"/>
      <c r="AJ277" s="7"/>
      <c r="AK277" s="7"/>
      <c r="AL277" s="7"/>
      <c r="AM277" s="7"/>
      <c r="AN277" s="7"/>
      <c r="AR277" s="92"/>
      <c r="AS277" s="7"/>
      <c r="AT277" s="123"/>
      <c r="AU277" s="123"/>
      <c r="AV277" s="123"/>
      <c r="AW277" s="123"/>
      <c r="AX277" s="123"/>
      <c r="AY277" s="123"/>
      <c r="AZ277" s="7"/>
    </row>
    <row r="278" spans="1:52" s="18" customFormat="1">
      <c r="A278" s="115" t="s">
        <v>11</v>
      </c>
      <c r="B278" s="115" t="s">
        <v>13</v>
      </c>
      <c r="C278" s="117" t="s">
        <v>22</v>
      </c>
      <c r="D278" s="117" t="s">
        <v>18</v>
      </c>
      <c r="E278" s="115" t="s">
        <v>19</v>
      </c>
      <c r="F278" s="117" t="s">
        <v>20</v>
      </c>
      <c r="G278" s="117" t="s">
        <v>2</v>
      </c>
      <c r="H278" s="117" t="s">
        <v>65</v>
      </c>
      <c r="I278" s="117" t="s">
        <v>66</v>
      </c>
      <c r="J278" s="118" t="s">
        <v>3</v>
      </c>
      <c r="K278" s="118" t="s">
        <v>4</v>
      </c>
      <c r="L278" s="116" t="s">
        <v>7</v>
      </c>
      <c r="M278" s="93"/>
      <c r="N278" s="117" t="s">
        <v>61</v>
      </c>
      <c r="O278" s="117" t="s">
        <v>62</v>
      </c>
      <c r="P278" s="115" t="s">
        <v>63</v>
      </c>
      <c r="AF278" s="7"/>
      <c r="AG278" s="7"/>
      <c r="AH278" s="7"/>
      <c r="AI278" s="7"/>
      <c r="AJ278" s="7"/>
      <c r="AK278" s="7"/>
      <c r="AL278" s="7"/>
      <c r="AM278" s="7"/>
      <c r="AN278" s="7"/>
      <c r="AR278" s="92"/>
      <c r="AS278" s="7"/>
      <c r="AT278" s="123"/>
      <c r="AU278" s="123"/>
      <c r="AV278" s="123"/>
      <c r="AW278" s="123"/>
      <c r="AX278" s="123"/>
      <c r="AY278" s="123"/>
      <c r="AZ278" s="7"/>
    </row>
    <row r="279" spans="1:52" s="18" customFormat="1">
      <c r="A279" s="19">
        <f>$E276</f>
        <v>2.7129232951251145</v>
      </c>
      <c r="B279" s="26">
        <f>COS(A279)</f>
        <v>-0.90951965040537253</v>
      </c>
      <c r="C279" s="26">
        <f>($C$276+B279)</f>
        <v>-0.64774703756460894</v>
      </c>
      <c r="D279" s="26">
        <f>POWER(TAN(A279/2),$C$276)</f>
        <v>1.4905339744915325</v>
      </c>
      <c r="E279" s="26">
        <f>SIN(A279)</f>
        <v>0.41566092614833172</v>
      </c>
      <c r="F279" s="77">
        <f>(C279*$H$276*D279/E279/$I$276/$J$276)</f>
        <v>1</v>
      </c>
      <c r="G279" s="77">
        <f>$D$276*($C$276+$G$276)/9.81/SIN($C$273)/(1-$C$276*$C$273)*(F279-1)</f>
        <v>0</v>
      </c>
      <c r="H279" s="75">
        <f>-(-$H$273+$K$276*((POWER(TAN(A279/2),2*$C$276-1)/(2*$C$276-1))+(POWER(TAN(A279/2),2*$C$276+1)/(2*$C$276+1))-(POWER(TAN($E$276/2),2*$C$276-1)/(2*$C$276-1))-(POWER(TAN($E$276/2),2*$C$276+1)/(2*$C$276+1))))</f>
        <v>1.2466453987438619</v>
      </c>
      <c r="I279" s="75">
        <f>-(-$I$273+0.5*$K$276*((POWER(TAN(A279/2),2*$C$276-2)/(2*$C$276-2))-(POWER(TAN(A279/2),2*$C$276+2)/(2*$C$276+2))-(POWER(TAN($E$276/2),2*$C$276-2)/(2*$C$276-2))+(POWER(TAN($E$276/2),2*$C$276+2)/(2*$C$276+2))))</f>
        <v>0.18321833372345692</v>
      </c>
      <c r="J279" s="77">
        <f>-$D$276*SIN(A279)*($C$276+$G$276)/($C$276+B279)*F279</f>
        <v>-0.95381642825860957</v>
      </c>
      <c r="K279" s="77">
        <f>-$D$276*COS(A279)*($C$276+$G$276)/($C$276+B279)*F279</f>
        <v>2.0870732123401283</v>
      </c>
      <c r="L279" s="91">
        <f>SQRT(J279*J279+K279*K279)</f>
        <v>2.294698318403479</v>
      </c>
      <c r="M279" s="93"/>
      <c r="N279" s="75">
        <f>-(-$I$273+0.5*$K$276*((POWER(TAN(A279/2),2*$C$276-2)/(2*$C$276-2))-(POWER(TAN(A279/2),2*$C$276+2)/(2*$C$276+2))-(POWER(TAN($E$276/2),2*$C$276-2)/(2*$C$276-2))+(POWER(TAN($E$276/2),2*$C$276+2)/(2*$C$276+2))))-$D$273</f>
        <v>-8.7133536242450849E-2</v>
      </c>
      <c r="O279" s="75">
        <f>-(-$I$273+0.5*$K$276*((POWER(TAN((A279+$M$9)/2),2*$C$276-2)/(2*$C$276-2))-(POWER(TAN((A279+$M$9)/2),2*$C$276+2)/(2*$C$276+2))-(POWER(TAN($E$276/2),2*$C$276-2)/(2*$C$276-2))+(POWER(TAN($E$276/2),2*$C$276+2)/(2*$C$276+2))))-$D$273</f>
        <v>-0.1009443139450163</v>
      </c>
      <c r="P279" s="75">
        <f>A279-N279/(O279-N279)*$M$9</f>
        <v>2.693996004109577</v>
      </c>
      <c r="AF279" s="7"/>
      <c r="AG279" s="7"/>
      <c r="AH279" s="7"/>
      <c r="AI279" s="7"/>
      <c r="AJ279" s="7"/>
      <c r="AK279" s="7"/>
      <c r="AL279" s="7"/>
      <c r="AM279" s="7"/>
      <c r="AN279" s="7"/>
      <c r="AR279" s="92"/>
      <c r="AS279" s="7"/>
      <c r="AT279" s="123"/>
      <c r="AU279" s="123"/>
      <c r="AV279" s="123"/>
      <c r="AW279" s="123"/>
      <c r="AX279" s="123"/>
      <c r="AY279" s="123"/>
      <c r="AZ279" s="7"/>
    </row>
    <row r="280" spans="1:52" s="18" customFormat="1">
      <c r="A280" s="19">
        <f>P279</f>
        <v>2.693996004109577</v>
      </c>
      <c r="B280" s="26">
        <f t="shared" ref="B280:B289" si="279">COS(A280)</f>
        <v>-0.90148987545663262</v>
      </c>
      <c r="C280" s="26">
        <f t="shared" ref="C280:C289" si="280">($C$276+B280)</f>
        <v>-0.63971726261586903</v>
      </c>
      <c r="D280" s="26">
        <f t="shared" ref="D280:D289" si="281">POWER(TAN(A280/2),$C$276)</f>
        <v>1.4732252596651734</v>
      </c>
      <c r="E280" s="26">
        <f t="shared" ref="E280:E289" si="282">SIN(A280)</f>
        <v>0.43280018998284314</v>
      </c>
      <c r="F280" s="77">
        <f t="shared" ref="F280:F289" si="283">(C280*$H$276*D280/E280/$I$276/$J$276)</f>
        <v>0.9374792631090223</v>
      </c>
      <c r="G280" s="77">
        <f t="shared" ref="G280:G289" si="284">$D$276*($C$276+$G$276)/9.81/SIN($C$273)/(1-$C$276*$C$273)*(F280-1)</f>
        <v>3.9362267145172061E-2</v>
      </c>
      <c r="H280" s="75">
        <f t="shared" ref="H280:H289" si="285">-(-$H$273+$K$276*((POWER(TAN(A280/2),2*$C$276-1)/(2*$C$276-1))+(POWER(TAN(A280/2),2*$C$276+1)/(2*$C$276+1))-(POWER(TAN($E$276/2),2*$C$276-1)/(2*$C$276-1))-(POWER(TAN($E$276/2),2*$C$276+1)/(2*$C$276+1))))</f>
        <v>1.2093125241423945</v>
      </c>
      <c r="I280" s="75">
        <f t="shared" ref="I280:I289" si="286">-(-$I$273+0.5*$K$276*((POWER(TAN(A280/2),2*$C$276-2)/(2*$C$276-2))-(POWER(TAN(A280/2),2*$C$276+2)/(2*$C$276+2))-(POWER(TAN($E$276/2),2*$C$276-2)/(2*$C$276-2))+(POWER(TAN($E$276/2),2*$C$276+2)/(2*$C$276+2))))</f>
        <v>0.26295131744158562</v>
      </c>
      <c r="J280" s="77">
        <f t="shared" ref="J280:J289" si="287">-$D$276*SIN(A280)*($C$276+$G$276)/($C$276+B280)*F280</f>
        <v>-0.94274030598567926</v>
      </c>
      <c r="K280" s="77">
        <f t="shared" ref="K280:K289" si="288">-$D$276*COS(A280)*($C$276+$G$276)/($C$276+B280)*F280</f>
        <v>1.9636563492836452</v>
      </c>
      <c r="L280" s="91">
        <f t="shared" ref="L280:L289" si="289">SQRT(J280*J280+K280*K280)</f>
        <v>2.1782345012904245</v>
      </c>
      <c r="M280" s="93"/>
      <c r="N280" s="75">
        <f t="shared" ref="N280:N289" si="290">-(-$I$273+0.5*$K$276*((POWER(TAN(A280/2),2*$C$276-2)/(2*$C$276-2))-(POWER(TAN(A280/2),2*$C$276+2)/(2*$C$276+2))-(POWER(TAN($E$276/2),2*$C$276-2)/(2*$C$276-2))+(POWER(TAN($E$276/2),2*$C$276+2)/(2*$C$276+2))))-$D$273</f>
        <v>-7.4005525243221459E-3</v>
      </c>
      <c r="O280" s="75">
        <f t="shared" ref="O280:O289" si="291">-(-$I$273+0.5*$K$276*((POWER(TAN((A280+$M$9)/2),2*$C$276-2)/(2*$C$276-2))-(POWER(TAN((A280+$M$9)/2),2*$C$276+2)/(2*$C$276+2))-(POWER(TAN($E$276/2),2*$C$276-2)/(2*$C$276-2))+(POWER(TAN($E$276/2),2*$C$276+2)/(2*$C$276+2))))-$D$273</f>
        <v>-1.9240552575925607E-2</v>
      </c>
      <c r="P280" s="75">
        <f t="shared" ref="P280:P289" si="292">A280-N280/(O280-N280)*$M$9</f>
        <v>2.6921208641200329</v>
      </c>
      <c r="AF280" s="7"/>
      <c r="AG280" s="7"/>
      <c r="AH280" s="7"/>
      <c r="AI280" s="7"/>
      <c r="AJ280" s="7"/>
      <c r="AK280" s="7"/>
      <c r="AL280" s="7"/>
      <c r="AM280" s="7"/>
      <c r="AN280" s="7"/>
      <c r="AR280" s="92"/>
      <c r="AS280" s="7"/>
      <c r="AT280" s="123"/>
      <c r="AU280" s="123"/>
      <c r="AV280" s="123"/>
      <c r="AW280" s="123"/>
      <c r="AX280" s="123"/>
      <c r="AY280" s="123"/>
      <c r="AZ280" s="7"/>
    </row>
    <row r="281" spans="1:52" s="18" customFormat="1">
      <c r="A281" s="19">
        <f t="shared" ref="A281:A289" si="293">P280</f>
        <v>2.6921208641200329</v>
      </c>
      <c r="B281" s="26">
        <f t="shared" si="279"/>
        <v>-0.90067673010216887</v>
      </c>
      <c r="C281" s="26">
        <f t="shared" si="280"/>
        <v>-0.63890411726140528</v>
      </c>
      <c r="D281" s="26">
        <f t="shared" si="281"/>
        <v>1.4715585983872681</v>
      </c>
      <c r="E281" s="26">
        <f t="shared" si="282"/>
        <v>0.43448984781288608</v>
      </c>
      <c r="F281" s="77">
        <f t="shared" si="283"/>
        <v>0.93159146320550423</v>
      </c>
      <c r="G281" s="77">
        <f t="shared" si="284"/>
        <v>4.3069151680198085E-2</v>
      </c>
      <c r="H281" s="75">
        <f t="shared" si="285"/>
        <v>1.2058194004138179</v>
      </c>
      <c r="I281" s="75">
        <f t="shared" si="286"/>
        <v>0.27020981896338092</v>
      </c>
      <c r="J281" s="77">
        <f t="shared" si="287"/>
        <v>-0.94167378289099402</v>
      </c>
      <c r="K281" s="77">
        <f t="shared" si="288"/>
        <v>1.9520448357229625</v>
      </c>
      <c r="L281" s="91">
        <f t="shared" si="289"/>
        <v>2.1673090582694758</v>
      </c>
      <c r="M281" s="93"/>
      <c r="N281" s="75">
        <f t="shared" si="290"/>
        <v>-1.4205100252684399E-4</v>
      </c>
      <c r="O281" s="75">
        <f t="shared" si="291"/>
        <v>-1.1806891385339024E-2</v>
      </c>
      <c r="P281" s="75">
        <f t="shared" si="292"/>
        <v>2.6920843310005393</v>
      </c>
      <c r="AF281" s="7"/>
      <c r="AG281" s="7"/>
      <c r="AH281" s="7"/>
      <c r="AI281" s="7"/>
      <c r="AJ281" s="7"/>
      <c r="AK281" s="7"/>
      <c r="AL281" s="7"/>
      <c r="AM281" s="7"/>
      <c r="AN281" s="7"/>
      <c r="AR281" s="92"/>
      <c r="AS281" s="7"/>
      <c r="AT281" s="123"/>
      <c r="AU281" s="123"/>
      <c r="AV281" s="123"/>
      <c r="AW281" s="123"/>
      <c r="AX281" s="123"/>
      <c r="AY281" s="123"/>
      <c r="AZ281" s="7"/>
    </row>
    <row r="282" spans="1:52" s="18" customFormat="1">
      <c r="A282" s="19">
        <f t="shared" si="293"/>
        <v>2.6920843310005393</v>
      </c>
      <c r="B282" s="26">
        <f t="shared" si="279"/>
        <v>-0.90066085623159087</v>
      </c>
      <c r="C282" s="26">
        <f t="shared" si="280"/>
        <v>-0.63888824339082728</v>
      </c>
      <c r="D282" s="26">
        <f t="shared" si="281"/>
        <v>1.4715262101233859</v>
      </c>
      <c r="E282" s="26">
        <f t="shared" si="282"/>
        <v>0.43452275205353469</v>
      </c>
      <c r="F282" s="77">
        <f t="shared" si="283"/>
        <v>0.93147727256226731</v>
      </c>
      <c r="G282" s="77">
        <f t="shared" si="284"/>
        <v>4.3141044668478255E-2</v>
      </c>
      <c r="H282" s="75">
        <f t="shared" si="285"/>
        <v>1.2057516923118294</v>
      </c>
      <c r="I282" s="75">
        <f t="shared" si="286"/>
        <v>0.27035016807832729</v>
      </c>
      <c r="J282" s="77">
        <f t="shared" si="287"/>
        <v>-0.94165305712512581</v>
      </c>
      <c r="K282" s="77">
        <f t="shared" si="288"/>
        <v>1.9518196566124131</v>
      </c>
      <c r="L282" s="91">
        <f t="shared" si="289"/>
        <v>2.1670972409958198</v>
      </c>
      <c r="M282" s="93"/>
      <c r="N282" s="75">
        <f t="shared" si="290"/>
        <v>-1.7018875804741818E-6</v>
      </c>
      <c r="O282" s="75">
        <f t="shared" si="291"/>
        <v>-1.1663162571295127E-2</v>
      </c>
      <c r="P282" s="75">
        <f t="shared" si="292"/>
        <v>2.6920838931769357</v>
      </c>
      <c r="AF282" s="7"/>
      <c r="AG282" s="7"/>
      <c r="AH282" s="7"/>
      <c r="AI282" s="7"/>
      <c r="AJ282" s="7"/>
      <c r="AK282" s="7"/>
      <c r="AL282" s="7"/>
      <c r="AM282" s="7"/>
      <c r="AN282" s="7"/>
      <c r="AR282" s="92"/>
      <c r="AS282" s="7"/>
      <c r="AT282" s="123"/>
      <c r="AU282" s="123"/>
      <c r="AV282" s="123"/>
      <c r="AW282" s="123"/>
      <c r="AX282" s="123"/>
      <c r="AY282" s="123"/>
      <c r="AZ282" s="7"/>
    </row>
    <row r="283" spans="1:52" s="18" customFormat="1">
      <c r="A283" s="19">
        <f t="shared" si="293"/>
        <v>2.6920838931769357</v>
      </c>
      <c r="B283" s="26">
        <f t="shared" si="279"/>
        <v>-0.90066066598718741</v>
      </c>
      <c r="C283" s="26">
        <f t="shared" si="280"/>
        <v>-0.63888805314642383</v>
      </c>
      <c r="D283" s="26">
        <f t="shared" si="281"/>
        <v>1.471525821992141</v>
      </c>
      <c r="E283" s="26">
        <f t="shared" si="282"/>
        <v>0.43452314638407469</v>
      </c>
      <c r="F283" s="77">
        <f t="shared" si="283"/>
        <v>0.93147590418826587</v>
      </c>
      <c r="G283" s="77">
        <f t="shared" si="284"/>
        <v>4.3141906179485288E-2</v>
      </c>
      <c r="H283" s="75">
        <f t="shared" si="285"/>
        <v>1.2057508809583595</v>
      </c>
      <c r="I283" s="75">
        <f t="shared" si="286"/>
        <v>0.27035184981742821</v>
      </c>
      <c r="J283" s="77">
        <f t="shared" si="287"/>
        <v>-0.94165280875376089</v>
      </c>
      <c r="K283" s="77">
        <f t="shared" si="288"/>
        <v>1.9518169582414475</v>
      </c>
      <c r="L283" s="91">
        <f t="shared" si="289"/>
        <v>2.167094702755914</v>
      </c>
      <c r="M283" s="93"/>
      <c r="N283" s="75">
        <f t="shared" si="290"/>
        <v>-2.0148479551451715E-8</v>
      </c>
      <c r="O283" s="75">
        <f t="shared" si="291"/>
        <v>-1.1661440336459661E-2</v>
      </c>
      <c r="P283" s="75">
        <f t="shared" si="292"/>
        <v>2.6920838879935673</v>
      </c>
      <c r="AF283" s="7"/>
      <c r="AG283" s="7"/>
      <c r="AH283" s="7"/>
      <c r="AI283" s="7"/>
      <c r="AJ283" s="7"/>
      <c r="AK283" s="7"/>
      <c r="AL283" s="7"/>
      <c r="AM283" s="7"/>
      <c r="AN283" s="7"/>
      <c r="AR283" s="92"/>
      <c r="AS283" s="7"/>
      <c r="AT283" s="123"/>
      <c r="AU283" s="123"/>
      <c r="AV283" s="123"/>
      <c r="AW283" s="123"/>
      <c r="AX283" s="123"/>
      <c r="AY283" s="123"/>
      <c r="AZ283" s="7"/>
    </row>
    <row r="284" spans="1:52" s="18" customFormat="1">
      <c r="A284" s="19">
        <f t="shared" si="293"/>
        <v>2.6920838879935673</v>
      </c>
      <c r="B284" s="26">
        <f t="shared" si="279"/>
        <v>-0.90066066373489384</v>
      </c>
      <c r="C284" s="26">
        <f t="shared" si="280"/>
        <v>-0.63888805089413025</v>
      </c>
      <c r="D284" s="26">
        <f t="shared" si="281"/>
        <v>1.4715258173970804</v>
      </c>
      <c r="E284" s="26">
        <f t="shared" si="282"/>
        <v>0.43452315105253075</v>
      </c>
      <c r="F284" s="77">
        <f t="shared" si="283"/>
        <v>0.93147588798818193</v>
      </c>
      <c r="G284" s="77">
        <f t="shared" si="284"/>
        <v>4.3141916378853742E-2</v>
      </c>
      <c r="H284" s="75">
        <f t="shared" si="285"/>
        <v>1.2057508713528038</v>
      </c>
      <c r="I284" s="75">
        <f t="shared" si="286"/>
        <v>0.27035186972740555</v>
      </c>
      <c r="J284" s="77">
        <f t="shared" si="287"/>
        <v>-0.94165280581330857</v>
      </c>
      <c r="K284" s="77">
        <f t="shared" si="288"/>
        <v>1.9518169262956233</v>
      </c>
      <c r="L284" s="91">
        <f t="shared" si="289"/>
        <v>2.167094672705872</v>
      </c>
      <c r="M284" s="93"/>
      <c r="N284" s="75">
        <f t="shared" si="290"/>
        <v>-2.3850221797516724E-10</v>
      </c>
      <c r="O284" s="75">
        <f t="shared" si="291"/>
        <v>-1.1661419947055884E-2</v>
      </c>
      <c r="P284" s="75">
        <f t="shared" si="292"/>
        <v>2.6920838879322107</v>
      </c>
      <c r="AF284" s="7"/>
      <c r="AG284" s="7"/>
      <c r="AH284" s="7"/>
      <c r="AI284" s="7"/>
      <c r="AJ284" s="7"/>
      <c r="AK284" s="7"/>
      <c r="AL284" s="7"/>
      <c r="AM284" s="7"/>
      <c r="AN284" s="7"/>
      <c r="AR284" s="92"/>
      <c r="AS284" s="7"/>
      <c r="AT284" s="123"/>
      <c r="AU284" s="123"/>
      <c r="AV284" s="123"/>
      <c r="AW284" s="123"/>
      <c r="AX284" s="123"/>
      <c r="AY284" s="123"/>
      <c r="AZ284" s="7"/>
    </row>
    <row r="285" spans="1:52" s="18" customFormat="1">
      <c r="A285" s="19">
        <f t="shared" si="293"/>
        <v>2.6920838879322107</v>
      </c>
      <c r="B285" s="26">
        <f t="shared" si="279"/>
        <v>-0.90066066370823294</v>
      </c>
      <c r="C285" s="26">
        <f t="shared" si="280"/>
        <v>-0.63888805086746936</v>
      </c>
      <c r="D285" s="26">
        <f t="shared" si="281"/>
        <v>1.4715258173426877</v>
      </c>
      <c r="E285" s="26">
        <f t="shared" si="282"/>
        <v>0.43452315110779233</v>
      </c>
      <c r="F285" s="77">
        <f t="shared" si="283"/>
        <v>0.9314758877964181</v>
      </c>
      <c r="G285" s="77">
        <f t="shared" si="284"/>
        <v>4.3141916499585833E-2</v>
      </c>
      <c r="H285" s="75">
        <f t="shared" si="285"/>
        <v>1.2057508712391007</v>
      </c>
      <c r="I285" s="75">
        <f t="shared" si="286"/>
        <v>0.27035186996308425</v>
      </c>
      <c r="J285" s="77">
        <f t="shared" si="287"/>
        <v>-0.94165280577850197</v>
      </c>
      <c r="K285" s="77">
        <f t="shared" si="288"/>
        <v>1.9518169259174742</v>
      </c>
      <c r="L285" s="91">
        <f t="shared" si="289"/>
        <v>2.1670946723501636</v>
      </c>
      <c r="M285" s="93"/>
      <c r="N285" s="75">
        <f t="shared" si="290"/>
        <v>-2.8235191962266981E-12</v>
      </c>
      <c r="O285" s="75">
        <f t="shared" si="291"/>
        <v>-1.1661419705702225E-2</v>
      </c>
      <c r="P285" s="75">
        <f t="shared" si="292"/>
        <v>2.6920838879314841</v>
      </c>
      <c r="AF285" s="7"/>
      <c r="AG285" s="7"/>
      <c r="AH285" s="7"/>
      <c r="AI285" s="7"/>
      <c r="AJ285" s="7"/>
      <c r="AK285" s="7"/>
      <c r="AL285" s="7"/>
      <c r="AM285" s="7"/>
      <c r="AN285" s="7"/>
      <c r="AR285" s="92"/>
      <c r="AS285" s="7"/>
      <c r="AT285" s="123"/>
      <c r="AU285" s="123"/>
      <c r="AV285" s="123"/>
      <c r="AW285" s="123"/>
      <c r="AX285" s="123"/>
      <c r="AY285" s="123"/>
      <c r="AZ285" s="7"/>
    </row>
    <row r="286" spans="1:52" s="18" customFormat="1">
      <c r="A286" s="19">
        <f t="shared" si="293"/>
        <v>2.6920838879314841</v>
      </c>
      <c r="B286" s="26">
        <f t="shared" si="279"/>
        <v>-0.90066066370791731</v>
      </c>
      <c r="C286" s="26">
        <f t="shared" si="280"/>
        <v>-0.63888805086715372</v>
      </c>
      <c r="D286" s="26">
        <f t="shared" si="281"/>
        <v>1.4715258173420436</v>
      </c>
      <c r="E286" s="26">
        <f t="shared" si="282"/>
        <v>0.43452315110844664</v>
      </c>
      <c r="F286" s="77">
        <f t="shared" si="283"/>
        <v>0.93147588779414725</v>
      </c>
      <c r="G286" s="77">
        <f t="shared" si="284"/>
        <v>4.314191650101553E-2</v>
      </c>
      <c r="H286" s="75">
        <f t="shared" si="285"/>
        <v>1.205750871237754</v>
      </c>
      <c r="I286" s="75">
        <f t="shared" si="286"/>
        <v>0.27035186996587551</v>
      </c>
      <c r="J286" s="77">
        <f t="shared" si="287"/>
        <v>-0.94165280577808919</v>
      </c>
      <c r="K286" s="77">
        <f t="shared" si="288"/>
        <v>1.9518169259129958</v>
      </c>
      <c r="L286" s="91">
        <f t="shared" si="289"/>
        <v>2.167094672345951</v>
      </c>
      <c r="M286" s="93"/>
      <c r="N286" s="75">
        <f t="shared" si="290"/>
        <v>-3.2251978865360797E-14</v>
      </c>
      <c r="O286" s="75">
        <f t="shared" si="291"/>
        <v>-1.1661419702844511E-2</v>
      </c>
      <c r="P286" s="75">
        <f t="shared" si="292"/>
        <v>2.6920838879314757</v>
      </c>
      <c r="AF286" s="7"/>
      <c r="AG286" s="7"/>
      <c r="AH286" s="7"/>
      <c r="AI286" s="7"/>
      <c r="AJ286" s="7"/>
      <c r="AK286" s="7"/>
      <c r="AL286" s="7"/>
      <c r="AM286" s="7"/>
      <c r="AN286" s="7"/>
      <c r="AR286" s="92"/>
      <c r="AS286" s="7"/>
      <c r="AT286" s="123"/>
      <c r="AU286" s="123"/>
      <c r="AV286" s="123"/>
      <c r="AW286" s="123"/>
      <c r="AX286" s="123"/>
      <c r="AY286" s="123"/>
      <c r="AZ286" s="7"/>
    </row>
    <row r="287" spans="1:52" s="18" customFormat="1">
      <c r="A287" s="19">
        <f t="shared" si="293"/>
        <v>2.6920838879314757</v>
      </c>
      <c r="B287" s="26">
        <f t="shared" si="279"/>
        <v>-0.90066066370791364</v>
      </c>
      <c r="C287" s="26">
        <f t="shared" si="280"/>
        <v>-0.63888805086715006</v>
      </c>
      <c r="D287" s="26">
        <f t="shared" si="281"/>
        <v>1.471525817342036</v>
      </c>
      <c r="E287" s="26">
        <f t="shared" si="282"/>
        <v>0.43452315110845424</v>
      </c>
      <c r="F287" s="77">
        <f t="shared" si="283"/>
        <v>0.93147588779412105</v>
      </c>
      <c r="G287" s="77">
        <f t="shared" si="284"/>
        <v>4.3141916501032024E-2</v>
      </c>
      <c r="H287" s="75">
        <f t="shared" si="285"/>
        <v>1.2057508712377385</v>
      </c>
      <c r="I287" s="75">
        <f t="shared" si="286"/>
        <v>0.27035186996590749</v>
      </c>
      <c r="J287" s="77">
        <f t="shared" si="287"/>
        <v>-0.94165280577808486</v>
      </c>
      <c r="K287" s="77">
        <f t="shared" si="288"/>
        <v>1.9518169259129443</v>
      </c>
      <c r="L287" s="91">
        <f t="shared" si="289"/>
        <v>2.1670946723459026</v>
      </c>
      <c r="M287" s="93"/>
      <c r="N287" s="75">
        <f t="shared" si="290"/>
        <v>0</v>
      </c>
      <c r="O287" s="75">
        <f t="shared" si="291"/>
        <v>-1.1661419702811537E-2</v>
      </c>
      <c r="P287" s="75">
        <f t="shared" si="292"/>
        <v>2.6920838879314757</v>
      </c>
      <c r="AF287" s="7"/>
      <c r="AG287" s="7"/>
      <c r="AH287" s="7"/>
      <c r="AI287" s="7"/>
      <c r="AJ287" s="7"/>
      <c r="AK287" s="7"/>
      <c r="AL287" s="7"/>
      <c r="AM287" s="7"/>
      <c r="AN287" s="7"/>
      <c r="AR287" s="92"/>
      <c r="AS287" s="7"/>
      <c r="AT287" s="123"/>
      <c r="AU287" s="123"/>
      <c r="AV287" s="123"/>
      <c r="AW287" s="123"/>
      <c r="AX287" s="123"/>
      <c r="AY287" s="123"/>
      <c r="AZ287" s="7"/>
    </row>
    <row r="288" spans="1:52" s="18" customFormat="1">
      <c r="A288" s="19">
        <f t="shared" si="293"/>
        <v>2.6920838879314757</v>
      </c>
      <c r="B288" s="26">
        <f t="shared" si="279"/>
        <v>-0.90066066370791364</v>
      </c>
      <c r="C288" s="26">
        <f t="shared" si="280"/>
        <v>-0.63888805086715006</v>
      </c>
      <c r="D288" s="26">
        <f t="shared" si="281"/>
        <v>1.471525817342036</v>
      </c>
      <c r="E288" s="26">
        <f t="shared" si="282"/>
        <v>0.43452315110845424</v>
      </c>
      <c r="F288" s="77">
        <f t="shared" si="283"/>
        <v>0.93147588779412105</v>
      </c>
      <c r="G288" s="77">
        <f t="shared" si="284"/>
        <v>4.3141916501032024E-2</v>
      </c>
      <c r="H288" s="75">
        <f t="shared" si="285"/>
        <v>1.2057508712377385</v>
      </c>
      <c r="I288" s="75">
        <f t="shared" si="286"/>
        <v>0.27035186996590749</v>
      </c>
      <c r="J288" s="77">
        <f t="shared" si="287"/>
        <v>-0.94165280577808486</v>
      </c>
      <c r="K288" s="77">
        <f t="shared" si="288"/>
        <v>1.9518169259129443</v>
      </c>
      <c r="L288" s="91">
        <f t="shared" si="289"/>
        <v>2.1670946723459026</v>
      </c>
      <c r="M288" s="93"/>
      <c r="N288" s="75">
        <f t="shared" si="290"/>
        <v>0</v>
      </c>
      <c r="O288" s="75">
        <f t="shared" si="291"/>
        <v>-1.1661419702811537E-2</v>
      </c>
      <c r="P288" s="75">
        <f t="shared" si="292"/>
        <v>2.6920838879314757</v>
      </c>
      <c r="AF288" s="7"/>
      <c r="AG288" s="7"/>
      <c r="AH288" s="7"/>
      <c r="AI288" s="7"/>
      <c r="AJ288" s="7"/>
      <c r="AK288" s="7"/>
      <c r="AL288" s="7"/>
      <c r="AM288" s="7"/>
      <c r="AN288" s="7"/>
      <c r="AR288" s="92"/>
      <c r="AS288" s="7"/>
      <c r="AT288" s="123"/>
      <c r="AU288" s="123"/>
      <c r="AV288" s="123"/>
      <c r="AW288" s="123"/>
      <c r="AX288" s="123"/>
      <c r="AY288" s="123"/>
      <c r="AZ288" s="7"/>
    </row>
    <row r="289" spans="1:52" s="18" customFormat="1">
      <c r="A289" s="19">
        <f t="shared" si="293"/>
        <v>2.6920838879314757</v>
      </c>
      <c r="B289" s="26">
        <f t="shared" si="279"/>
        <v>-0.90066066370791364</v>
      </c>
      <c r="C289" s="26">
        <f t="shared" si="280"/>
        <v>-0.63888805086715006</v>
      </c>
      <c r="D289" s="26">
        <f t="shared" si="281"/>
        <v>1.471525817342036</v>
      </c>
      <c r="E289" s="26">
        <f t="shared" si="282"/>
        <v>0.43452315110845424</v>
      </c>
      <c r="F289" s="77">
        <f t="shared" si="283"/>
        <v>0.93147588779412105</v>
      </c>
      <c r="G289" s="77">
        <f t="shared" si="284"/>
        <v>4.3141916501032024E-2</v>
      </c>
      <c r="H289" s="75">
        <f t="shared" si="285"/>
        <v>1.2057508712377385</v>
      </c>
      <c r="I289" s="75">
        <f t="shared" si="286"/>
        <v>0.27035186996590749</v>
      </c>
      <c r="J289" s="77">
        <f t="shared" si="287"/>
        <v>-0.94165280577808486</v>
      </c>
      <c r="K289" s="77">
        <f t="shared" si="288"/>
        <v>1.9518169259129443</v>
      </c>
      <c r="L289" s="91">
        <f t="shared" si="289"/>
        <v>2.1670946723459026</v>
      </c>
      <c r="M289" s="93"/>
      <c r="N289" s="75">
        <f t="shared" si="290"/>
        <v>0</v>
      </c>
      <c r="O289" s="75">
        <f t="shared" si="291"/>
        <v>-1.1661419702811537E-2</v>
      </c>
      <c r="P289" s="75">
        <f t="shared" si="292"/>
        <v>2.6920838879314757</v>
      </c>
      <c r="AF289" s="7"/>
      <c r="AG289" s="7"/>
      <c r="AH289" s="7"/>
      <c r="AI289" s="7"/>
      <c r="AJ289" s="7"/>
      <c r="AK289" s="7"/>
      <c r="AL289" s="7"/>
      <c r="AM289" s="7"/>
      <c r="AN289" s="7"/>
      <c r="AR289" s="92"/>
      <c r="AS289" s="7"/>
      <c r="AT289" s="123"/>
      <c r="AU289" s="123"/>
      <c r="AV289" s="123"/>
      <c r="AW289" s="123"/>
      <c r="AX289" s="123"/>
      <c r="AY289" s="123"/>
      <c r="AZ289" s="7"/>
    </row>
    <row r="290" spans="1:52" s="18" customFormat="1">
      <c r="A290" s="88" t="s">
        <v>60</v>
      </c>
      <c r="B290" s="8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AF290" s="7"/>
      <c r="AG290" s="7"/>
      <c r="AH290" s="7"/>
      <c r="AI290" s="7"/>
      <c r="AJ290" s="7"/>
      <c r="AK290" s="7"/>
      <c r="AL290" s="7"/>
      <c r="AM290" s="7"/>
      <c r="AN290" s="7"/>
      <c r="AR290" s="92"/>
      <c r="AS290" s="7"/>
      <c r="AT290" s="123"/>
      <c r="AU290" s="123"/>
      <c r="AV290" s="123"/>
      <c r="AW290" s="123"/>
      <c r="AX290" s="123"/>
      <c r="AY290" s="123"/>
      <c r="AZ290" s="7"/>
    </row>
    <row r="291" spans="1:52" s="18" customFormat="1">
      <c r="A291" s="26" t="s">
        <v>11</v>
      </c>
      <c r="B291" s="26" t="s">
        <v>13</v>
      </c>
      <c r="C291" s="26" t="s">
        <v>22</v>
      </c>
      <c r="D291" s="26" t="s">
        <v>18</v>
      </c>
      <c r="E291" s="26" t="s">
        <v>19</v>
      </c>
      <c r="F291" s="26" t="s">
        <v>20</v>
      </c>
      <c r="G291" s="26" t="s">
        <v>2</v>
      </c>
      <c r="H291" s="26" t="s">
        <v>1</v>
      </c>
      <c r="I291" s="26" t="s">
        <v>0</v>
      </c>
      <c r="J291" s="76" t="s">
        <v>3</v>
      </c>
      <c r="K291" s="76" t="s">
        <v>4</v>
      </c>
      <c r="L291" s="44" t="s">
        <v>7</v>
      </c>
      <c r="M291" s="28"/>
      <c r="N291" s="28"/>
      <c r="O291" s="28"/>
      <c r="P291" s="31"/>
      <c r="AF291" s="7"/>
      <c r="AG291" s="7"/>
      <c r="AH291" s="7"/>
      <c r="AI291" s="7"/>
      <c r="AJ291" s="7"/>
      <c r="AK291" s="7"/>
      <c r="AL291" s="7"/>
      <c r="AM291" s="7"/>
      <c r="AN291" s="7"/>
      <c r="AR291" s="92"/>
      <c r="AS291" s="7"/>
      <c r="AT291" s="123"/>
      <c r="AU291" s="123"/>
      <c r="AV291" s="123"/>
      <c r="AW291" s="123"/>
      <c r="AX291" s="123"/>
      <c r="AY291" s="123"/>
      <c r="AZ291" s="7"/>
    </row>
    <row r="292" spans="1:52" s="18" customFormat="1">
      <c r="A292" s="19">
        <f>$E276</f>
        <v>2.7129232951251145</v>
      </c>
      <c r="B292" s="26">
        <f t="shared" ref="B292:B297" si="294">COS(A292)</f>
        <v>-0.90951965040537253</v>
      </c>
      <c r="C292" s="26">
        <f t="shared" ref="C292:C297" si="295">($C$276+B292)</f>
        <v>-0.64774703756460894</v>
      </c>
      <c r="D292" s="26">
        <f t="shared" ref="D292:D297" si="296">POWER(TAN(A292/2),$C$276)</f>
        <v>1.4905339744915325</v>
      </c>
      <c r="E292" s="26">
        <f t="shared" ref="E292:E297" si="297">SIN(A292)</f>
        <v>0.41566092614833172</v>
      </c>
      <c r="F292" s="77">
        <f t="shared" ref="F292:F297" si="298">(C292*$H$276*D292/E292/$I$276/$J$276)</f>
        <v>1</v>
      </c>
      <c r="G292" s="77">
        <f t="shared" ref="G292:G297" si="299">$D$276*($C$276+$G$276)/9.81/SIN($C$273)/(1-$C$276*$C$273)*(F292-1)</f>
        <v>0</v>
      </c>
      <c r="H292" s="121">
        <f t="shared" ref="H292:H297" si="300">-(-$H$273+$K$276*((POWER(TAN(A292/2),2*$C$276-1)/(2*$C$276-1))+(POWER(TAN(A292/2),2*$C$276+1)/(2*$C$276+1))-(POWER(TAN($E$276/2),2*$C$276-1)/(2*$C$276-1))-(POWER(TAN($E$276/2),2*$C$276+1)/(2*$C$276+1))))</f>
        <v>1.2466453987438619</v>
      </c>
      <c r="I292" s="121">
        <f t="shared" ref="I292:I297" si="301">-(-$I$273+0.5*$K$276*((POWER(TAN(A292/2),2*$C$276-2)/(2*$C$276-2))-(POWER(TAN(A292/2),2*$C$276+2)/(2*$C$276+2))-(POWER(TAN($E$276/2),2*$C$276-2)/(2*$C$276-2))+(POWER(TAN($E$276/2),2*$C$276+2)/(2*$C$276+2))))</f>
        <v>0.18321833372345692</v>
      </c>
      <c r="J292" s="77">
        <f t="shared" ref="J292:J297" si="302">-$D$276*SIN(A292)*($C$276+$G$276)/($C$276+B292)*F292</f>
        <v>-0.95381642825860957</v>
      </c>
      <c r="K292" s="77">
        <f t="shared" ref="K292:K297" si="303">-$D$276*COS(A292)*($C$276+$G$276)/($C$276+B292)*F292</f>
        <v>2.0870732123401283</v>
      </c>
      <c r="L292" s="91">
        <f t="shared" ref="L292:L297" si="304">SQRT(J292*J292+K292*K292)</f>
        <v>2.294698318403479</v>
      </c>
      <c r="M292" s="28"/>
      <c r="N292" s="28"/>
      <c r="O292" s="28"/>
      <c r="P292" s="31"/>
      <c r="AF292" s="7"/>
      <c r="AG292" s="7"/>
      <c r="AH292" s="7"/>
      <c r="AI292" s="7"/>
      <c r="AJ292" s="7"/>
      <c r="AK292" s="7"/>
      <c r="AL292" s="7"/>
      <c r="AM292" s="7"/>
      <c r="AN292" s="7"/>
      <c r="AR292" s="92"/>
      <c r="AS292" s="7"/>
      <c r="AT292" s="123"/>
      <c r="AU292" s="123"/>
      <c r="AV292" s="123"/>
      <c r="AW292" s="123"/>
      <c r="AX292" s="123"/>
      <c r="AY292" s="123"/>
      <c r="AZ292" s="7"/>
    </row>
    <row r="293" spans="1:52" s="18" customFormat="1">
      <c r="A293" s="20">
        <f>A292-$F$276</f>
        <v>2.7087754136863866</v>
      </c>
      <c r="B293" s="26">
        <f t="shared" si="294"/>
        <v>-0.90778771901347266</v>
      </c>
      <c r="C293" s="26">
        <f t="shared" si="295"/>
        <v>-0.64601510617270907</v>
      </c>
      <c r="D293" s="26">
        <f t="shared" si="296"/>
        <v>1.4866629451637636</v>
      </c>
      <c r="E293" s="26">
        <f t="shared" si="297"/>
        <v>0.41942991930514018</v>
      </c>
      <c r="F293" s="77">
        <f t="shared" si="298"/>
        <v>0.98579740226305801</v>
      </c>
      <c r="G293" s="77">
        <f t="shared" si="299"/>
        <v>8.9417763461710278E-3</v>
      </c>
      <c r="H293" s="121">
        <f t="shared" si="300"/>
        <v>1.2381264983483962</v>
      </c>
      <c r="I293" s="121">
        <f t="shared" si="301"/>
        <v>0.20175753321055223</v>
      </c>
      <c r="J293" s="77">
        <f t="shared" si="302"/>
        <v>-0.95133929494243918</v>
      </c>
      <c r="K293" s="77">
        <f t="shared" si="303"/>
        <v>2.0590188940131209</v>
      </c>
      <c r="L293" s="91">
        <f t="shared" si="304"/>
        <v>2.2681722289113302</v>
      </c>
      <c r="M293" s="28"/>
      <c r="N293" s="28"/>
      <c r="O293" s="28"/>
      <c r="P293" s="31"/>
      <c r="AF293" s="7"/>
      <c r="AG293" s="7"/>
      <c r="AH293" s="7"/>
      <c r="AI293" s="7"/>
      <c r="AJ293" s="7"/>
      <c r="AK293" s="7"/>
      <c r="AL293" s="7"/>
      <c r="AM293" s="7"/>
      <c r="AN293" s="7"/>
      <c r="AR293" s="92"/>
      <c r="AS293" s="7"/>
      <c r="AT293" s="123"/>
      <c r="AU293" s="123"/>
      <c r="AV293" s="123"/>
      <c r="AW293" s="123"/>
      <c r="AX293" s="123"/>
      <c r="AY293" s="123"/>
      <c r="AZ293" s="7"/>
    </row>
    <row r="294" spans="1:52" s="18" customFormat="1">
      <c r="A294" s="20">
        <f>A293-$F$276</f>
        <v>2.7046275322476587</v>
      </c>
      <c r="B294" s="26">
        <f t="shared" si="294"/>
        <v>-0.90604016922849284</v>
      </c>
      <c r="C294" s="26">
        <f t="shared" si="295"/>
        <v>-0.64426755638772926</v>
      </c>
      <c r="D294" s="26">
        <f t="shared" si="296"/>
        <v>1.4828364320409166</v>
      </c>
      <c r="E294" s="26">
        <f t="shared" si="297"/>
        <v>0.42319169621390734</v>
      </c>
      <c r="F294" s="77">
        <f t="shared" si="298"/>
        <v>0.97188360998890233</v>
      </c>
      <c r="G294" s="77">
        <f t="shared" si="299"/>
        <v>1.7701724416725226E-2</v>
      </c>
      <c r="H294" s="121">
        <f t="shared" si="300"/>
        <v>1.2298024052286414</v>
      </c>
      <c r="I294" s="121">
        <f t="shared" si="301"/>
        <v>0.2196764997335294</v>
      </c>
      <c r="J294" s="77">
        <f t="shared" si="302"/>
        <v>-0.94889064825475544</v>
      </c>
      <c r="K294" s="77">
        <f t="shared" si="303"/>
        <v>2.0315451631392842</v>
      </c>
      <c r="L294" s="91">
        <f t="shared" si="304"/>
        <v>2.2422241663624876</v>
      </c>
      <c r="M294" s="45"/>
      <c r="N294" s="28"/>
      <c r="O294" s="28"/>
      <c r="P294" s="31"/>
      <c r="AF294" s="7"/>
      <c r="AG294" s="7"/>
      <c r="AH294" s="7"/>
      <c r="AI294" s="7"/>
      <c r="AJ294" s="7"/>
      <c r="AK294" s="7"/>
      <c r="AL294" s="7"/>
      <c r="AM294" s="7"/>
      <c r="AN294" s="7"/>
      <c r="AR294" s="92"/>
      <c r="AS294" s="7"/>
      <c r="AT294" s="123"/>
      <c r="AU294" s="123"/>
      <c r="AV294" s="123"/>
      <c r="AW294" s="123"/>
      <c r="AX294" s="123"/>
      <c r="AY294" s="123"/>
      <c r="AZ294" s="7"/>
    </row>
    <row r="295" spans="1:52" s="18" customFormat="1">
      <c r="A295" s="20">
        <f>A294-$F$276</f>
        <v>2.7004796508089308</v>
      </c>
      <c r="B295" s="26">
        <f t="shared" si="294"/>
        <v>-0.90427703111684499</v>
      </c>
      <c r="C295" s="26">
        <f t="shared" si="295"/>
        <v>-0.6425044182760814</v>
      </c>
      <c r="D295" s="26">
        <f t="shared" si="296"/>
        <v>1.4790534694570749</v>
      </c>
      <c r="E295" s="26">
        <f t="shared" si="297"/>
        <v>0.4269461921536537</v>
      </c>
      <c r="F295" s="77">
        <f t="shared" si="298"/>
        <v>0.95824979368827667</v>
      </c>
      <c r="G295" s="77">
        <f t="shared" si="299"/>
        <v>2.6285403146699905E-2</v>
      </c>
      <c r="H295" s="121">
        <f t="shared" si="300"/>
        <v>1.2216667130369057</v>
      </c>
      <c r="I295" s="121">
        <f t="shared" si="301"/>
        <v>0.23700145598723632</v>
      </c>
      <c r="J295" s="77">
        <f t="shared" si="302"/>
        <v>-0.94646987025055951</v>
      </c>
      <c r="K295" s="77">
        <f t="shared" si="303"/>
        <v>2.0046342608056378</v>
      </c>
      <c r="L295" s="91">
        <f t="shared" si="304"/>
        <v>2.2168364249280721</v>
      </c>
      <c r="M295" s="45"/>
      <c r="N295" s="28"/>
      <c r="O295" s="28"/>
      <c r="P295" s="31"/>
      <c r="AF295" s="7"/>
      <c r="AG295" s="7"/>
      <c r="AH295" s="7"/>
      <c r="AI295" s="7"/>
      <c r="AJ295" s="7"/>
      <c r="AK295" s="7"/>
      <c r="AL295" s="7"/>
      <c r="AM295" s="7"/>
      <c r="AN295" s="7"/>
      <c r="AR295" s="92"/>
      <c r="AS295" s="7"/>
      <c r="AT295" s="123"/>
      <c r="AU295" s="123"/>
      <c r="AV295" s="123"/>
      <c r="AW295" s="123"/>
      <c r="AX295" s="123"/>
      <c r="AY295" s="123"/>
      <c r="AZ295" s="7"/>
    </row>
    <row r="296" spans="1:52" s="18" customFormat="1">
      <c r="A296" s="20">
        <f>A295-$F$276</f>
        <v>2.6963317693702029</v>
      </c>
      <c r="B296" s="26">
        <f t="shared" si="294"/>
        <v>-0.90249833501313648</v>
      </c>
      <c r="C296" s="26">
        <f t="shared" si="295"/>
        <v>-0.64072572217237289</v>
      </c>
      <c r="D296" s="26">
        <f t="shared" si="296"/>
        <v>1.4753131211884076</v>
      </c>
      <c r="E296" s="26">
        <f t="shared" si="297"/>
        <v>0.43069334252866792</v>
      </c>
      <c r="F296" s="77">
        <f t="shared" si="298"/>
        <v>0.94488747339098766</v>
      </c>
      <c r="G296" s="77">
        <f t="shared" si="299"/>
        <v>3.4698151418340116E-2</v>
      </c>
      <c r="H296" s="121">
        <f t="shared" si="300"/>
        <v>1.2137132840970553</v>
      </c>
      <c r="I296" s="121">
        <f t="shared" si="301"/>
        <v>0.25375728401123337</v>
      </c>
      <c r="J296" s="77">
        <f t="shared" si="302"/>
        <v>-0.94407636182531174</v>
      </c>
      <c r="K296" s="77">
        <f t="shared" si="303"/>
        <v>1.9782691315129635</v>
      </c>
      <c r="L296" s="91">
        <f t="shared" si="304"/>
        <v>2.1919920012751808</v>
      </c>
      <c r="M296" s="45"/>
      <c r="N296" s="28"/>
      <c r="O296" s="28"/>
      <c r="P296" s="89"/>
      <c r="AF296" s="7"/>
      <c r="AG296" s="7"/>
      <c r="AH296" s="7"/>
      <c r="AI296" s="7"/>
      <c r="AJ296" s="7"/>
      <c r="AK296" s="7"/>
      <c r="AL296" s="7"/>
      <c r="AM296" s="7"/>
      <c r="AN296" s="7"/>
      <c r="AR296" s="92"/>
      <c r="AS296" s="7"/>
      <c r="AT296" s="123"/>
      <c r="AU296" s="123"/>
      <c r="AV296" s="123"/>
      <c r="AW296" s="123"/>
      <c r="AX296" s="123"/>
      <c r="AY296" s="123"/>
      <c r="AZ296" s="7"/>
    </row>
    <row r="297" spans="1:52" s="18" customFormat="1">
      <c r="A297" s="20">
        <f>A296-$F$276</f>
        <v>2.692183887931475</v>
      </c>
      <c r="B297" s="26">
        <f t="shared" si="294"/>
        <v>-0.90070411151964846</v>
      </c>
      <c r="C297" s="26">
        <f t="shared" si="295"/>
        <v>-0.63893149867888488</v>
      </c>
      <c r="D297" s="26">
        <f t="shared" si="296"/>
        <v>1.4716144792903783</v>
      </c>
      <c r="E297" s="26">
        <f t="shared" si="297"/>
        <v>0.43443308286961846</v>
      </c>
      <c r="F297" s="77">
        <f t="shared" si="298"/>
        <v>0.9317885017008869</v>
      </c>
      <c r="G297" s="77">
        <f t="shared" si="299"/>
        <v>4.294509872946816E-2</v>
      </c>
      <c r="H297" s="121">
        <f t="shared" si="300"/>
        <v>1.2059362357542076</v>
      </c>
      <c r="I297" s="121">
        <f t="shared" si="301"/>
        <v>0.2699676053703311</v>
      </c>
      <c r="J297" s="77">
        <f t="shared" si="302"/>
        <v>-0.94170954197084344</v>
      </c>
      <c r="K297" s="77">
        <f t="shared" si="303"/>
        <v>1.9524333890680816</v>
      </c>
      <c r="L297" s="91">
        <f t="shared" si="304"/>
        <v>2.1676745604879923</v>
      </c>
      <c r="M297" s="45"/>
      <c r="N297" s="28"/>
      <c r="O297" s="28"/>
      <c r="P297" s="28"/>
      <c r="AF297" s="7"/>
      <c r="AG297" s="7"/>
      <c r="AH297" s="7"/>
      <c r="AI297" s="7"/>
      <c r="AJ297" s="7"/>
      <c r="AK297" s="7"/>
      <c r="AL297" s="7"/>
      <c r="AM297" s="7"/>
      <c r="AN297" s="7"/>
      <c r="AR297" s="92"/>
      <c r="AS297" s="7"/>
      <c r="AT297" s="125"/>
      <c r="AU297" s="125"/>
      <c r="AV297" s="125"/>
      <c r="AW297" s="125"/>
      <c r="AX297" s="125"/>
      <c r="AY297" s="125"/>
      <c r="AZ297" s="7"/>
    </row>
    <row r="298" spans="1:52" s="18" customFormat="1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AF298" s="7"/>
      <c r="AG298" s="7"/>
      <c r="AH298" s="7"/>
      <c r="AI298" s="7"/>
      <c r="AJ298" s="7"/>
      <c r="AK298" s="7"/>
      <c r="AL298" s="7"/>
      <c r="AM298" s="7"/>
      <c r="AN298" s="7"/>
      <c r="AR298" s="92"/>
      <c r="AS298" s="7"/>
      <c r="AT298" s="125"/>
      <c r="AU298" s="125"/>
      <c r="AV298" s="125"/>
      <c r="AW298" s="125"/>
      <c r="AX298" s="125"/>
      <c r="AY298" s="125"/>
      <c r="AZ298" s="7"/>
    </row>
    <row r="299" spans="1:52" s="18" customFormat="1">
      <c r="A299" s="88" t="s">
        <v>73</v>
      </c>
      <c r="B299" s="88"/>
      <c r="C299" s="23" t="str">
        <f>CONCATENATE("m",Stufengrün!AH51)</f>
        <v>m3</v>
      </c>
      <c r="D299" s="23" t="s">
        <v>30</v>
      </c>
      <c r="E299" s="28"/>
      <c r="F299" s="28"/>
      <c r="G299" s="28"/>
      <c r="H299" s="36" t="s">
        <v>57</v>
      </c>
      <c r="I299" s="36" t="s">
        <v>51</v>
      </c>
      <c r="J299" s="36" t="s">
        <v>58</v>
      </c>
      <c r="K299" s="36" t="s">
        <v>59</v>
      </c>
      <c r="L299" s="28"/>
      <c r="M299" s="28"/>
      <c r="N299" s="28"/>
      <c r="O299" s="28"/>
      <c r="P299" s="28"/>
      <c r="AF299" s="7"/>
      <c r="AG299" s="7"/>
      <c r="AH299" s="7"/>
      <c r="AI299" s="7"/>
      <c r="AJ299" s="7"/>
      <c r="AK299" s="7"/>
      <c r="AL299" s="7"/>
      <c r="AM299" s="7"/>
      <c r="AN299" s="7"/>
      <c r="AR299" s="92"/>
      <c r="AS299" s="7"/>
      <c r="AT299" s="125"/>
      <c r="AU299" s="125"/>
      <c r="AV299" s="125"/>
      <c r="AW299" s="125"/>
      <c r="AX299" s="125"/>
      <c r="AY299" s="125"/>
      <c r="AZ299" s="7"/>
    </row>
    <row r="300" spans="1:52" s="18" customFormat="1">
      <c r="A300" s="88" t="s">
        <v>69</v>
      </c>
      <c r="B300" s="88"/>
      <c r="C300" s="36">
        <f>Stufengrün!AI51</f>
        <v>0.20050769073300986</v>
      </c>
      <c r="D300" s="26">
        <f>Stufengrün!AK51</f>
        <v>0.36836040959449939</v>
      </c>
      <c r="E300" s="28"/>
      <c r="F300" s="28"/>
      <c r="G300" s="28"/>
      <c r="H300" s="78">
        <f>H289</f>
        <v>1.2057508712377385</v>
      </c>
      <c r="I300" s="78">
        <f>I289</f>
        <v>0.27035186996590749</v>
      </c>
      <c r="J300" s="78">
        <f>J289</f>
        <v>-0.94165280577808486</v>
      </c>
      <c r="K300" s="78">
        <f>K289</f>
        <v>1.9518169259129443</v>
      </c>
      <c r="L300" s="28"/>
      <c r="M300" s="28"/>
      <c r="N300" s="28"/>
      <c r="O300" s="28"/>
      <c r="P300" s="28"/>
      <c r="AF300" s="7"/>
      <c r="AG300" s="7"/>
      <c r="AH300" s="7"/>
      <c r="AI300" s="7"/>
      <c r="AJ300" s="7"/>
      <c r="AK300" s="7"/>
      <c r="AL300" s="7"/>
      <c r="AM300" s="7"/>
      <c r="AN300" s="7"/>
      <c r="AR300" s="92"/>
      <c r="AS300" s="7"/>
      <c r="AT300" s="125"/>
      <c r="AU300" s="125"/>
      <c r="AV300" s="125"/>
      <c r="AW300" s="125"/>
      <c r="AX300" s="125"/>
      <c r="AY300" s="125"/>
      <c r="AZ300" s="7"/>
    </row>
    <row r="301" spans="1:52" s="18" customFormat="1">
      <c r="A301" s="95"/>
      <c r="B301" s="95"/>
      <c r="C301" s="28"/>
      <c r="D301" s="28"/>
      <c r="E301" s="28"/>
      <c r="F301" s="28"/>
      <c r="G301" s="28"/>
      <c r="H301" s="37" t="s">
        <v>8</v>
      </c>
      <c r="I301" s="37" t="s">
        <v>8</v>
      </c>
      <c r="J301" s="37" t="s">
        <v>9</v>
      </c>
      <c r="K301" s="37" t="s">
        <v>9</v>
      </c>
      <c r="L301" s="28"/>
      <c r="M301" s="28"/>
      <c r="N301" s="28"/>
      <c r="O301" s="28"/>
      <c r="P301" s="28"/>
      <c r="AF301" s="7"/>
      <c r="AG301" s="7"/>
      <c r="AH301" s="7"/>
      <c r="AI301" s="7"/>
      <c r="AJ301" s="7"/>
      <c r="AK301" s="7"/>
      <c r="AL301" s="7"/>
      <c r="AM301" s="7"/>
      <c r="AN301" s="7"/>
      <c r="AR301" s="92"/>
      <c r="AS301" s="7"/>
      <c r="AT301" s="125"/>
      <c r="AU301" s="125"/>
      <c r="AV301" s="125"/>
      <c r="AW301" s="125"/>
      <c r="AX301" s="125"/>
      <c r="AY301" s="125"/>
      <c r="AZ301" s="7"/>
    </row>
    <row r="302" spans="1:52" s="18" customFormat="1">
      <c r="A302" s="88" t="s">
        <v>68</v>
      </c>
      <c r="B302" s="88"/>
      <c r="C302" s="115" t="s">
        <v>15</v>
      </c>
      <c r="D302" s="115" t="s">
        <v>55</v>
      </c>
      <c r="E302" s="115" t="s">
        <v>12</v>
      </c>
      <c r="F302" s="115" t="s">
        <v>10</v>
      </c>
      <c r="G302" s="115" t="s">
        <v>14</v>
      </c>
      <c r="H302" s="115" t="s">
        <v>21</v>
      </c>
      <c r="I302" s="115" t="s">
        <v>16</v>
      </c>
      <c r="J302" s="115" t="s">
        <v>17</v>
      </c>
      <c r="K302" s="115" t="s">
        <v>23</v>
      </c>
      <c r="L302" s="28"/>
      <c r="M302" s="28"/>
      <c r="N302" s="28"/>
      <c r="O302" s="28"/>
      <c r="P302" s="28"/>
      <c r="AF302" s="7"/>
      <c r="AG302" s="7"/>
      <c r="AH302" s="7"/>
      <c r="AI302" s="7"/>
      <c r="AJ302" s="7"/>
      <c r="AK302" s="7"/>
      <c r="AL302" s="7"/>
      <c r="AM302" s="7"/>
      <c r="AN302" s="7"/>
      <c r="AR302" s="92"/>
      <c r="AS302" s="7"/>
      <c r="AT302" s="125"/>
      <c r="AU302" s="125"/>
      <c r="AV302" s="125"/>
      <c r="AW302" s="125"/>
      <c r="AX302" s="125"/>
      <c r="AY302" s="125"/>
      <c r="AZ302" s="7"/>
    </row>
    <row r="303" spans="1:52" s="18" customFormat="1">
      <c r="A303" s="28"/>
      <c r="B303" s="28"/>
      <c r="C303" s="23">
        <f>Mü/TAN($C300)</f>
        <v>0.3444226903742672</v>
      </c>
      <c r="D303" s="42">
        <f>SQRT($J300*$J300+$K300*$K300)</f>
        <v>2.1670946723459026</v>
      </c>
      <c r="E303" s="20">
        <f>ATAN($J300/$K300)+PI()</f>
        <v>2.6920838879314757</v>
      </c>
      <c r="F303" s="23">
        <f>($E303-A316-0.0001)/5</f>
        <v>4.2687489344207276E-3</v>
      </c>
      <c r="G303" s="23">
        <f>COS($E303)</f>
        <v>-0.90066066370791364</v>
      </c>
      <c r="H303" s="23">
        <f>SIN($E303)</f>
        <v>0.43452315110845424</v>
      </c>
      <c r="I303" s="23">
        <f>$C303+$G303</f>
        <v>-0.55623797333364644</v>
      </c>
      <c r="J303" s="23">
        <f>POWER(TAN($E303/2),$C303)</f>
        <v>1.6624080450332668</v>
      </c>
      <c r="K303" s="23">
        <f>-$D303*$D303*SIN($E303)*SIN($E303)/(2*9.81*SIN($C300)*POWER(TAN($E303/2),2*$C303))</f>
        <v>-8.2108899531941129E-2</v>
      </c>
      <c r="L303" s="28"/>
      <c r="M303" s="28"/>
      <c r="N303" s="28"/>
      <c r="O303" s="28"/>
      <c r="P303" s="28"/>
      <c r="AF303" s="7"/>
      <c r="AG303" s="7"/>
      <c r="AH303" s="7"/>
      <c r="AI303" s="7"/>
      <c r="AJ303" s="7"/>
      <c r="AK303" s="7"/>
      <c r="AL303" s="7"/>
      <c r="AM303" s="7"/>
      <c r="AN303" s="7"/>
      <c r="AR303" s="92"/>
      <c r="AS303" s="7"/>
      <c r="AT303" s="125"/>
      <c r="AU303" s="125"/>
      <c r="AV303" s="125"/>
      <c r="AW303" s="125"/>
      <c r="AX303" s="125"/>
      <c r="AY303" s="125"/>
      <c r="AZ303" s="7"/>
    </row>
    <row r="304" spans="1:52" s="18" customFormat="1">
      <c r="A304" s="88" t="s">
        <v>70</v>
      </c>
      <c r="B304" s="8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45"/>
      <c r="N304" s="28"/>
      <c r="O304" s="28"/>
      <c r="P304" s="28"/>
      <c r="AF304" s="7"/>
      <c r="AG304" s="7"/>
      <c r="AH304" s="7"/>
      <c r="AI304" s="7"/>
      <c r="AJ304" s="7"/>
      <c r="AK304" s="7"/>
      <c r="AL304" s="7"/>
      <c r="AM304" s="7"/>
      <c r="AN304" s="7"/>
      <c r="AR304" s="92"/>
      <c r="AS304" s="7"/>
      <c r="AT304" s="125"/>
      <c r="AU304" s="125"/>
      <c r="AV304" s="125"/>
      <c r="AW304" s="125"/>
      <c r="AX304" s="125"/>
      <c r="AY304" s="125"/>
      <c r="AZ304" s="7"/>
    </row>
    <row r="305" spans="1:52" s="18" customFormat="1">
      <c r="A305" s="115" t="s">
        <v>11</v>
      </c>
      <c r="B305" s="115" t="s">
        <v>13</v>
      </c>
      <c r="C305" s="117" t="s">
        <v>22</v>
      </c>
      <c r="D305" s="117" t="s">
        <v>18</v>
      </c>
      <c r="E305" s="115" t="s">
        <v>19</v>
      </c>
      <c r="F305" s="117" t="s">
        <v>20</v>
      </c>
      <c r="G305" s="117" t="s">
        <v>2</v>
      </c>
      <c r="H305" s="117" t="s">
        <v>65</v>
      </c>
      <c r="I305" s="117" t="s">
        <v>66</v>
      </c>
      <c r="J305" s="118" t="s">
        <v>3</v>
      </c>
      <c r="K305" s="118" t="s">
        <v>4</v>
      </c>
      <c r="L305" s="116" t="s">
        <v>7</v>
      </c>
      <c r="M305" s="93"/>
      <c r="N305" s="117" t="s">
        <v>61</v>
      </c>
      <c r="O305" s="117" t="s">
        <v>62</v>
      </c>
      <c r="P305" s="115" t="s">
        <v>63</v>
      </c>
      <c r="AF305" s="7"/>
      <c r="AG305" s="7"/>
      <c r="AH305" s="7"/>
      <c r="AI305" s="7"/>
      <c r="AJ305" s="7"/>
      <c r="AK305" s="7"/>
      <c r="AL305" s="7"/>
      <c r="AM305" s="7"/>
      <c r="AN305" s="7"/>
      <c r="AR305" s="92"/>
      <c r="AS305" s="7"/>
      <c r="AT305" s="125"/>
      <c r="AU305" s="125"/>
      <c r="AV305" s="125"/>
      <c r="AW305" s="125"/>
      <c r="AX305" s="125"/>
      <c r="AY305" s="125"/>
      <c r="AZ305" s="7"/>
    </row>
    <row r="306" spans="1:52" s="18" customFormat="1">
      <c r="A306" s="19">
        <f>$E303</f>
        <v>2.6920838879314757</v>
      </c>
      <c r="B306" s="26">
        <f>COS(A306)</f>
        <v>-0.90066066370791364</v>
      </c>
      <c r="C306" s="26">
        <f>($C$303+B306)</f>
        <v>-0.55623797333364644</v>
      </c>
      <c r="D306" s="26">
        <f>POWER(TAN(A306/2),$C$303)</f>
        <v>1.6624080450332668</v>
      </c>
      <c r="E306" s="26">
        <f>SIN(A306)</f>
        <v>0.43452315110845424</v>
      </c>
      <c r="F306" s="77">
        <f>(C306*$H$303*D306/E306/$I$303/$J$303)</f>
        <v>1</v>
      </c>
      <c r="G306" s="77">
        <f>$D$303*($C$303+$G$303)/9.81/SIN($C$300)/(1-$C$303*$C$300)*(F306-1)</f>
        <v>0</v>
      </c>
      <c r="H306" s="75">
        <f>-(-$H$300+$K$303*((POWER(TAN(A306/2),2*$C$303-1)/(2*$C$303-1))+(POWER(TAN(A306/2),2*$C$303+1)/(2*$C$303+1))-(POWER(TAN($E$303/2),2*$C$303-1)/(2*$C$303-1))-(POWER(TAN($E$303/2),2*$C$303+1)/(2*$C$303+1))))</f>
        <v>1.2057508712377385</v>
      </c>
      <c r="I306" s="75">
        <f>-(-$I$300+0.5*$K$303*((POWER(TAN(A306/2),2*$C$303-2)/(2*$C$303-2))-(POWER(TAN(A306/2),2*$C$303+2)/(2*$C$303+2))-(POWER(TAN($E$303/2),2*$C$303-2)/(2*$C$303-2))+(POWER(TAN($E$303/2),2*$C$303+2)/(2*$C$303+2))))</f>
        <v>0.27035186996590749</v>
      </c>
      <c r="J306" s="77">
        <f>-$D$303*SIN(A306)*($C$303+$G$303)/($C$303+B306)*F306</f>
        <v>-0.94165280577808486</v>
      </c>
      <c r="K306" s="77">
        <f>-$D$303*COS(A306)*($C$303+$G$303)/($C$303+B306)*F306</f>
        <v>1.9518169259129443</v>
      </c>
      <c r="L306" s="91">
        <f>SQRT(J306*J306+K306*K306)</f>
        <v>2.1670946723459026</v>
      </c>
      <c r="M306" s="93"/>
      <c r="N306" s="75">
        <f>-(-$I$300+0.5*$K$303*((POWER(TAN(A306/2),2*$C$303-2)/(2*$C$303-2))-(POWER(TAN(A306/2),2*$C$303+2)/(2*$C$303+2))-(POWER(TAN($E$303/2),2*$C$303-2)/(2*$C$303-2))+(POWER(TAN($E$303/2),2*$C$303+2)/(2*$C$303+2))))-$D$300</f>
        <v>-9.8008539628591906E-2</v>
      </c>
      <c r="O306" s="75">
        <f>-(-$I$300+0.5*$K$303*((POWER(TAN((A306+$M$9)/2),2*$C$303-2)/(2*$C$303-2))-(POWER(TAN((A306+$M$9)/2),2*$C$303+2)/(2*$C$303+2))-(POWER(TAN($E$303/2),2*$C$303-2)/(2*$C$303-2))+(POWER(TAN($E$303/2),2*$C$303+2)/(2*$C$303+2))))-$D$300</f>
        <v>-0.11314275867737461</v>
      </c>
      <c r="P306" s="75">
        <f>A306-N306/(O306-N306)*$M$9</f>
        <v>2.6726560193418885</v>
      </c>
      <c r="AF306" s="7"/>
      <c r="AG306" s="7"/>
      <c r="AH306" s="7"/>
      <c r="AI306" s="7"/>
      <c r="AJ306" s="7"/>
      <c r="AK306" s="7"/>
      <c r="AL306" s="7"/>
      <c r="AM306" s="7"/>
      <c r="AN306" s="7"/>
      <c r="AR306" s="92"/>
      <c r="AS306" s="7"/>
      <c r="AT306" s="125"/>
      <c r="AU306" s="125"/>
      <c r="AV306" s="125"/>
      <c r="AW306" s="125"/>
      <c r="AX306" s="125"/>
      <c r="AY306" s="125"/>
      <c r="AZ306" s="7"/>
    </row>
    <row r="307" spans="1:52" s="18" customFormat="1">
      <c r="A307" s="19">
        <f>P306</f>
        <v>2.6726560193418885</v>
      </c>
      <c r="B307" s="26">
        <f t="shared" ref="B307:B316" si="305">COS(A307)</f>
        <v>-0.89204936780112398</v>
      </c>
      <c r="C307" s="26">
        <f t="shared" ref="C307:C316" si="306">($C$303+B307)</f>
        <v>-0.54762667742685678</v>
      </c>
      <c r="D307" s="26">
        <f t="shared" ref="D307:D316" si="307">POWER(TAN(A307/2),$C$303)</f>
        <v>1.6374969609438916</v>
      </c>
      <c r="E307" s="26">
        <f t="shared" ref="E307:E316" si="308">SIN(A307)</f>
        <v>0.45193796632459976</v>
      </c>
      <c r="F307" s="77">
        <f t="shared" ref="F307:F316" si="309">(C307*$H$303*D307/E307/$I$303/$J$303)</f>
        <v>0.93239712664957408</v>
      </c>
      <c r="G307" s="77">
        <f t="shared" ref="G307:G316" si="310">$D$303*($C$303+$G$303)/9.81/SIN($C$300)/(1-$C$303*$C$300)*(F307-1)</f>
        <v>4.4801812422598515E-2</v>
      </c>
      <c r="H307" s="75">
        <f t="shared" ref="H307:H316" si="311">-(-$H$300+$K$303*((POWER(TAN(A307/2),2*$C$303-1)/(2*$C$303-1))+(POWER(TAN(A307/2),2*$C$303+1)/(2*$C$303+1))-(POWER(TAN($E$303/2),2*$C$303-1)/(2*$C$303-1))-(POWER(TAN($E$303/2),2*$C$303+1)/(2*$C$303+1))))</f>
        <v>1.1615221997911855</v>
      </c>
      <c r="I307" s="75">
        <f t="shared" ref="I307:I316" si="312">-(-$I$300+0.5*$K$303*((POWER(TAN(A307/2),2*$C$303-2)/(2*$C$303-2))-(POWER(TAN(A307/2),2*$C$303+2)/(2*$C$303+2))-(POWER(TAN($E$303/2),2*$C$303-2)/(2*$C$303-2))+(POWER(TAN($E$303/2),2*$C$303+2)/(2*$C$303+2))))</f>
        <v>0.35985048204476799</v>
      </c>
      <c r="J307" s="77">
        <f t="shared" ref="J307:J316" si="313">-$D$303*SIN(A307)*($C$303+$G$303)/($C$303+B307)*F307</f>
        <v>-0.92754219539105165</v>
      </c>
      <c r="K307" s="77">
        <f t="shared" ref="K307:K316" si="314">-$D$303*COS(A307)*($C$303+$G$303)/($C$303+B307)*F307</f>
        <v>1.8308119491186385</v>
      </c>
      <c r="L307" s="91">
        <f t="shared" ref="L307:L316" si="315">SQRT(J307*J307+K307*K307)</f>
        <v>2.0523661752393112</v>
      </c>
      <c r="M307" s="93"/>
      <c r="N307" s="75">
        <f t="shared" ref="N307:N316" si="316">-(-$I$300+0.5*$K$303*((POWER(TAN(A307/2),2*$C$303-2)/(2*$C$303-2))-(POWER(TAN(A307/2),2*$C$303+2)/(2*$C$303+2))-(POWER(TAN($E$303/2),2*$C$303-2)/(2*$C$303-2))+(POWER(TAN($E$303/2),2*$C$303+2)/(2*$C$303+2))))-$D$300</f>
        <v>-8.5099275497313998E-3</v>
      </c>
      <c r="O307" s="75">
        <f t="shared" ref="O307:O316" si="317">-(-$I$300+0.5*$K$303*((POWER(TAN((A307+$M$9)/2),2*$C$303-2)/(2*$C$303-2))-(POWER(TAN((A307+$M$9)/2),2*$C$303+2)/(2*$C$303+2))-(POWER(TAN($E$303/2),2*$C$303-2)/(2*$C$303-2))+(POWER(TAN($E$303/2),2*$C$303+2)/(2*$C$303+2))))-$D$300</f>
        <v>-2.1429748113355962E-2</v>
      </c>
      <c r="P307" s="75">
        <f t="shared" ref="P307:P316" si="318">A307-N307/(O307-N307)*$M$9</f>
        <v>2.6706800025293118</v>
      </c>
      <c r="AF307" s="7"/>
      <c r="AG307" s="7"/>
      <c r="AH307" s="7"/>
      <c r="AI307" s="7"/>
      <c r="AJ307" s="7"/>
      <c r="AK307" s="7"/>
      <c r="AL307" s="7"/>
      <c r="AM307" s="7"/>
      <c r="AN307" s="7"/>
      <c r="AR307" s="92"/>
      <c r="AS307" s="7"/>
      <c r="AT307" s="125"/>
      <c r="AU307" s="125"/>
      <c r="AV307" s="125"/>
      <c r="AW307" s="125"/>
      <c r="AX307" s="125"/>
      <c r="AY307" s="125"/>
      <c r="AZ307" s="7"/>
    </row>
    <row r="308" spans="1:52" s="18" customFormat="1">
      <c r="A308" s="19">
        <f t="shared" ref="A308:A316" si="319">P307</f>
        <v>2.6706800025293118</v>
      </c>
      <c r="B308" s="26">
        <f t="shared" si="305"/>
        <v>-0.89115458979624484</v>
      </c>
      <c r="C308" s="26">
        <f t="shared" si="306"/>
        <v>-0.54673189942197764</v>
      </c>
      <c r="D308" s="26">
        <f t="shared" si="307"/>
        <v>1.6350376556462334</v>
      </c>
      <c r="E308" s="26">
        <f t="shared" si="308"/>
        <v>0.45369978739810601</v>
      </c>
      <c r="F308" s="77">
        <f t="shared" si="309"/>
        <v>0.92586624618246471</v>
      </c>
      <c r="G308" s="77">
        <f t="shared" si="310"/>
        <v>4.9129961022513068E-2</v>
      </c>
      <c r="H308" s="75">
        <f t="shared" si="311"/>
        <v>1.1572850674801434</v>
      </c>
      <c r="I308" s="75">
        <f t="shared" si="312"/>
        <v>0.36819346057995167</v>
      </c>
      <c r="J308" s="77">
        <f t="shared" si="313"/>
        <v>-0.92614914887595323</v>
      </c>
      <c r="K308" s="77">
        <f t="shared" si="314"/>
        <v>1.8191369883373607</v>
      </c>
      <c r="L308" s="91">
        <f t="shared" si="315"/>
        <v>2.0413259485689137</v>
      </c>
      <c r="M308" s="93"/>
      <c r="N308" s="75">
        <f t="shared" si="316"/>
        <v>-1.6694901454772371E-4</v>
      </c>
      <c r="O308" s="75">
        <f t="shared" si="317"/>
        <v>-1.2885119985430571E-2</v>
      </c>
      <c r="P308" s="75">
        <f t="shared" si="318"/>
        <v>2.670640622099155</v>
      </c>
      <c r="AF308" s="7"/>
      <c r="AG308" s="7"/>
      <c r="AH308" s="7"/>
      <c r="AI308" s="7"/>
      <c r="AJ308" s="7"/>
      <c r="AK308" s="7"/>
      <c r="AL308" s="7"/>
      <c r="AM308" s="7"/>
      <c r="AN308" s="7"/>
      <c r="AR308" s="92"/>
      <c r="AS308" s="7"/>
      <c r="AT308" s="125"/>
      <c r="AU308" s="125"/>
      <c r="AV308" s="125"/>
      <c r="AW308" s="125"/>
      <c r="AX308" s="125"/>
      <c r="AY308" s="125"/>
      <c r="AZ308" s="7"/>
    </row>
    <row r="309" spans="1:52" s="18" customFormat="1">
      <c r="A309" s="19">
        <f t="shared" si="319"/>
        <v>2.670640622099155</v>
      </c>
      <c r="B309" s="26">
        <f t="shared" si="305"/>
        <v>-0.89113672221245022</v>
      </c>
      <c r="C309" s="26">
        <f t="shared" si="306"/>
        <v>-0.54671403183818301</v>
      </c>
      <c r="D309" s="26">
        <f t="shared" si="307"/>
        <v>1.6349887782450305</v>
      </c>
      <c r="E309" s="26">
        <f t="shared" si="308"/>
        <v>0.45373488109737642</v>
      </c>
      <c r="F309" s="77">
        <f t="shared" si="309"/>
        <v>0.92573670573822175</v>
      </c>
      <c r="G309" s="77">
        <f t="shared" si="310"/>
        <v>4.9215810135080064E-2</v>
      </c>
      <c r="H309" s="75">
        <f t="shared" si="311"/>
        <v>1.1572010881366179</v>
      </c>
      <c r="I309" s="75">
        <f t="shared" si="312"/>
        <v>0.36835840430527356</v>
      </c>
      <c r="J309" s="77">
        <f t="shared" si="313"/>
        <v>-0.92612146280807173</v>
      </c>
      <c r="K309" s="77">
        <f t="shared" si="314"/>
        <v>1.818905442626233</v>
      </c>
      <c r="L309" s="91">
        <f t="shared" si="315"/>
        <v>2.0411070459652758</v>
      </c>
      <c r="M309" s="93"/>
      <c r="N309" s="75">
        <f t="shared" si="316"/>
        <v>-2.0052892258370925E-6</v>
      </c>
      <c r="O309" s="75">
        <f t="shared" si="317"/>
        <v>-1.2716197997738099E-2</v>
      </c>
      <c r="P309" s="75">
        <f t="shared" si="318"/>
        <v>2.670640148937562</v>
      </c>
      <c r="AF309" s="7"/>
      <c r="AG309" s="7"/>
      <c r="AH309" s="7"/>
      <c r="AI309" s="7"/>
      <c r="AJ309" s="7"/>
      <c r="AK309" s="7"/>
      <c r="AL309" s="7"/>
      <c r="AM309" s="7"/>
      <c r="AN309" s="7"/>
      <c r="AR309" s="92"/>
      <c r="AS309" s="7"/>
      <c r="AT309" s="125"/>
      <c r="AU309" s="125"/>
      <c r="AV309" s="125"/>
      <c r="AW309" s="125"/>
      <c r="AX309" s="125"/>
      <c r="AY309" s="125"/>
      <c r="AZ309" s="7"/>
    </row>
    <row r="310" spans="1:52" s="18" customFormat="1">
      <c r="A310" s="19">
        <f t="shared" si="319"/>
        <v>2.670640148937562</v>
      </c>
      <c r="B310" s="26">
        <f t="shared" si="305"/>
        <v>-0.89113650752243134</v>
      </c>
      <c r="C310" s="26">
        <f t="shared" si="306"/>
        <v>-0.54671381714816414</v>
      </c>
      <c r="D310" s="26">
        <f t="shared" si="307"/>
        <v>1.6349881910078168</v>
      </c>
      <c r="E310" s="26">
        <f t="shared" si="308"/>
        <v>0.45373530274899671</v>
      </c>
      <c r="F310" s="77">
        <f t="shared" si="309"/>
        <v>0.92573514943632307</v>
      </c>
      <c r="G310" s="77">
        <f t="shared" si="310"/>
        <v>4.9216841528307631E-2</v>
      </c>
      <c r="H310" s="75">
        <f t="shared" si="311"/>
        <v>1.1572000792221007</v>
      </c>
      <c r="I310" s="75">
        <f t="shared" si="312"/>
        <v>0.36836038581537356</v>
      </c>
      <c r="J310" s="77">
        <f t="shared" si="313"/>
        <v>-0.926121130173992</v>
      </c>
      <c r="K310" s="77">
        <f t="shared" si="314"/>
        <v>1.8189026608373227</v>
      </c>
      <c r="L310" s="91">
        <f t="shared" si="315"/>
        <v>2.0411044160835683</v>
      </c>
      <c r="M310" s="93"/>
      <c r="N310" s="75">
        <f t="shared" si="316"/>
        <v>-2.3779125835066139E-8</v>
      </c>
      <c r="O310" s="75">
        <f t="shared" si="317"/>
        <v>-1.2714168697770922E-2</v>
      </c>
      <c r="P310" s="75">
        <f t="shared" si="318"/>
        <v>2.6706401433266946</v>
      </c>
      <c r="AF310" s="7"/>
      <c r="AG310" s="7"/>
      <c r="AH310" s="7"/>
      <c r="AI310" s="7"/>
      <c r="AJ310" s="7"/>
      <c r="AK310" s="7"/>
      <c r="AL310" s="7"/>
      <c r="AM310" s="7"/>
      <c r="AN310" s="7"/>
      <c r="AR310" s="92"/>
      <c r="AS310" s="7"/>
      <c r="AT310" s="125"/>
      <c r="AU310" s="125"/>
      <c r="AV310" s="125"/>
      <c r="AW310" s="125"/>
      <c r="AX310" s="125"/>
      <c r="AY310" s="125"/>
      <c r="AZ310" s="7"/>
    </row>
    <row r="311" spans="1:52" s="18" customFormat="1">
      <c r="A311" s="19">
        <f t="shared" si="319"/>
        <v>2.6706401433266946</v>
      </c>
      <c r="B311" s="26">
        <f t="shared" si="305"/>
        <v>-0.8911365049765827</v>
      </c>
      <c r="C311" s="26">
        <f t="shared" si="306"/>
        <v>-0.5467138146023155</v>
      </c>
      <c r="D311" s="26">
        <f t="shared" si="307"/>
        <v>1.6349881840442171</v>
      </c>
      <c r="E311" s="26">
        <f t="shared" si="308"/>
        <v>0.45373530774904541</v>
      </c>
      <c r="F311" s="77">
        <f t="shared" si="309"/>
        <v>0.92573513098133053</v>
      </c>
      <c r="G311" s="77">
        <f t="shared" si="310"/>
        <v>4.9216853758810165E-2</v>
      </c>
      <c r="H311" s="75">
        <f t="shared" si="311"/>
        <v>1.1572000672581584</v>
      </c>
      <c r="I311" s="75">
        <f t="shared" si="312"/>
        <v>0.36836040931256658</v>
      </c>
      <c r="J311" s="77">
        <f t="shared" si="313"/>
        <v>-0.92612112622953746</v>
      </c>
      <c r="K311" s="77">
        <f t="shared" si="314"/>
        <v>1.8189026278502192</v>
      </c>
      <c r="L311" s="91">
        <f t="shared" si="315"/>
        <v>2.0411043848978179</v>
      </c>
      <c r="M311" s="93"/>
      <c r="N311" s="75">
        <f t="shared" si="316"/>
        <v>-2.8193281043087381E-10</v>
      </c>
      <c r="O311" s="75">
        <f t="shared" si="317"/>
        <v>-1.2714144633874935E-2</v>
      </c>
      <c r="P311" s="75">
        <f t="shared" si="318"/>
        <v>2.6706401432601705</v>
      </c>
      <c r="AF311" s="7"/>
      <c r="AG311" s="7"/>
      <c r="AH311" s="7"/>
      <c r="AI311" s="7"/>
      <c r="AJ311" s="7"/>
      <c r="AK311" s="7"/>
      <c r="AL311" s="7"/>
      <c r="AM311" s="7"/>
      <c r="AN311" s="7"/>
      <c r="AR311" s="92"/>
      <c r="AS311" s="7"/>
      <c r="AT311" s="125"/>
      <c r="AU311" s="125"/>
      <c r="AV311" s="125"/>
      <c r="AW311" s="125"/>
      <c r="AX311" s="125"/>
      <c r="AY311" s="125"/>
      <c r="AZ311" s="7"/>
    </row>
    <row r="312" spans="1:52" s="18" customFormat="1">
      <c r="A312" s="19">
        <f t="shared" si="319"/>
        <v>2.6706401432601705</v>
      </c>
      <c r="B312" s="26">
        <f t="shared" si="305"/>
        <v>-0.8911365049463984</v>
      </c>
      <c r="C312" s="26">
        <f t="shared" si="306"/>
        <v>-0.5467138145721312</v>
      </c>
      <c r="D312" s="26">
        <f t="shared" si="307"/>
        <v>1.6349881839616545</v>
      </c>
      <c r="E312" s="26">
        <f t="shared" si="308"/>
        <v>0.45373530780832749</v>
      </c>
      <c r="F312" s="77">
        <f t="shared" si="309"/>
        <v>0.92573513076252267</v>
      </c>
      <c r="G312" s="77">
        <f t="shared" si="310"/>
        <v>4.9216853903818629E-2</v>
      </c>
      <c r="H312" s="75">
        <f t="shared" si="311"/>
        <v>1.1572000671163101</v>
      </c>
      <c r="I312" s="75">
        <f t="shared" si="312"/>
        <v>0.36836040959115635</v>
      </c>
      <c r="J312" s="77">
        <f t="shared" si="313"/>
        <v>-0.92612112618277076</v>
      </c>
      <c r="K312" s="77">
        <f t="shared" si="314"/>
        <v>1.818902627459114</v>
      </c>
      <c r="L312" s="91">
        <f t="shared" si="315"/>
        <v>2.0411043845280701</v>
      </c>
      <c r="M312" s="93"/>
      <c r="N312" s="75">
        <f t="shared" si="316"/>
        <v>-3.3430480606000401E-12</v>
      </c>
      <c r="O312" s="75">
        <f t="shared" si="317"/>
        <v>-1.2714144348566214E-2</v>
      </c>
      <c r="P312" s="75">
        <f t="shared" si="318"/>
        <v>2.6706401432593818</v>
      </c>
      <c r="AF312" s="7"/>
      <c r="AG312" s="7"/>
      <c r="AH312" s="7"/>
      <c r="AI312" s="7"/>
      <c r="AJ312" s="7"/>
      <c r="AK312" s="7"/>
      <c r="AL312" s="7"/>
      <c r="AM312" s="7"/>
      <c r="AN312" s="7"/>
      <c r="AR312" s="92"/>
      <c r="AS312" s="7"/>
      <c r="AT312" s="125"/>
      <c r="AU312" s="125"/>
      <c r="AV312" s="125"/>
      <c r="AW312" s="125"/>
      <c r="AX312" s="125"/>
      <c r="AY312" s="125"/>
      <c r="AZ312" s="7"/>
    </row>
    <row r="313" spans="1:52" s="18" customFormat="1">
      <c r="A313" s="19">
        <f t="shared" si="319"/>
        <v>2.6706401432593818</v>
      </c>
      <c r="B313" s="26">
        <f t="shared" si="305"/>
        <v>-0.89113650494604058</v>
      </c>
      <c r="C313" s="26">
        <f t="shared" si="306"/>
        <v>-0.54671381457177337</v>
      </c>
      <c r="D313" s="26">
        <f t="shared" si="307"/>
        <v>1.6349881839606757</v>
      </c>
      <c r="E313" s="26">
        <f t="shared" si="308"/>
        <v>0.45373530780903032</v>
      </c>
      <c r="F313" s="77">
        <f t="shared" si="309"/>
        <v>0.92573513075992853</v>
      </c>
      <c r="G313" s="77">
        <f t="shared" si="310"/>
        <v>4.9216853905537823E-2</v>
      </c>
      <c r="H313" s="75">
        <f t="shared" si="311"/>
        <v>1.1572000671146283</v>
      </c>
      <c r="I313" s="75">
        <f t="shared" si="312"/>
        <v>0.36836040959445909</v>
      </c>
      <c r="J313" s="77">
        <f t="shared" si="313"/>
        <v>-0.9261211261822162</v>
      </c>
      <c r="K313" s="77">
        <f t="shared" si="314"/>
        <v>1.8189026274544771</v>
      </c>
      <c r="L313" s="91">
        <f t="shared" si="315"/>
        <v>2.0411043845236865</v>
      </c>
      <c r="M313" s="93"/>
      <c r="N313" s="75">
        <f t="shared" si="316"/>
        <v>-4.0301095793893182E-14</v>
      </c>
      <c r="O313" s="75">
        <f t="shared" si="317"/>
        <v>-1.2714144345183864E-2</v>
      </c>
      <c r="P313" s="75">
        <f t="shared" si="318"/>
        <v>2.6706401432593725</v>
      </c>
      <c r="AF313" s="7"/>
      <c r="AG313" s="7"/>
      <c r="AH313" s="7"/>
      <c r="AI313" s="7"/>
      <c r="AJ313" s="7"/>
      <c r="AK313" s="7"/>
      <c r="AL313" s="7"/>
      <c r="AM313" s="7"/>
      <c r="AN313" s="7"/>
      <c r="AR313" s="92"/>
      <c r="AS313" s="7"/>
      <c r="AT313" s="125"/>
      <c r="AU313" s="125"/>
      <c r="AV313" s="125"/>
      <c r="AW313" s="125"/>
      <c r="AX313" s="125"/>
      <c r="AY313" s="125"/>
      <c r="AZ313" s="7"/>
    </row>
    <row r="314" spans="1:52" s="18" customFormat="1">
      <c r="A314" s="19">
        <f t="shared" si="319"/>
        <v>2.6706401432593725</v>
      </c>
      <c r="B314" s="26">
        <f t="shared" si="305"/>
        <v>-0.89113650494603625</v>
      </c>
      <c r="C314" s="26">
        <f t="shared" si="306"/>
        <v>-0.54671381457176904</v>
      </c>
      <c r="D314" s="26">
        <f t="shared" si="307"/>
        <v>1.6349881839606641</v>
      </c>
      <c r="E314" s="26">
        <f t="shared" si="308"/>
        <v>0.45373530780903865</v>
      </c>
      <c r="F314" s="77">
        <f t="shared" si="309"/>
        <v>0.92573513075989755</v>
      </c>
      <c r="G314" s="77">
        <f t="shared" si="310"/>
        <v>4.9216853905558348E-2</v>
      </c>
      <c r="H314" s="75">
        <f t="shared" si="311"/>
        <v>1.1572000671146088</v>
      </c>
      <c r="I314" s="75">
        <f t="shared" si="312"/>
        <v>0.36836040959449806</v>
      </c>
      <c r="J314" s="77">
        <f t="shared" si="313"/>
        <v>-0.92612112618220965</v>
      </c>
      <c r="K314" s="77">
        <f t="shared" si="314"/>
        <v>1.818902627454422</v>
      </c>
      <c r="L314" s="91">
        <f t="shared" si="315"/>
        <v>2.0411043845236345</v>
      </c>
      <c r="M314" s="93"/>
      <c r="N314" s="75">
        <f t="shared" si="316"/>
        <v>-1.3322676295501878E-15</v>
      </c>
      <c r="O314" s="75">
        <f t="shared" si="317"/>
        <v>-1.271414434514373E-2</v>
      </c>
      <c r="P314" s="75">
        <f t="shared" si="318"/>
        <v>2.670640143259372</v>
      </c>
      <c r="AF314" s="7"/>
      <c r="AG314" s="7"/>
      <c r="AH314" s="7"/>
      <c r="AI314" s="7"/>
      <c r="AJ314" s="7"/>
      <c r="AK314" s="7"/>
      <c r="AL314" s="7"/>
      <c r="AM314" s="7"/>
      <c r="AN314" s="7"/>
      <c r="AR314" s="92"/>
      <c r="AS314" s="7"/>
      <c r="AT314" s="125"/>
      <c r="AU314" s="125"/>
      <c r="AV314" s="125"/>
      <c r="AW314" s="125"/>
      <c r="AX314" s="125"/>
      <c r="AY314" s="125"/>
      <c r="AZ314" s="7"/>
    </row>
    <row r="315" spans="1:52" s="18" customFormat="1">
      <c r="A315" s="19">
        <f t="shared" si="319"/>
        <v>2.670640143259372</v>
      </c>
      <c r="B315" s="26">
        <f t="shared" si="305"/>
        <v>-0.89113650494603613</v>
      </c>
      <c r="C315" s="26">
        <f t="shared" si="306"/>
        <v>-0.54671381457176893</v>
      </c>
      <c r="D315" s="26">
        <f t="shared" si="307"/>
        <v>1.6349881839606637</v>
      </c>
      <c r="E315" s="26">
        <f t="shared" si="308"/>
        <v>0.45373530780903903</v>
      </c>
      <c r="F315" s="77">
        <f t="shared" si="309"/>
        <v>0.92573513075989666</v>
      </c>
      <c r="G315" s="77">
        <f t="shared" si="310"/>
        <v>4.9216853905558938E-2</v>
      </c>
      <c r="H315" s="75">
        <f t="shared" si="311"/>
        <v>1.1572000671146074</v>
      </c>
      <c r="I315" s="75">
        <f t="shared" si="312"/>
        <v>0.36836040959449995</v>
      </c>
      <c r="J315" s="77">
        <f t="shared" si="313"/>
        <v>-0.92612112618220965</v>
      </c>
      <c r="K315" s="77">
        <f t="shared" si="314"/>
        <v>1.8189026274544207</v>
      </c>
      <c r="L315" s="91">
        <f t="shared" si="315"/>
        <v>2.0411043845236332</v>
      </c>
      <c r="M315" s="93"/>
      <c r="N315" s="75">
        <f t="shared" si="316"/>
        <v>5.5511151231257827E-16</v>
      </c>
      <c r="O315" s="75">
        <f t="shared" si="317"/>
        <v>-1.2714144345141398E-2</v>
      </c>
      <c r="P315" s="75">
        <f t="shared" si="318"/>
        <v>2.670640143259372</v>
      </c>
      <c r="AF315" s="7"/>
      <c r="AG315" s="7"/>
      <c r="AH315" s="7"/>
      <c r="AI315" s="7"/>
      <c r="AJ315" s="7"/>
      <c r="AK315" s="7"/>
      <c r="AL315" s="7"/>
      <c r="AM315" s="7"/>
      <c r="AN315" s="7"/>
      <c r="AR315" s="92"/>
      <c r="AS315" s="7"/>
      <c r="AT315" s="125"/>
      <c r="AU315" s="125"/>
      <c r="AV315" s="125"/>
      <c r="AW315" s="125"/>
      <c r="AX315" s="125"/>
      <c r="AY315" s="125"/>
      <c r="AZ315" s="7"/>
    </row>
    <row r="316" spans="1:52" s="18" customFormat="1">
      <c r="A316" s="19">
        <f t="shared" si="319"/>
        <v>2.670640143259372</v>
      </c>
      <c r="B316" s="26">
        <f t="shared" si="305"/>
        <v>-0.89113650494603613</v>
      </c>
      <c r="C316" s="26">
        <f t="shared" si="306"/>
        <v>-0.54671381457176893</v>
      </c>
      <c r="D316" s="26">
        <f t="shared" si="307"/>
        <v>1.6349881839606637</v>
      </c>
      <c r="E316" s="26">
        <f t="shared" si="308"/>
        <v>0.45373530780903903</v>
      </c>
      <c r="F316" s="77">
        <f t="shared" si="309"/>
        <v>0.92573513075989666</v>
      </c>
      <c r="G316" s="77">
        <f t="shared" si="310"/>
        <v>4.9216853905558938E-2</v>
      </c>
      <c r="H316" s="75">
        <f t="shared" si="311"/>
        <v>1.1572000671146074</v>
      </c>
      <c r="I316" s="75">
        <f t="shared" si="312"/>
        <v>0.36836040959449995</v>
      </c>
      <c r="J316" s="77">
        <f t="shared" si="313"/>
        <v>-0.92612112618220965</v>
      </c>
      <c r="K316" s="77">
        <f t="shared" si="314"/>
        <v>1.8189026274544207</v>
      </c>
      <c r="L316" s="91">
        <f t="shared" si="315"/>
        <v>2.0411043845236332</v>
      </c>
      <c r="M316" s="93"/>
      <c r="N316" s="75">
        <f t="shared" si="316"/>
        <v>5.5511151231257827E-16</v>
      </c>
      <c r="O316" s="75">
        <f t="shared" si="317"/>
        <v>-1.2714144345141398E-2</v>
      </c>
      <c r="P316" s="75">
        <f t="shared" si="318"/>
        <v>2.670640143259372</v>
      </c>
      <c r="AF316" s="7"/>
      <c r="AG316" s="7"/>
      <c r="AH316" s="7"/>
      <c r="AI316" s="7"/>
      <c r="AJ316" s="7"/>
      <c r="AK316" s="7"/>
      <c r="AL316" s="7"/>
      <c r="AM316" s="7"/>
      <c r="AN316" s="7"/>
      <c r="AR316" s="92"/>
      <c r="AS316" s="7"/>
      <c r="AT316" s="125"/>
      <c r="AU316" s="125"/>
      <c r="AV316" s="125"/>
      <c r="AW316" s="125"/>
      <c r="AX316" s="125"/>
      <c r="AY316" s="125"/>
      <c r="AZ316" s="7"/>
    </row>
    <row r="317" spans="1:52" s="18" customFormat="1">
      <c r="A317" s="88" t="s">
        <v>60</v>
      </c>
      <c r="B317" s="8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AF317" s="7"/>
      <c r="AG317" s="7"/>
      <c r="AH317" s="7"/>
      <c r="AI317" s="7"/>
      <c r="AJ317" s="7"/>
      <c r="AK317" s="7"/>
      <c r="AL317" s="7"/>
      <c r="AM317" s="7"/>
      <c r="AN317" s="7"/>
      <c r="AR317" s="92"/>
      <c r="AS317" s="7"/>
      <c r="AT317" s="125"/>
      <c r="AU317" s="125"/>
      <c r="AV317" s="125"/>
      <c r="AW317" s="125"/>
      <c r="AX317" s="125"/>
      <c r="AY317" s="125"/>
      <c r="AZ317" s="7"/>
    </row>
    <row r="318" spans="1:52" s="18" customFormat="1">
      <c r="A318" s="26" t="s">
        <v>11</v>
      </c>
      <c r="B318" s="26" t="s">
        <v>13</v>
      </c>
      <c r="C318" s="26" t="s">
        <v>22</v>
      </c>
      <c r="D318" s="26" t="s">
        <v>18</v>
      </c>
      <c r="E318" s="26" t="s">
        <v>19</v>
      </c>
      <c r="F318" s="26" t="s">
        <v>20</v>
      </c>
      <c r="G318" s="26" t="s">
        <v>2</v>
      </c>
      <c r="H318" s="26" t="s">
        <v>1</v>
      </c>
      <c r="I318" s="26" t="s">
        <v>0</v>
      </c>
      <c r="J318" s="76" t="s">
        <v>3</v>
      </c>
      <c r="K318" s="76" t="s">
        <v>4</v>
      </c>
      <c r="L318" s="44" t="s">
        <v>7</v>
      </c>
      <c r="M318" s="28"/>
      <c r="N318" s="28"/>
      <c r="O318" s="28"/>
      <c r="P318" s="31"/>
      <c r="AF318" s="7"/>
      <c r="AG318" s="7"/>
      <c r="AH318" s="7"/>
      <c r="AI318" s="7"/>
      <c r="AJ318" s="7"/>
      <c r="AK318" s="7"/>
      <c r="AL318" s="7"/>
      <c r="AM318" s="7"/>
      <c r="AN318" s="7"/>
      <c r="AR318" s="92"/>
      <c r="AS318" s="7"/>
      <c r="AT318" s="125"/>
      <c r="AU318" s="125"/>
      <c r="AV318" s="125"/>
      <c r="AW318" s="125"/>
      <c r="AX318" s="125"/>
      <c r="AY318" s="125"/>
      <c r="AZ318" s="7"/>
    </row>
    <row r="319" spans="1:52" s="18" customFormat="1">
      <c r="A319" s="19">
        <f>$E303</f>
        <v>2.6920838879314757</v>
      </c>
      <c r="B319" s="26">
        <f t="shared" ref="B319:B324" si="320">COS(A319)</f>
        <v>-0.90066066370791364</v>
      </c>
      <c r="C319" s="26">
        <f t="shared" ref="C319:C324" si="321">($C$303+B319)</f>
        <v>-0.55623797333364644</v>
      </c>
      <c r="D319" s="26">
        <f t="shared" ref="D319:D324" si="322">POWER(TAN(A319/2),$C$303)</f>
        <v>1.6624080450332668</v>
      </c>
      <c r="E319" s="26">
        <f t="shared" ref="E319:E324" si="323">SIN(A319)</f>
        <v>0.43452315110845424</v>
      </c>
      <c r="F319" s="77">
        <f t="shared" ref="F319:F324" si="324">(C319*$H$303*D319/E319/$I$303/$J$303)</f>
        <v>1</v>
      </c>
      <c r="G319" s="77">
        <f t="shared" ref="G319:G324" si="325">$D$303*($C$303+$G$303)/9.81/SIN($C$300)/(1-$C$303*$C$300)*(F319-1)</f>
        <v>0</v>
      </c>
      <c r="H319" s="139">
        <f t="shared" ref="H319:H324" si="326">-(-$H$300+$K$303*((POWER(TAN(A319/2),2*$C$303-1)/(2*$C$303-1))+(POWER(TAN(A319/2),2*$C$303+1)/(2*$C$303+1))-(POWER(TAN($E$303/2),2*$C$303-1)/(2*$C$303-1))-(POWER(TAN($E$303/2),2*$C$303+1)/(2*$C$303+1))))</f>
        <v>1.2057508712377385</v>
      </c>
      <c r="I319" s="139">
        <f t="shared" ref="I319:I324" si="327">-(-$I$300+0.5*$K$303*((POWER(TAN(A319/2),2*$C$303-2)/(2*$C$303-2))-(POWER(TAN(A319/2),2*$C$303+2)/(2*$C$303+2))-(POWER(TAN($E$303/2),2*$C$303-2)/(2*$C$303-2))+(POWER(TAN($E$303/2),2*$C$303+2)/(2*$C$303+2))))</f>
        <v>0.27035186996590749</v>
      </c>
      <c r="J319" s="77">
        <f t="shared" ref="J319:J324" si="328">-$D$303*SIN(A319)*($C$303+$G$303)/($C$303+B319)*F319</f>
        <v>-0.94165280577808486</v>
      </c>
      <c r="K319" s="77">
        <f t="shared" ref="K319:K324" si="329">-$D$303*COS(A319)*($C$303+$G$303)/($C$303+B319)*F319</f>
        <v>1.9518169259129443</v>
      </c>
      <c r="L319" s="91">
        <f t="shared" ref="L319:L324" si="330">SQRT(J319*J319+K319*K319)</f>
        <v>2.1670946723459026</v>
      </c>
      <c r="M319" s="28"/>
      <c r="N319" s="28"/>
      <c r="O319" s="28"/>
      <c r="P319" s="31"/>
      <c r="AF319" s="7"/>
      <c r="AG319" s="7"/>
      <c r="AH319" s="7"/>
      <c r="AI319" s="7"/>
      <c r="AJ319" s="7"/>
      <c r="AK319" s="7"/>
      <c r="AL319" s="7"/>
      <c r="AM319" s="7"/>
      <c r="AN319" s="7"/>
      <c r="AR319" s="92"/>
      <c r="AS319" s="7"/>
      <c r="AT319" s="125"/>
      <c r="AU319" s="125"/>
      <c r="AV319" s="125"/>
      <c r="AW319" s="125"/>
      <c r="AX319" s="125"/>
      <c r="AY319" s="125"/>
      <c r="AZ319" s="7"/>
    </row>
    <row r="320" spans="1:52" s="18" customFormat="1">
      <c r="A320" s="20">
        <f>A319-$F$303</f>
        <v>2.6878151389970548</v>
      </c>
      <c r="B320" s="26">
        <f t="shared" si="320"/>
        <v>-0.89879759309816398</v>
      </c>
      <c r="C320" s="26">
        <f t="shared" si="321"/>
        <v>-0.55437490272389678</v>
      </c>
      <c r="D320" s="26">
        <f t="shared" si="322"/>
        <v>1.6568172599941242</v>
      </c>
      <c r="E320" s="26">
        <f t="shared" si="323"/>
        <v>0.43836387469880228</v>
      </c>
      <c r="F320" s="77">
        <f t="shared" si="324"/>
        <v>0.98459600328635166</v>
      </c>
      <c r="G320" s="77">
        <f t="shared" si="325"/>
        <v>1.0208544949648192E-2</v>
      </c>
      <c r="H320" s="139">
        <f t="shared" si="326"/>
        <v>1.1956143939214174</v>
      </c>
      <c r="I320" s="139">
        <f t="shared" si="327"/>
        <v>0.29124886445440518</v>
      </c>
      <c r="J320" s="77">
        <f t="shared" si="328"/>
        <v>-0.93848596690579977</v>
      </c>
      <c r="K320" s="77">
        <f t="shared" si="329"/>
        <v>1.9242208970593366</v>
      </c>
      <c r="L320" s="91">
        <f t="shared" si="330"/>
        <v>2.1408834556694001</v>
      </c>
      <c r="M320" s="28"/>
      <c r="N320" s="28"/>
      <c r="O320" s="28"/>
      <c r="P320" s="31"/>
      <c r="AF320" s="7"/>
      <c r="AG320" s="7"/>
      <c r="AH320" s="7"/>
      <c r="AI320" s="7"/>
      <c r="AJ320" s="7"/>
      <c r="AK320" s="7"/>
      <c r="AL320" s="7"/>
      <c r="AM320" s="7"/>
      <c r="AN320" s="7"/>
      <c r="AR320" s="92"/>
      <c r="AS320" s="7"/>
      <c r="AT320" s="125"/>
      <c r="AU320" s="125"/>
      <c r="AV320" s="125"/>
      <c r="AW320" s="125"/>
      <c r="AX320" s="125"/>
      <c r="AY320" s="125"/>
      <c r="AZ320" s="7"/>
    </row>
    <row r="321" spans="1:52" s="18" customFormat="1">
      <c r="A321" s="20">
        <f>A320-$F$303</f>
        <v>2.683546390062634</v>
      </c>
      <c r="B321" s="26">
        <f t="shared" si="320"/>
        <v>-0.89691814442808626</v>
      </c>
      <c r="C321" s="26">
        <f t="shared" si="321"/>
        <v>-0.55249545405381906</v>
      </c>
      <c r="D321" s="26">
        <f t="shared" si="322"/>
        <v>1.6512937527319327</v>
      </c>
      <c r="E321" s="26">
        <f t="shared" si="323"/>
        <v>0.44219661033942653</v>
      </c>
      <c r="F321" s="77">
        <f t="shared" si="324"/>
        <v>0.96950999794870762</v>
      </c>
      <c r="G321" s="77">
        <f t="shared" si="325"/>
        <v>2.0206350484332464E-2</v>
      </c>
      <c r="H321" s="139">
        <f t="shared" si="326"/>
        <v>1.1857204096861205</v>
      </c>
      <c r="I321" s="139">
        <f t="shared" si="327"/>
        <v>0.31142613543294095</v>
      </c>
      <c r="J321" s="77">
        <f t="shared" si="328"/>
        <v>-0.9353572367924452</v>
      </c>
      <c r="K321" s="77">
        <f t="shared" si="329"/>
        <v>1.89720784281295</v>
      </c>
      <c r="L321" s="91">
        <f t="shared" si="330"/>
        <v>2.1152519375362751</v>
      </c>
      <c r="M321" s="45"/>
      <c r="N321" s="28"/>
      <c r="O321" s="28"/>
      <c r="P321" s="31"/>
      <c r="AF321" s="7"/>
      <c r="AG321" s="7"/>
      <c r="AH321" s="7"/>
      <c r="AI321" s="7"/>
      <c r="AJ321" s="7"/>
      <c r="AK321" s="7"/>
      <c r="AL321" s="7"/>
      <c r="AM321" s="7"/>
      <c r="AN321" s="7"/>
      <c r="AR321" s="92"/>
      <c r="AS321" s="7"/>
      <c r="AT321" s="125"/>
      <c r="AU321" s="125"/>
      <c r="AV321" s="125"/>
      <c r="AW321" s="125"/>
      <c r="AX321" s="125"/>
      <c r="AY321" s="125"/>
      <c r="AZ321" s="7"/>
    </row>
    <row r="322" spans="1:52" s="18" customFormat="1">
      <c r="A322" s="20">
        <f>A321-$F$303</f>
        <v>2.6792776411282131</v>
      </c>
      <c r="B322" s="26">
        <f t="shared" si="320"/>
        <v>-0.89502235194535074</v>
      </c>
      <c r="C322" s="26">
        <f t="shared" si="321"/>
        <v>-0.55059966157108353</v>
      </c>
      <c r="D322" s="26">
        <f t="shared" si="322"/>
        <v>1.6458360419323763</v>
      </c>
      <c r="E322" s="26">
        <f t="shared" si="323"/>
        <v>0.44602128818949077</v>
      </c>
      <c r="F322" s="77">
        <f t="shared" si="324"/>
        <v>0.95473221165208533</v>
      </c>
      <c r="G322" s="77">
        <f t="shared" si="325"/>
        <v>2.9999892931124747E-2</v>
      </c>
      <c r="H322" s="139">
        <f t="shared" si="326"/>
        <v>1.1760607397425538</v>
      </c>
      <c r="I322" s="139">
        <f t="shared" si="327"/>
        <v>0.33091465965151468</v>
      </c>
      <c r="J322" s="77">
        <f t="shared" si="328"/>
        <v>-0.9322657763637725</v>
      </c>
      <c r="K322" s="77">
        <f t="shared" si="329"/>
        <v>1.8707598267030929</v>
      </c>
      <c r="L322" s="91">
        <f t="shared" si="330"/>
        <v>2.0901822425294245</v>
      </c>
      <c r="M322" s="45"/>
      <c r="N322" s="28"/>
      <c r="O322" s="28"/>
      <c r="P322" s="31"/>
      <c r="AF322" s="7"/>
      <c r="AG322" s="7"/>
      <c r="AH322" s="7"/>
      <c r="AI322" s="7"/>
      <c r="AJ322" s="7"/>
      <c r="AK322" s="7"/>
      <c r="AL322" s="7"/>
      <c r="AM322" s="7"/>
      <c r="AN322" s="7"/>
      <c r="AR322" s="92"/>
      <c r="AS322" s="7"/>
      <c r="AT322" s="125"/>
      <c r="AU322" s="125"/>
      <c r="AV322" s="125"/>
      <c r="AW322" s="125"/>
      <c r="AX322" s="125"/>
      <c r="AY322" s="125"/>
      <c r="AZ322" s="7"/>
    </row>
    <row r="323" spans="1:52" s="18" customFormat="1">
      <c r="A323" s="20">
        <f>A322-$F$303</f>
        <v>2.6750088921937922</v>
      </c>
      <c r="B323" s="26">
        <f t="shared" si="320"/>
        <v>-0.89311025019544776</v>
      </c>
      <c r="C323" s="26">
        <f t="shared" si="321"/>
        <v>-0.54868755982118056</v>
      </c>
      <c r="D323" s="26">
        <f t="shared" si="322"/>
        <v>1.6404426917499122</v>
      </c>
      <c r="E323" s="26">
        <f t="shared" si="323"/>
        <v>0.44983783855498932</v>
      </c>
      <c r="F323" s="77">
        <f t="shared" si="324"/>
        <v>0.94025325903528201</v>
      </c>
      <c r="G323" s="77">
        <f t="shared" si="325"/>
        <v>3.9595392161626421E-2</v>
      </c>
      <c r="H323" s="139">
        <f t="shared" si="326"/>
        <v>1.1666275540141029</v>
      </c>
      <c r="I323" s="139">
        <f t="shared" si="327"/>
        <v>0.34974381234853963</v>
      </c>
      <c r="J323" s="77">
        <f t="shared" si="328"/>
        <v>-0.92921077230082028</v>
      </c>
      <c r="K323" s="77">
        <f t="shared" si="329"/>
        <v>1.844859623191621</v>
      </c>
      <c r="L323" s="91">
        <f t="shared" si="330"/>
        <v>2.0656572050179616</v>
      </c>
      <c r="M323" s="45"/>
      <c r="N323" s="28"/>
      <c r="O323" s="28"/>
      <c r="P323" s="89"/>
      <c r="AF323" s="7"/>
      <c r="AG323" s="7"/>
      <c r="AH323" s="7"/>
      <c r="AI323" s="7"/>
      <c r="AJ323" s="7"/>
      <c r="AK323" s="7"/>
      <c r="AL323" s="7"/>
      <c r="AM323" s="7"/>
      <c r="AN323" s="7"/>
      <c r="AR323" s="92"/>
      <c r="AS323" s="7"/>
      <c r="AT323" s="125"/>
      <c r="AU323" s="125"/>
      <c r="AV323" s="125"/>
      <c r="AW323" s="125"/>
      <c r="AX323" s="125"/>
      <c r="AY323" s="125"/>
      <c r="AZ323" s="7"/>
    </row>
    <row r="324" spans="1:52" s="18" customFormat="1">
      <c r="A324" s="20">
        <f>A323-$F$303</f>
        <v>2.6707401432593714</v>
      </c>
      <c r="B324" s="26">
        <f t="shared" si="320"/>
        <v>-0.89118187402105853</v>
      </c>
      <c r="C324" s="26">
        <f t="shared" si="321"/>
        <v>-0.54675918364679132</v>
      </c>
      <c r="D324" s="26">
        <f t="shared" si="322"/>
        <v>1.635112310010449</v>
      </c>
      <c r="E324" s="26">
        <f t="shared" si="323"/>
        <v>0.45364619189001698</v>
      </c>
      <c r="F324" s="77">
        <f t="shared" si="324"/>
        <v>0.92606412300399021</v>
      </c>
      <c r="G324" s="77">
        <f t="shared" si="325"/>
        <v>4.8998823989404847E-2</v>
      </c>
      <c r="H324" s="75">
        <f t="shared" si="326"/>
        <v>1.1574133532323936</v>
      </c>
      <c r="I324" s="75">
        <f t="shared" si="327"/>
        <v>0.3679414636785413</v>
      </c>
      <c r="J324" s="77">
        <f t="shared" si="328"/>
        <v>-0.9261914360218424</v>
      </c>
      <c r="K324" s="77">
        <f t="shared" si="329"/>
        <v>1.8194906832951303</v>
      </c>
      <c r="L324" s="91">
        <f t="shared" si="330"/>
        <v>2.0416603348152655</v>
      </c>
      <c r="M324" s="45"/>
      <c r="N324" s="28"/>
      <c r="O324" s="28"/>
      <c r="P324" s="28"/>
      <c r="AF324" s="7"/>
      <c r="AG324" s="7"/>
      <c r="AH324" s="7"/>
      <c r="AI324" s="7"/>
      <c r="AJ324" s="7"/>
      <c r="AK324" s="7"/>
      <c r="AL324" s="7"/>
      <c r="AM324" s="7"/>
      <c r="AN324" s="7"/>
      <c r="AR324" s="92"/>
      <c r="AS324" s="7"/>
      <c r="AT324" s="125"/>
      <c r="AU324" s="125"/>
      <c r="AV324" s="125"/>
      <c r="AW324" s="125"/>
      <c r="AX324" s="125"/>
      <c r="AY324" s="125"/>
      <c r="AZ324" s="7"/>
    </row>
    <row r="325" spans="1:52" s="18" customFormat="1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AF325" s="7"/>
      <c r="AG325" s="7"/>
      <c r="AH325" s="7"/>
      <c r="AI325" s="7"/>
      <c r="AJ325" s="7"/>
      <c r="AK325" s="7"/>
      <c r="AL325" s="7"/>
      <c r="AM325" s="7"/>
      <c r="AN325" s="7"/>
      <c r="AR325" s="92"/>
      <c r="AS325" s="7"/>
      <c r="AT325" s="125"/>
      <c r="AU325" s="125"/>
      <c r="AV325" s="125"/>
      <c r="AW325" s="125"/>
      <c r="AX325" s="125"/>
      <c r="AY325" s="125"/>
      <c r="AZ325" s="7"/>
    </row>
    <row r="326" spans="1:52" s="18" customFormat="1">
      <c r="A326" s="88" t="s">
        <v>73</v>
      </c>
      <c r="B326" s="88"/>
      <c r="C326" s="23" t="str">
        <f>CONCATENATE("m",Stufengrün!AH52)</f>
        <v>m4</v>
      </c>
      <c r="D326" s="23" t="s">
        <v>30</v>
      </c>
      <c r="E326" s="28"/>
      <c r="F326" s="28"/>
      <c r="G326" s="28"/>
      <c r="H326" s="36" t="s">
        <v>57</v>
      </c>
      <c r="I326" s="36" t="s">
        <v>51</v>
      </c>
      <c r="J326" s="36" t="s">
        <v>58</v>
      </c>
      <c r="K326" s="36" t="s">
        <v>59</v>
      </c>
      <c r="L326" s="28"/>
      <c r="M326" s="28"/>
      <c r="N326" s="28"/>
      <c r="O326" s="28"/>
      <c r="P326" s="28"/>
      <c r="AF326" s="7"/>
      <c r="AG326" s="7"/>
      <c r="AH326" s="7"/>
      <c r="AI326" s="7"/>
      <c r="AJ326" s="7"/>
      <c r="AK326" s="7"/>
      <c r="AL326" s="7"/>
      <c r="AM326" s="7"/>
      <c r="AN326" s="7"/>
      <c r="AR326" s="92"/>
      <c r="AS326" s="7"/>
      <c r="AT326" s="125"/>
      <c r="AU326" s="125"/>
      <c r="AV326" s="125"/>
      <c r="AW326" s="125"/>
      <c r="AX326" s="125"/>
      <c r="AY326" s="125"/>
      <c r="AZ326" s="7"/>
    </row>
    <row r="327" spans="1:52" s="18" customFormat="1">
      <c r="A327" s="88" t="s">
        <v>69</v>
      </c>
      <c r="B327" s="88"/>
      <c r="C327" s="36">
        <f>Stufengrün!AI52</f>
        <v>0.14505155745746634</v>
      </c>
      <c r="D327" s="26">
        <f>Stufengrün!AK52</f>
        <v>0.49075210650337253</v>
      </c>
      <c r="E327" s="28"/>
      <c r="F327" s="28"/>
      <c r="G327" s="28"/>
      <c r="H327" s="78">
        <f>H316</f>
        <v>1.1572000671146074</v>
      </c>
      <c r="I327" s="78">
        <f>I316</f>
        <v>0.36836040959449995</v>
      </c>
      <c r="J327" s="78">
        <f>J316</f>
        <v>-0.92612112618220965</v>
      </c>
      <c r="K327" s="78">
        <f>K316</f>
        <v>1.8189026274544207</v>
      </c>
      <c r="L327" s="28"/>
      <c r="M327" s="28"/>
      <c r="N327" s="28"/>
      <c r="O327" s="28"/>
      <c r="P327" s="28"/>
      <c r="AF327" s="7"/>
      <c r="AG327" s="7"/>
      <c r="AH327" s="7"/>
      <c r="AI327" s="7"/>
      <c r="AJ327" s="7"/>
      <c r="AK327" s="7"/>
      <c r="AL327" s="7"/>
      <c r="AM327" s="7"/>
      <c r="AN327" s="7"/>
      <c r="AR327" s="92"/>
      <c r="AS327" s="7"/>
      <c r="AT327" s="125"/>
      <c r="AU327" s="125"/>
      <c r="AV327" s="125"/>
      <c r="AW327" s="125"/>
      <c r="AX327" s="125"/>
      <c r="AY327" s="125"/>
      <c r="AZ327" s="7"/>
    </row>
    <row r="328" spans="1:52" s="18" customFormat="1">
      <c r="A328" s="95"/>
      <c r="B328" s="95"/>
      <c r="C328" s="28"/>
      <c r="D328" s="28"/>
      <c r="E328" s="28"/>
      <c r="F328" s="28"/>
      <c r="G328" s="28"/>
      <c r="H328" s="37" t="s">
        <v>8</v>
      </c>
      <c r="I328" s="37" t="s">
        <v>8</v>
      </c>
      <c r="J328" s="37" t="s">
        <v>9</v>
      </c>
      <c r="K328" s="37" t="s">
        <v>9</v>
      </c>
      <c r="L328" s="28"/>
      <c r="M328" s="28"/>
      <c r="N328" s="28"/>
      <c r="O328" s="28"/>
      <c r="P328" s="28"/>
      <c r="AF328" s="7"/>
      <c r="AG328" s="7"/>
      <c r="AH328" s="7"/>
      <c r="AI328" s="7"/>
      <c r="AJ328" s="7"/>
      <c r="AK328" s="7"/>
      <c r="AL328" s="7"/>
      <c r="AM328" s="7"/>
      <c r="AN328" s="7"/>
      <c r="AR328" s="92"/>
      <c r="AS328" s="7"/>
      <c r="AT328" s="125"/>
      <c r="AU328" s="125"/>
      <c r="AV328" s="125"/>
      <c r="AW328" s="125"/>
      <c r="AX328" s="125"/>
      <c r="AY328" s="125"/>
      <c r="AZ328" s="7"/>
    </row>
    <row r="329" spans="1:52" s="18" customFormat="1">
      <c r="A329" s="88" t="s">
        <v>68</v>
      </c>
      <c r="B329" s="88"/>
      <c r="C329" s="115" t="s">
        <v>15</v>
      </c>
      <c r="D329" s="115" t="s">
        <v>55</v>
      </c>
      <c r="E329" s="115" t="s">
        <v>12</v>
      </c>
      <c r="F329" s="115" t="s">
        <v>10</v>
      </c>
      <c r="G329" s="115" t="s">
        <v>14</v>
      </c>
      <c r="H329" s="115" t="s">
        <v>21</v>
      </c>
      <c r="I329" s="115" t="s">
        <v>16</v>
      </c>
      <c r="J329" s="115" t="s">
        <v>17</v>
      </c>
      <c r="K329" s="115" t="s">
        <v>23</v>
      </c>
      <c r="L329" s="28"/>
      <c r="M329" s="28"/>
      <c r="N329" s="28"/>
      <c r="O329" s="28"/>
      <c r="P329" s="28"/>
      <c r="AF329" s="7"/>
      <c r="AG329" s="7"/>
      <c r="AH329" s="7"/>
      <c r="AI329" s="7"/>
      <c r="AJ329" s="7"/>
      <c r="AK329" s="7"/>
      <c r="AL329" s="7"/>
      <c r="AM329" s="7"/>
      <c r="AN329" s="7"/>
      <c r="AR329" s="92"/>
      <c r="AS329" s="7"/>
      <c r="AT329" s="125"/>
      <c r="AU329" s="125"/>
      <c r="AV329" s="125"/>
      <c r="AW329" s="125"/>
      <c r="AX329" s="125"/>
      <c r="AY329" s="125"/>
      <c r="AZ329" s="7"/>
    </row>
    <row r="330" spans="1:52" s="18" customFormat="1">
      <c r="A330" s="28"/>
      <c r="B330" s="28"/>
      <c r="C330" s="23">
        <f>Mü/TAN($C327)</f>
        <v>0.47919773462141801</v>
      </c>
      <c r="D330" s="42">
        <f>SQRT($J327*$J327+$K327*$K327)</f>
        <v>2.0411043845236332</v>
      </c>
      <c r="E330" s="20">
        <f>ATAN($J327/$K327)+PI()</f>
        <v>2.670640143259372</v>
      </c>
      <c r="F330" s="23">
        <f>($E330-A343-0.0001)/5</f>
        <v>4.6508600757961347E-3</v>
      </c>
      <c r="G330" s="23">
        <f>COS($E330)</f>
        <v>-0.89113650494603613</v>
      </c>
      <c r="H330" s="23">
        <f>SIN($E330)</f>
        <v>0.45373530780903903</v>
      </c>
      <c r="I330" s="23">
        <f>$C330+$G330</f>
        <v>-0.41193877032461812</v>
      </c>
      <c r="J330" s="23">
        <f>POWER(TAN($E330/2),$C330)</f>
        <v>1.9818209020278619</v>
      </c>
      <c r="K330" s="23">
        <f>-$D330*$D330*SIN($E330)*SIN($E330)/(2*9.81*SIN($C327)*POWER(TAN($E330/2),2*$C330))</f>
        <v>-7.7003305099011099E-2</v>
      </c>
      <c r="L330" s="28"/>
      <c r="M330" s="28"/>
      <c r="N330" s="28"/>
      <c r="O330" s="28"/>
      <c r="P330" s="28"/>
      <c r="AF330" s="7"/>
      <c r="AG330" s="7"/>
      <c r="AH330" s="7"/>
      <c r="AI330" s="7"/>
      <c r="AJ330" s="7"/>
      <c r="AK330" s="7"/>
      <c r="AL330" s="7"/>
      <c r="AM330" s="7"/>
      <c r="AN330" s="7"/>
      <c r="AR330" s="92"/>
      <c r="AS330" s="7"/>
      <c r="AT330" s="125"/>
      <c r="AU330" s="125"/>
      <c r="AV330" s="125"/>
      <c r="AW330" s="125"/>
      <c r="AX330" s="125"/>
      <c r="AY330" s="125"/>
      <c r="AZ330" s="7"/>
    </row>
    <row r="331" spans="1:52" s="18" customFormat="1">
      <c r="A331" s="88" t="s">
        <v>70</v>
      </c>
      <c r="B331" s="8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45"/>
      <c r="N331" s="28"/>
      <c r="O331" s="28"/>
      <c r="P331" s="28"/>
      <c r="AF331" s="7"/>
      <c r="AG331" s="7"/>
      <c r="AH331" s="7"/>
      <c r="AI331" s="7"/>
      <c r="AJ331" s="7"/>
      <c r="AK331" s="7"/>
      <c r="AL331" s="7"/>
      <c r="AM331" s="7"/>
      <c r="AN331" s="7"/>
      <c r="AR331" s="92"/>
      <c r="AS331" s="7"/>
      <c r="AT331" s="125"/>
      <c r="AU331" s="125"/>
      <c r="AV331" s="125"/>
      <c r="AW331" s="125"/>
      <c r="AX331" s="125"/>
      <c r="AY331" s="125"/>
      <c r="AZ331" s="7"/>
    </row>
    <row r="332" spans="1:52" s="18" customFormat="1">
      <c r="A332" s="115" t="s">
        <v>11</v>
      </c>
      <c r="B332" s="115" t="s">
        <v>13</v>
      </c>
      <c r="C332" s="117" t="s">
        <v>22</v>
      </c>
      <c r="D332" s="117" t="s">
        <v>18</v>
      </c>
      <c r="E332" s="115" t="s">
        <v>19</v>
      </c>
      <c r="F332" s="117" t="s">
        <v>20</v>
      </c>
      <c r="G332" s="117" t="s">
        <v>2</v>
      </c>
      <c r="H332" s="117" t="s">
        <v>65</v>
      </c>
      <c r="I332" s="117" t="s">
        <v>66</v>
      </c>
      <c r="J332" s="118" t="s">
        <v>3</v>
      </c>
      <c r="K332" s="118" t="s">
        <v>4</v>
      </c>
      <c r="L332" s="116" t="s">
        <v>7</v>
      </c>
      <c r="M332" s="93"/>
      <c r="N332" s="117" t="s">
        <v>61</v>
      </c>
      <c r="O332" s="117" t="s">
        <v>62</v>
      </c>
      <c r="P332" s="115" t="s">
        <v>63</v>
      </c>
      <c r="AF332" s="7"/>
      <c r="AG332" s="7"/>
      <c r="AH332" s="7"/>
      <c r="AI332" s="7"/>
      <c r="AJ332" s="7"/>
      <c r="AK332" s="7"/>
      <c r="AL332" s="7"/>
      <c r="AM332" s="7"/>
      <c r="AN332" s="7"/>
      <c r="AR332" s="92"/>
      <c r="AS332" s="7"/>
      <c r="AT332" s="125"/>
      <c r="AU332" s="125"/>
      <c r="AV332" s="125"/>
      <c r="AW332" s="125"/>
      <c r="AX332" s="125"/>
      <c r="AY332" s="125"/>
      <c r="AZ332" s="7"/>
    </row>
    <row r="333" spans="1:52" s="18" customFormat="1">
      <c r="A333" s="19">
        <f>$E330</f>
        <v>2.670640143259372</v>
      </c>
      <c r="B333" s="26">
        <f>COS(A333)</f>
        <v>-0.89113650494603613</v>
      </c>
      <c r="C333" s="26">
        <f>($C$330+B333)</f>
        <v>-0.41193877032461812</v>
      </c>
      <c r="D333" s="26">
        <f>POWER(TAN(A333/2),$C$330)</f>
        <v>1.9818209020278619</v>
      </c>
      <c r="E333" s="26">
        <f>SIN(A333)</f>
        <v>0.45373530780903903</v>
      </c>
      <c r="F333" s="77">
        <f>(C333*$H$330*D333/E333/$I$330/$J$330)</f>
        <v>1</v>
      </c>
      <c r="G333" s="77">
        <f>$D$330*($C$330+$G$330)/9.81/SIN($C$327)/(1-$C$330*$C$327)*(F333-1)</f>
        <v>0</v>
      </c>
      <c r="H333" s="75">
        <f>-(-$H$327+$K$330*((POWER(TAN(A333/2),2*$C$330-1)/(2*$C$330-1))+(POWER(TAN(A333/2),2*$C$330+1)/(2*$C$330+1))-(POWER(TAN($E$330/2),2*$C$330-1)/(2*$C$330-1))-(POWER(TAN($E$330/2),2*$C$330+1)/(2*$C$330+1))))</f>
        <v>1.1572000671146074</v>
      </c>
      <c r="I333" s="75">
        <f>-(-$I$327+0.5*$K$330*((POWER(TAN(A333/2),2*$C$330-2)/(2*$C$330-2))-(POWER(TAN(A333/2),2*$C$330+2)/(2*$C$330+2))-(POWER(TAN($E$330/2),2*$C$330-2)/(2*$C$330-2))+(POWER(TAN($E$330/2),2*$C$330+2)/(2*$C$330+2))))</f>
        <v>0.36836040959449995</v>
      </c>
      <c r="J333" s="77">
        <f>-$D$330*SIN(A333)*($C$330+$G$330)/($C$330+B333)*F333</f>
        <v>-0.92612112618220976</v>
      </c>
      <c r="K333" s="77">
        <f>-$D$330*COS(A333)*($C$330+$G$330)/($C$330+B333)*F333</f>
        <v>1.8189026274544207</v>
      </c>
      <c r="L333" s="91">
        <f>SQRT(J333*J333+K333*K333)</f>
        <v>2.0411043845236332</v>
      </c>
      <c r="M333" s="93"/>
      <c r="N333" s="75">
        <f>-(-$I$327+0.5*$K$330*((POWER(TAN(A333/2),2*$C$330-2)/(2*$C$330-2))-(POWER(TAN(A333/2),2*$C$330+2)/(2*$C$330+2))-(POWER(TAN($E$330/2),2*$C$330-2)/(2*$C$330-2))+(POWER(TAN($E$330/2),2*$C$330+2)/(2*$C$330+2))))-$D$327</f>
        <v>-0.12239169690887258</v>
      </c>
      <c r="O333" s="75">
        <f>-(-$I$327+0.5*$K$330*((POWER(TAN((A333+$M$9)/2),2*$C$330-2)/(2*$C$330-2))-(POWER(TAN((A333+$M$9)/2),2*$C$330+2)/(2*$C$330+2))-(POWER(TAN($E$330/2),2*$C$330-2)/(2*$C$330-2))+(POWER(TAN($E$330/2),2*$C$330+2)/(2*$C$330+2))))-$D$327</f>
        <v>-0.13992627046300443</v>
      </c>
      <c r="P333" s="75">
        <f>A333-N333/(O333-N333)*$M$9</f>
        <v>2.6497000793568715</v>
      </c>
      <c r="AF333" s="7"/>
      <c r="AG333" s="7"/>
      <c r="AH333" s="7"/>
      <c r="AI333" s="7"/>
      <c r="AJ333" s="7"/>
      <c r="AK333" s="7"/>
      <c r="AL333" s="7"/>
      <c r="AM333" s="7"/>
      <c r="AN333" s="7"/>
      <c r="AR333" s="92"/>
      <c r="AS333" s="7"/>
      <c r="AT333" s="125"/>
      <c r="AU333" s="125"/>
      <c r="AV333" s="125"/>
      <c r="AW333" s="125"/>
      <c r="AX333" s="125"/>
      <c r="AY333" s="125"/>
      <c r="AZ333" s="7"/>
    </row>
    <row r="334" spans="1:52" s="18" customFormat="1">
      <c r="A334" s="19">
        <f>P333</f>
        <v>2.6497000793568715</v>
      </c>
      <c r="B334" s="26">
        <f t="shared" ref="B334:B343" si="331">COS(A334)</f>
        <v>-0.88144058452667495</v>
      </c>
      <c r="C334" s="26">
        <f t="shared" ref="C334:C343" si="332">($C$330+B334)</f>
        <v>-0.40224284990525694</v>
      </c>
      <c r="D334" s="26">
        <f t="shared" ref="D334:D343" si="333">POWER(TAN(A334/2),$C$330)</f>
        <v>1.9393289848839814</v>
      </c>
      <c r="E334" s="26">
        <f t="shared" ref="E334:E343" si="334">SIN(A334)</f>
        <v>0.47229492475493906</v>
      </c>
      <c r="F334" s="77">
        <f t="shared" ref="F334:F343" si="335">(C334*$H$330*D334/E334/$I$330/$J$330)</f>
        <v>0.91797751878172518</v>
      </c>
      <c r="G334" s="77">
        <f t="shared" ref="G334:G343" si="336">$D$330*($C$330+$G$330)/9.81/SIN($C$327)/(1-$C$330*$C$327)*(F334-1)</f>
        <v>5.2269808363291696E-2</v>
      </c>
      <c r="H334" s="75">
        <f t="shared" ref="H334:H343" si="337">-(-$H$327+$K$330*((POWER(TAN(A334/2),2*$C$330-1)/(2*$C$330-1))+(POWER(TAN(A334/2),2*$C$330+1)/(2*$C$330+1))-(POWER(TAN($E$330/2),2*$C$330-1)/(2*$C$330-1))-(POWER(TAN($E$330/2),2*$C$330+1)/(2*$C$330+1))))</f>
        <v>1.0993528387479521</v>
      </c>
      <c r="I334" s="75">
        <f t="shared" ref="I334:I343" si="338">-(-$I$327+0.5*$K$330*((POWER(TAN(A334/2),2*$C$330-2)/(2*$C$330-2))-(POWER(TAN(A334/2),2*$C$330+2)/(2*$C$330+2))-(POWER(TAN($E$330/2),2*$C$330-2)/(2*$C$330-2))+(POWER(TAN($E$330/2),2*$C$330+2)/(2*$C$330+2))))</f>
        <v>0.4791667563911145</v>
      </c>
      <c r="J334" s="77">
        <f t="shared" ref="J334:J343" si="339">-$D$330*SIN(A334)*($C$330+$G$330)/($C$330+B334)*F334</f>
        <v>-0.90626430555898152</v>
      </c>
      <c r="K334" s="77">
        <f t="shared" ref="K334:K343" si="340">-$D$330*COS(A334)*($C$330+$G$330)/($C$330+B334)*F334</f>
        <v>1.6913544850011986</v>
      </c>
      <c r="L334" s="91">
        <f t="shared" ref="L334:L343" si="341">SQRT(J334*J334+K334*K334)</f>
        <v>1.9188525179033362</v>
      </c>
      <c r="M334" s="93"/>
      <c r="N334" s="75">
        <f t="shared" ref="N334:N343" si="342">-(-$I$327+0.5*$K$330*((POWER(TAN(A334/2),2*$C$330-2)/(2*$C$330-2))-(POWER(TAN(A334/2),2*$C$330+2)/(2*$C$330+2))-(POWER(TAN($E$330/2),2*$C$330-2)/(2*$C$330-2))+(POWER(TAN($E$330/2),2*$C$330+2)/(2*$C$330+2))))-$D$327</f>
        <v>-1.158535011225803E-2</v>
      </c>
      <c r="O334" s="75">
        <f t="shared" ref="O334:O343" si="343">-(-$I$327+0.5*$K$330*((POWER(TAN((A334+$M$9)/2),2*$C$330-2)/(2*$C$330-2))-(POWER(TAN((A334+$M$9)/2),2*$C$330+2)/(2*$C$330+2))-(POWER(TAN($E$330/2),2*$C$330-2)/(2*$C$330-2))+(POWER(TAN($E$330/2),2*$C$330+2)/(2*$C$330+2))))-$D$327</f>
        <v>-2.6303609996095711E-2</v>
      </c>
      <c r="P334" s="75">
        <f t="shared" ref="P334:P343" si="344">A334-N334/(O334-N334)*$M$9</f>
        <v>2.6473386554785678</v>
      </c>
      <c r="AF334" s="7"/>
      <c r="AG334" s="7"/>
      <c r="AH334" s="7"/>
      <c r="AI334" s="7"/>
      <c r="AJ334" s="7"/>
      <c r="AK334" s="7"/>
      <c r="AL334" s="7"/>
      <c r="AM334" s="7"/>
      <c r="AN334" s="7"/>
      <c r="AR334" s="92"/>
      <c r="AS334" s="7"/>
      <c r="AT334" s="125"/>
      <c r="AU334" s="125"/>
      <c r="AV334" s="125"/>
      <c r="AW334" s="125"/>
      <c r="AX334" s="125"/>
      <c r="AY334" s="125"/>
      <c r="AZ334" s="7"/>
    </row>
    <row r="335" spans="1:52" s="18" customFormat="1">
      <c r="A335" s="19">
        <f t="shared" ref="A335:A343" si="345">P334</f>
        <v>2.6473386554785678</v>
      </c>
      <c r="B335" s="26">
        <f t="shared" si="331"/>
        <v>-0.88032283945284895</v>
      </c>
      <c r="C335" s="26">
        <f t="shared" si="332"/>
        <v>-0.40112510483143093</v>
      </c>
      <c r="D335" s="26">
        <f t="shared" si="333"/>
        <v>1.934698216549555</v>
      </c>
      <c r="E335" s="26">
        <f t="shared" si="334"/>
        <v>0.47437506083021858</v>
      </c>
      <c r="F335" s="77">
        <f t="shared" si="335"/>
        <v>0.90923622204760046</v>
      </c>
      <c r="G335" s="77">
        <f t="shared" si="336"/>
        <v>5.7840304382833795E-2</v>
      </c>
      <c r="H335" s="75">
        <f t="shared" si="337"/>
        <v>1.0932624687856534</v>
      </c>
      <c r="I335" s="75">
        <f t="shared" si="338"/>
        <v>0.49050109906462791</v>
      </c>
      <c r="J335" s="77">
        <f t="shared" si="339"/>
        <v>-0.90410030961939924</v>
      </c>
      <c r="K335" s="77">
        <f t="shared" si="340"/>
        <v>1.6777866659377492</v>
      </c>
      <c r="L335" s="91">
        <f t="shared" si="341"/>
        <v>1.9058765611267698</v>
      </c>
      <c r="M335" s="93"/>
      <c r="N335" s="75">
        <f t="shared" si="342"/>
        <v>-2.510074387446215E-4</v>
      </c>
      <c r="O335" s="75">
        <f t="shared" si="343"/>
        <v>-1.4688060471823472E-2</v>
      </c>
      <c r="P335" s="75">
        <f t="shared" si="344"/>
        <v>2.6472864964739213</v>
      </c>
      <c r="AF335" s="7"/>
      <c r="AG335" s="7"/>
      <c r="AH335" s="7"/>
      <c r="AI335" s="7"/>
      <c r="AJ335" s="7"/>
      <c r="AK335" s="7"/>
      <c r="AL335" s="7"/>
      <c r="AM335" s="7"/>
      <c r="AN335" s="7"/>
      <c r="AR335" s="92"/>
      <c r="AS335" s="7"/>
      <c r="AT335" s="125"/>
      <c r="AU335" s="125"/>
      <c r="AV335" s="125"/>
      <c r="AW335" s="125"/>
      <c r="AX335" s="125"/>
      <c r="AY335" s="125"/>
      <c r="AZ335" s="7"/>
    </row>
    <row r="336" spans="1:52" s="18" customFormat="1">
      <c r="A336" s="19">
        <f t="shared" si="345"/>
        <v>2.6472864964739213</v>
      </c>
      <c r="B336" s="26">
        <f t="shared" si="331"/>
        <v>-0.88029809532437175</v>
      </c>
      <c r="C336" s="26">
        <f t="shared" si="332"/>
        <v>-0.40110036070295374</v>
      </c>
      <c r="D336" s="26">
        <f t="shared" si="333"/>
        <v>1.9345962863262791</v>
      </c>
      <c r="E336" s="26">
        <f t="shared" si="334"/>
        <v>0.4744209769479879</v>
      </c>
      <c r="F336" s="77">
        <f t="shared" si="335"/>
        <v>0.90904424471473144</v>
      </c>
      <c r="G336" s="77">
        <f t="shared" si="336"/>
        <v>5.7962644237104427E-2</v>
      </c>
      <c r="H336" s="75">
        <f t="shared" si="337"/>
        <v>1.0931288749233059</v>
      </c>
      <c r="I336" s="75">
        <f t="shared" si="338"/>
        <v>0.49074900076574213</v>
      </c>
      <c r="J336" s="77">
        <f t="shared" si="339"/>
        <v>-0.90405267679189405</v>
      </c>
      <c r="K336" s="77">
        <f t="shared" si="340"/>
        <v>1.6774887454861718</v>
      </c>
      <c r="L336" s="91">
        <f t="shared" si="341"/>
        <v>1.9055917017156008</v>
      </c>
      <c r="M336" s="93"/>
      <c r="N336" s="75">
        <f t="shared" si="342"/>
        <v>-3.1057376304044482E-6</v>
      </c>
      <c r="O336" s="75">
        <f t="shared" si="343"/>
        <v>-1.4434022999666229E-2</v>
      </c>
      <c r="P336" s="75">
        <f t="shared" si="344"/>
        <v>2.6472858508314636</v>
      </c>
      <c r="AF336" s="7"/>
      <c r="AG336" s="7"/>
      <c r="AH336" s="7"/>
      <c r="AI336" s="7"/>
      <c r="AJ336" s="7"/>
      <c r="AK336" s="7"/>
      <c r="AL336" s="7"/>
      <c r="AM336" s="7"/>
      <c r="AN336" s="7"/>
      <c r="AR336" s="92"/>
      <c r="AS336" s="7"/>
      <c r="AT336" s="125"/>
      <c r="AU336" s="125"/>
      <c r="AV336" s="125"/>
      <c r="AW336" s="125"/>
      <c r="AX336" s="125"/>
      <c r="AY336" s="125"/>
      <c r="AZ336" s="7"/>
    </row>
    <row r="337" spans="1:52" s="18" customFormat="1">
      <c r="A337" s="19">
        <f t="shared" si="345"/>
        <v>2.6472858508314636</v>
      </c>
      <c r="B337" s="26">
        <f t="shared" si="331"/>
        <v>-0.88029778901786271</v>
      </c>
      <c r="C337" s="26">
        <f t="shared" si="332"/>
        <v>-0.40110005439644469</v>
      </c>
      <c r="D337" s="26">
        <f t="shared" si="333"/>
        <v>1.9345950246936778</v>
      </c>
      <c r="E337" s="26">
        <f t="shared" si="334"/>
        <v>0.47442154530571479</v>
      </c>
      <c r="F337" s="77">
        <f t="shared" si="335"/>
        <v>0.90904186864816516</v>
      </c>
      <c r="G337" s="77">
        <f t="shared" si="336"/>
        <v>5.7964158413976827E-2</v>
      </c>
      <c r="H337" s="75">
        <f t="shared" si="337"/>
        <v>1.0931272215018351</v>
      </c>
      <c r="I337" s="75">
        <f t="shared" si="338"/>
        <v>0.49075206872166555</v>
      </c>
      <c r="J337" s="77">
        <f t="shared" si="339"/>
        <v>-0.90405208722065455</v>
      </c>
      <c r="K337" s="77">
        <f t="shared" si="340"/>
        <v>1.6774850581975451</v>
      </c>
      <c r="L337" s="91">
        <f t="shared" si="341"/>
        <v>1.9055881760978794</v>
      </c>
      <c r="M337" s="93"/>
      <c r="N337" s="75">
        <f t="shared" si="342"/>
        <v>-3.7781706985207109E-8</v>
      </c>
      <c r="O337" s="75">
        <f t="shared" si="343"/>
        <v>-1.4430879113267514E-2</v>
      </c>
      <c r="P337" s="75">
        <f t="shared" si="344"/>
        <v>2.6472858429770967</v>
      </c>
      <c r="AF337" s="7"/>
      <c r="AG337" s="7"/>
      <c r="AH337" s="7"/>
      <c r="AI337" s="7"/>
      <c r="AJ337" s="7"/>
      <c r="AK337" s="7"/>
      <c r="AL337" s="7"/>
      <c r="AM337" s="7"/>
      <c r="AN337" s="7"/>
      <c r="AR337" s="92"/>
      <c r="AS337" s="7"/>
      <c r="AT337" s="125"/>
      <c r="AU337" s="125"/>
      <c r="AV337" s="125"/>
      <c r="AW337" s="125"/>
      <c r="AX337" s="125"/>
      <c r="AY337" s="125"/>
      <c r="AZ337" s="7"/>
    </row>
    <row r="338" spans="1:52" s="18" customFormat="1">
      <c r="A338" s="19">
        <f t="shared" si="345"/>
        <v>2.6472858429770967</v>
      </c>
      <c r="B338" s="26">
        <f t="shared" si="331"/>
        <v>-0.88029778529158187</v>
      </c>
      <c r="C338" s="26">
        <f t="shared" si="332"/>
        <v>-0.40110005067016385</v>
      </c>
      <c r="D338" s="26">
        <f t="shared" si="333"/>
        <v>1.9345950093456845</v>
      </c>
      <c r="E338" s="26">
        <f t="shared" si="334"/>
        <v>0.47442155221989663</v>
      </c>
      <c r="F338" s="77">
        <f t="shared" si="335"/>
        <v>0.90904183974289476</v>
      </c>
      <c r="G338" s="77">
        <f t="shared" si="336"/>
        <v>5.7964176834206529E-2</v>
      </c>
      <c r="H338" s="75">
        <f t="shared" si="337"/>
        <v>1.0931272013876774</v>
      </c>
      <c r="I338" s="75">
        <f t="shared" si="338"/>
        <v>0.49075210604385078</v>
      </c>
      <c r="J338" s="77">
        <f t="shared" si="339"/>
        <v>-0.90405208004841164</v>
      </c>
      <c r="K338" s="77">
        <f t="shared" si="340"/>
        <v>1.6774850133410284</v>
      </c>
      <c r="L338" s="91">
        <f t="shared" si="341"/>
        <v>1.9055881332081206</v>
      </c>
      <c r="M338" s="93"/>
      <c r="N338" s="75">
        <f t="shared" si="342"/>
        <v>-4.5952175398156214E-10</v>
      </c>
      <c r="O338" s="75">
        <f t="shared" si="343"/>
        <v>-1.4430840867374894E-2</v>
      </c>
      <c r="P338" s="75">
        <f t="shared" si="344"/>
        <v>2.6472858428815678</v>
      </c>
      <c r="AF338" s="7"/>
      <c r="AG338" s="7"/>
      <c r="AH338" s="7"/>
      <c r="AI338" s="7"/>
      <c r="AJ338" s="7"/>
      <c r="AK338" s="7"/>
      <c r="AL338" s="7"/>
      <c r="AM338" s="7"/>
      <c r="AN338" s="7"/>
      <c r="AR338" s="92"/>
      <c r="AS338" s="7"/>
      <c r="AT338" s="125"/>
      <c r="AU338" s="125"/>
      <c r="AV338" s="125"/>
      <c r="AW338" s="125"/>
      <c r="AX338" s="125"/>
      <c r="AY338" s="125"/>
      <c r="AZ338" s="7"/>
    </row>
    <row r="339" spans="1:52" s="18" customFormat="1">
      <c r="A339" s="19">
        <f t="shared" si="345"/>
        <v>2.6472858428815678</v>
      </c>
      <c r="B339" s="26">
        <f t="shared" si="331"/>
        <v>-0.8802977852462609</v>
      </c>
      <c r="C339" s="26">
        <f t="shared" si="332"/>
        <v>-0.40110005062484289</v>
      </c>
      <c r="D339" s="26">
        <f t="shared" si="333"/>
        <v>1.9345950091590143</v>
      </c>
      <c r="E339" s="26">
        <f t="shared" si="334"/>
        <v>0.47442155230399052</v>
      </c>
      <c r="F339" s="77">
        <f t="shared" si="335"/>
        <v>0.90904183939133398</v>
      </c>
      <c r="G339" s="77">
        <f t="shared" si="336"/>
        <v>5.7964177058242847E-2</v>
      </c>
      <c r="H339" s="75">
        <f t="shared" si="337"/>
        <v>1.0931272011430377</v>
      </c>
      <c r="I339" s="75">
        <f t="shared" si="338"/>
        <v>0.49075210649778322</v>
      </c>
      <c r="J339" s="77">
        <f t="shared" si="339"/>
        <v>-0.90405207996117931</v>
      </c>
      <c r="K339" s="77">
        <f t="shared" si="340"/>
        <v>1.6774850127954604</v>
      </c>
      <c r="L339" s="91">
        <f t="shared" si="341"/>
        <v>1.9055881326864734</v>
      </c>
      <c r="M339" s="93"/>
      <c r="N339" s="75">
        <f t="shared" si="342"/>
        <v>-5.5893067951728881E-12</v>
      </c>
      <c r="O339" s="75">
        <f t="shared" si="343"/>
        <v>-1.4430840402208878E-2</v>
      </c>
      <c r="P339" s="75">
        <f t="shared" si="344"/>
        <v>2.647285842880406</v>
      </c>
      <c r="AF339" s="7"/>
      <c r="AG339" s="7"/>
      <c r="AH339" s="7"/>
      <c r="AI339" s="7"/>
      <c r="AJ339" s="7"/>
      <c r="AK339" s="7"/>
      <c r="AL339" s="7"/>
      <c r="AM339" s="7"/>
      <c r="AN339" s="7"/>
      <c r="AR339" s="92"/>
      <c r="AS339" s="7"/>
      <c r="AT339" s="125"/>
      <c r="AU339" s="125"/>
      <c r="AV339" s="125"/>
      <c r="AW339" s="125"/>
      <c r="AX339" s="125"/>
      <c r="AY339" s="125"/>
      <c r="AZ339" s="7"/>
    </row>
    <row r="340" spans="1:52" s="18" customFormat="1">
      <c r="A340" s="19">
        <f t="shared" si="345"/>
        <v>2.647285842880406</v>
      </c>
      <c r="B340" s="26">
        <f t="shared" si="331"/>
        <v>-0.88029778524570967</v>
      </c>
      <c r="C340" s="26">
        <f t="shared" si="332"/>
        <v>-0.40110005062429166</v>
      </c>
      <c r="D340" s="26">
        <f t="shared" si="333"/>
        <v>1.9345950091567443</v>
      </c>
      <c r="E340" s="26">
        <f t="shared" si="334"/>
        <v>0.47442155230501321</v>
      </c>
      <c r="F340" s="77">
        <f t="shared" si="335"/>
        <v>0.90904183938705851</v>
      </c>
      <c r="G340" s="77">
        <f t="shared" si="336"/>
        <v>5.7964177060967438E-2</v>
      </c>
      <c r="H340" s="75">
        <f t="shared" si="337"/>
        <v>1.0931272011400628</v>
      </c>
      <c r="I340" s="75">
        <f t="shared" si="338"/>
        <v>0.49075210650330331</v>
      </c>
      <c r="J340" s="77">
        <f t="shared" si="339"/>
        <v>-0.90405207996011849</v>
      </c>
      <c r="K340" s="77">
        <f t="shared" si="340"/>
        <v>1.6774850127888257</v>
      </c>
      <c r="L340" s="91">
        <f t="shared" si="341"/>
        <v>1.9055881326801296</v>
      </c>
      <c r="M340" s="93"/>
      <c r="N340" s="75">
        <f t="shared" si="342"/>
        <v>-6.922240558537851E-14</v>
      </c>
      <c r="O340" s="75">
        <f t="shared" si="343"/>
        <v>-1.4430840396551958E-2</v>
      </c>
      <c r="P340" s="75">
        <f t="shared" si="344"/>
        <v>2.6472858428803918</v>
      </c>
      <c r="AF340" s="7"/>
      <c r="AG340" s="7"/>
      <c r="AH340" s="7"/>
      <c r="AI340" s="7"/>
      <c r="AJ340" s="7"/>
      <c r="AK340" s="7"/>
      <c r="AL340" s="7"/>
      <c r="AM340" s="7"/>
      <c r="AN340" s="7"/>
      <c r="AR340" s="92"/>
      <c r="AS340" s="7"/>
      <c r="AT340" s="125"/>
      <c r="AU340" s="125"/>
      <c r="AV340" s="125"/>
      <c r="AW340" s="125"/>
      <c r="AX340" s="125"/>
      <c r="AY340" s="125"/>
      <c r="AZ340" s="7"/>
    </row>
    <row r="341" spans="1:52" s="18" customFormat="1">
      <c r="A341" s="19">
        <f t="shared" si="345"/>
        <v>2.6472858428803918</v>
      </c>
      <c r="B341" s="26">
        <f t="shared" si="331"/>
        <v>-0.8802977852457029</v>
      </c>
      <c r="C341" s="26">
        <f t="shared" si="332"/>
        <v>-0.40110005062428489</v>
      </c>
      <c r="D341" s="26">
        <f t="shared" si="333"/>
        <v>1.9345950091567163</v>
      </c>
      <c r="E341" s="26">
        <f t="shared" si="334"/>
        <v>0.4744215523050257</v>
      </c>
      <c r="F341" s="77">
        <f t="shared" si="335"/>
        <v>0.90904183938700611</v>
      </c>
      <c r="G341" s="77">
        <f t="shared" si="336"/>
        <v>5.7964177061000835E-2</v>
      </c>
      <c r="H341" s="75">
        <f t="shared" si="337"/>
        <v>1.0931272011400266</v>
      </c>
      <c r="I341" s="75">
        <f t="shared" si="338"/>
        <v>0.49075210650337087</v>
      </c>
      <c r="J341" s="77">
        <f t="shared" si="339"/>
        <v>-0.90405207996010539</v>
      </c>
      <c r="K341" s="77">
        <f t="shared" si="340"/>
        <v>1.6774850127887446</v>
      </c>
      <c r="L341" s="91">
        <f t="shared" si="341"/>
        <v>1.9055881326800519</v>
      </c>
      <c r="M341" s="93"/>
      <c r="N341" s="75">
        <f t="shared" si="342"/>
        <v>-1.6653345369377348E-15</v>
      </c>
      <c r="O341" s="75">
        <f t="shared" si="343"/>
        <v>-1.4430840396482181E-2</v>
      </c>
      <c r="P341" s="75">
        <f t="shared" si="344"/>
        <v>2.6472858428803914</v>
      </c>
      <c r="AF341" s="7"/>
      <c r="AG341" s="7"/>
      <c r="AH341" s="7"/>
      <c r="AI341" s="7"/>
      <c r="AJ341" s="7"/>
      <c r="AK341" s="7"/>
      <c r="AL341" s="7"/>
      <c r="AM341" s="7"/>
      <c r="AN341" s="7"/>
      <c r="AR341" s="92"/>
      <c r="AS341" s="7"/>
      <c r="AT341" s="125"/>
      <c r="AU341" s="125"/>
      <c r="AV341" s="125"/>
      <c r="AW341" s="125"/>
      <c r="AX341" s="125"/>
      <c r="AY341" s="125"/>
      <c r="AZ341" s="7"/>
    </row>
    <row r="342" spans="1:52" s="18" customFormat="1">
      <c r="A342" s="19">
        <f t="shared" si="345"/>
        <v>2.6472858428803914</v>
      </c>
      <c r="B342" s="26">
        <f t="shared" si="331"/>
        <v>-0.88029778524570279</v>
      </c>
      <c r="C342" s="26">
        <f t="shared" si="332"/>
        <v>-0.40110005062428478</v>
      </c>
      <c r="D342" s="26">
        <f t="shared" si="333"/>
        <v>1.9345950091567157</v>
      </c>
      <c r="E342" s="26">
        <f t="shared" si="334"/>
        <v>0.47442155230502608</v>
      </c>
      <c r="F342" s="77">
        <f t="shared" si="335"/>
        <v>0.90904183938700445</v>
      </c>
      <c r="G342" s="77">
        <f t="shared" si="336"/>
        <v>5.796417706100189E-2</v>
      </c>
      <c r="H342" s="75">
        <f t="shared" si="337"/>
        <v>1.0931272011400253</v>
      </c>
      <c r="I342" s="75">
        <f t="shared" si="338"/>
        <v>0.49075210650337298</v>
      </c>
      <c r="J342" s="77">
        <f t="shared" si="339"/>
        <v>-0.90405207996010484</v>
      </c>
      <c r="K342" s="77">
        <f t="shared" si="340"/>
        <v>1.6774850127887417</v>
      </c>
      <c r="L342" s="91">
        <f t="shared" si="341"/>
        <v>1.9055881326800492</v>
      </c>
      <c r="M342" s="93"/>
      <c r="N342" s="75">
        <f t="shared" si="342"/>
        <v>4.4408920985006262E-16</v>
      </c>
      <c r="O342" s="75">
        <f t="shared" si="343"/>
        <v>-1.4430840396480293E-2</v>
      </c>
      <c r="P342" s="75">
        <f t="shared" si="344"/>
        <v>2.6472858428803914</v>
      </c>
      <c r="AF342" s="7"/>
      <c r="AG342" s="7"/>
      <c r="AH342" s="7"/>
      <c r="AI342" s="7"/>
      <c r="AJ342" s="7"/>
      <c r="AK342" s="7"/>
      <c r="AL342" s="7"/>
      <c r="AM342" s="7"/>
      <c r="AN342" s="7"/>
      <c r="AR342" s="92"/>
      <c r="AS342" s="7"/>
      <c r="AT342" s="125"/>
      <c r="AU342" s="125"/>
      <c r="AV342" s="125"/>
      <c r="AW342" s="125"/>
      <c r="AX342" s="125"/>
      <c r="AY342" s="125"/>
      <c r="AZ342" s="7"/>
    </row>
    <row r="343" spans="1:52" s="18" customFormat="1">
      <c r="A343" s="19">
        <f t="shared" si="345"/>
        <v>2.6472858428803914</v>
      </c>
      <c r="B343" s="26">
        <f t="shared" si="331"/>
        <v>-0.88029778524570279</v>
      </c>
      <c r="C343" s="26">
        <f t="shared" si="332"/>
        <v>-0.40110005062428478</v>
      </c>
      <c r="D343" s="26">
        <f t="shared" si="333"/>
        <v>1.9345950091567157</v>
      </c>
      <c r="E343" s="26">
        <f t="shared" si="334"/>
        <v>0.47442155230502608</v>
      </c>
      <c r="F343" s="77">
        <f t="shared" si="335"/>
        <v>0.90904183938700445</v>
      </c>
      <c r="G343" s="77">
        <f t="shared" si="336"/>
        <v>5.796417706100189E-2</v>
      </c>
      <c r="H343" s="75">
        <f t="shared" si="337"/>
        <v>1.0931272011400253</v>
      </c>
      <c r="I343" s="75">
        <f t="shared" si="338"/>
        <v>0.49075210650337298</v>
      </c>
      <c r="J343" s="77">
        <f t="shared" si="339"/>
        <v>-0.90405207996010484</v>
      </c>
      <c r="K343" s="77">
        <f t="shared" si="340"/>
        <v>1.6774850127887417</v>
      </c>
      <c r="L343" s="91">
        <f t="shared" si="341"/>
        <v>1.9055881326800492</v>
      </c>
      <c r="M343" s="93"/>
      <c r="N343" s="75">
        <f t="shared" si="342"/>
        <v>4.4408920985006262E-16</v>
      </c>
      <c r="O343" s="75">
        <f t="shared" si="343"/>
        <v>-1.4430840396480293E-2</v>
      </c>
      <c r="P343" s="75">
        <f t="shared" si="344"/>
        <v>2.6472858428803914</v>
      </c>
      <c r="AF343" s="7"/>
      <c r="AG343" s="7"/>
      <c r="AH343" s="7"/>
      <c r="AI343" s="7"/>
      <c r="AJ343" s="7"/>
      <c r="AK343" s="7"/>
      <c r="AL343" s="7"/>
      <c r="AM343" s="7"/>
      <c r="AN343" s="7"/>
      <c r="AR343" s="92"/>
      <c r="AS343" s="7"/>
      <c r="AT343" s="125"/>
      <c r="AU343" s="125"/>
      <c r="AV343" s="125"/>
      <c r="AW343" s="125"/>
      <c r="AX343" s="125"/>
      <c r="AY343" s="125"/>
      <c r="AZ343" s="7"/>
    </row>
    <row r="344" spans="1:52" s="18" customFormat="1">
      <c r="A344" s="88" t="s">
        <v>60</v>
      </c>
      <c r="B344" s="8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AF344" s="7"/>
      <c r="AG344" s="7"/>
      <c r="AH344" s="7"/>
      <c r="AI344" s="7"/>
      <c r="AJ344" s="7"/>
      <c r="AK344" s="7"/>
      <c r="AL344" s="7"/>
      <c r="AM344" s="7"/>
      <c r="AN344" s="7"/>
      <c r="AR344" s="92"/>
      <c r="AS344" s="7"/>
      <c r="AT344" s="125"/>
      <c r="AU344" s="125"/>
      <c r="AV344" s="125"/>
      <c r="AW344" s="125"/>
      <c r="AX344" s="125"/>
      <c r="AY344" s="125"/>
      <c r="AZ344" s="7"/>
    </row>
    <row r="345" spans="1:52" s="18" customFormat="1">
      <c r="A345" s="26" t="s">
        <v>11</v>
      </c>
      <c r="B345" s="26" t="s">
        <v>13</v>
      </c>
      <c r="C345" s="26" t="s">
        <v>22</v>
      </c>
      <c r="D345" s="26" t="s">
        <v>18</v>
      </c>
      <c r="E345" s="26" t="s">
        <v>19</v>
      </c>
      <c r="F345" s="26" t="s">
        <v>20</v>
      </c>
      <c r="G345" s="26" t="s">
        <v>2</v>
      </c>
      <c r="H345" s="26" t="s">
        <v>1</v>
      </c>
      <c r="I345" s="26" t="s">
        <v>0</v>
      </c>
      <c r="J345" s="76" t="s">
        <v>3</v>
      </c>
      <c r="K345" s="76" t="s">
        <v>4</v>
      </c>
      <c r="L345" s="44" t="s">
        <v>7</v>
      </c>
      <c r="M345" s="28"/>
      <c r="N345" s="28"/>
      <c r="O345" s="28"/>
      <c r="P345" s="31"/>
      <c r="AF345" s="7"/>
      <c r="AG345" s="7"/>
      <c r="AH345" s="7"/>
      <c r="AI345" s="7"/>
      <c r="AJ345" s="7"/>
      <c r="AK345" s="7"/>
      <c r="AL345" s="7"/>
      <c r="AM345" s="7"/>
      <c r="AN345" s="7"/>
      <c r="AR345" s="92"/>
      <c r="AS345" s="7"/>
      <c r="AT345" s="125"/>
      <c r="AU345" s="125"/>
      <c r="AV345" s="125"/>
      <c r="AW345" s="125"/>
      <c r="AX345" s="125"/>
      <c r="AY345" s="125"/>
      <c r="AZ345" s="7"/>
    </row>
    <row r="346" spans="1:52" s="18" customFormat="1">
      <c r="A346" s="19">
        <f>$E330</f>
        <v>2.670640143259372</v>
      </c>
      <c r="B346" s="26">
        <f t="shared" ref="B346:B351" si="346">COS(A346)</f>
        <v>-0.89113650494603613</v>
      </c>
      <c r="C346" s="26">
        <f t="shared" ref="C346:C351" si="347">($C$330+B346)</f>
        <v>-0.41193877032461812</v>
      </c>
      <c r="D346" s="26">
        <f t="shared" ref="D346:D351" si="348">POWER(TAN(A346/2),$C$330)</f>
        <v>1.9818209020278619</v>
      </c>
      <c r="E346" s="26">
        <f t="shared" ref="E346:E351" si="349">SIN(A346)</f>
        <v>0.45373530780903903</v>
      </c>
      <c r="F346" s="77">
        <f t="shared" ref="F346:F351" si="350">(C346*$H$330*D346/E346/$I$330/$J$330)</f>
        <v>1</v>
      </c>
      <c r="G346" s="77">
        <f t="shared" ref="G346:G351" si="351">$D$330*($C$330+$G$330)/9.81/SIN($C$327)/(1-$C$330*$C$327)*(F346-1)</f>
        <v>0</v>
      </c>
      <c r="H346" s="99">
        <f t="shared" ref="H346:H351" si="352">-(-$H$327+$K$330*((POWER(TAN(A346/2),2*$C$330-1)/(2*$C$330-1))+(POWER(TAN(A346/2),2*$C$330+1)/(2*$C$330+1))-(POWER(TAN($E$330/2),2*$C$330-1)/(2*$C$330-1))-(POWER(TAN($E$330/2),2*$C$330+1)/(2*$C$330+1))))</f>
        <v>1.1572000671146074</v>
      </c>
      <c r="I346" s="99">
        <f t="shared" ref="I346:I351" si="353">-(-$I$327+0.5*$K$330*((POWER(TAN(A346/2),2*$C$330-2)/(2*$C$330-2))-(POWER(TAN(A346/2),2*$C$330+2)/(2*$C$330+2))-(POWER(TAN($E$330/2),2*$C$330-2)/(2*$C$330-2))+(POWER(TAN($E$330/2),2*$C$330+2)/(2*$C$330+2))))</f>
        <v>0.36836040959449995</v>
      </c>
      <c r="J346" s="77">
        <f t="shared" ref="J346:J351" si="354">-$D$330*SIN(A346)*($C$330+$G$330)/($C$330+B346)*F346</f>
        <v>-0.92612112618220976</v>
      </c>
      <c r="K346" s="77">
        <f t="shared" ref="K346:K351" si="355">-$D$330*COS(A346)*($C$330+$G$330)/($C$330+B346)*F346</f>
        <v>1.8189026274544207</v>
      </c>
      <c r="L346" s="91">
        <f t="shared" ref="L346:L351" si="356">SQRT(J346*J346+K346*K346)</f>
        <v>2.0411043845236332</v>
      </c>
      <c r="M346" s="28"/>
      <c r="N346" s="28"/>
      <c r="O346" s="28"/>
      <c r="P346" s="31"/>
      <c r="AF346" s="7"/>
      <c r="AG346" s="7"/>
      <c r="AH346" s="7"/>
      <c r="AI346" s="7"/>
      <c r="AJ346" s="7"/>
      <c r="AK346" s="7"/>
      <c r="AL346" s="7"/>
      <c r="AM346" s="7"/>
      <c r="AN346" s="7"/>
      <c r="AR346" s="92"/>
      <c r="AS346" s="7"/>
      <c r="AT346" s="125"/>
      <c r="AU346" s="125"/>
      <c r="AV346" s="125"/>
      <c r="AW346" s="125"/>
      <c r="AX346" s="125"/>
      <c r="AY346" s="125"/>
      <c r="AZ346" s="7"/>
    </row>
    <row r="347" spans="1:52" s="18" customFormat="1">
      <c r="A347" s="20">
        <f>A346-$F$330</f>
        <v>2.6659892831835759</v>
      </c>
      <c r="B347" s="26">
        <f t="shared" si="346"/>
        <v>-0.88901661527915554</v>
      </c>
      <c r="C347" s="26">
        <f t="shared" si="347"/>
        <v>-0.40981888065773753</v>
      </c>
      <c r="D347" s="26">
        <f t="shared" si="348"/>
        <v>1.9721542939596599</v>
      </c>
      <c r="E347" s="26">
        <f t="shared" si="349"/>
        <v>0.45787493680872493</v>
      </c>
      <c r="F347" s="77">
        <f t="shared" si="350"/>
        <v>0.98105077083707559</v>
      </c>
      <c r="G347" s="77">
        <f t="shared" si="351"/>
        <v>1.2075623198258932E-2</v>
      </c>
      <c r="H347" s="99">
        <f t="shared" si="352"/>
        <v>1.1437249713167472</v>
      </c>
      <c r="I347" s="99">
        <f t="shared" si="353"/>
        <v>0.39467492552460354</v>
      </c>
      <c r="J347" s="77">
        <f t="shared" si="354"/>
        <v>-0.92160384112313853</v>
      </c>
      <c r="K347" s="77">
        <f t="shared" si="355"/>
        <v>1.7893993787343483</v>
      </c>
      <c r="L347" s="91">
        <f t="shared" si="356"/>
        <v>2.0127850795819695</v>
      </c>
      <c r="M347" s="28"/>
      <c r="N347" s="28"/>
      <c r="O347" s="28"/>
      <c r="P347" s="31"/>
      <c r="AF347" s="7"/>
      <c r="AG347" s="7"/>
      <c r="AH347" s="7"/>
      <c r="AI347" s="7"/>
      <c r="AJ347" s="7"/>
      <c r="AK347" s="7"/>
      <c r="AL347" s="7"/>
      <c r="AM347" s="7"/>
      <c r="AN347" s="7"/>
      <c r="AR347" s="92"/>
      <c r="AS347" s="7"/>
      <c r="AT347" s="125"/>
      <c r="AU347" s="125"/>
      <c r="AV347" s="125"/>
      <c r="AW347" s="125"/>
      <c r="AX347" s="125"/>
      <c r="AY347" s="125"/>
      <c r="AZ347" s="7"/>
    </row>
    <row r="348" spans="1:52" s="18" customFormat="1">
      <c r="A348" s="20">
        <f>A347-$F$330</f>
        <v>2.6613384231077797</v>
      </c>
      <c r="B348" s="26">
        <f t="shared" si="346"/>
        <v>-0.88687749577353459</v>
      </c>
      <c r="C348" s="26">
        <f t="shared" si="347"/>
        <v>-0.40767976115211657</v>
      </c>
      <c r="D348" s="26">
        <f t="shared" si="348"/>
        <v>1.9626211033766263</v>
      </c>
      <c r="E348" s="26">
        <f t="shared" si="349"/>
        <v>0.462004661762697</v>
      </c>
      <c r="F348" s="77">
        <f t="shared" si="350"/>
        <v>0.96253107901828971</v>
      </c>
      <c r="G348" s="77">
        <f t="shared" si="351"/>
        <v>2.3877518580320129E-2</v>
      </c>
      <c r="H348" s="99">
        <f t="shared" si="352"/>
        <v>1.1306192767309975</v>
      </c>
      <c r="I348" s="99">
        <f t="shared" si="353"/>
        <v>0.41997729649725679</v>
      </c>
      <c r="J348" s="77">
        <f t="shared" si="354"/>
        <v>-0.91714890314673803</v>
      </c>
      <c r="K348" s="77">
        <f t="shared" si="355"/>
        <v>1.7605855303945293</v>
      </c>
      <c r="L348" s="91">
        <f t="shared" si="356"/>
        <v>1.9851507550757577</v>
      </c>
      <c r="M348" s="45"/>
      <c r="N348" s="28"/>
      <c r="O348" s="28"/>
      <c r="P348" s="31"/>
      <c r="AF348" s="7"/>
      <c r="AG348" s="7"/>
      <c r="AH348" s="7"/>
      <c r="AI348" s="7"/>
      <c r="AJ348" s="7"/>
      <c r="AK348" s="7"/>
      <c r="AL348" s="7"/>
      <c r="AM348" s="7"/>
      <c r="AN348" s="7"/>
      <c r="AR348" s="92"/>
      <c r="AS348" s="7"/>
      <c r="AT348" s="125"/>
      <c r="AU348" s="125"/>
      <c r="AV348" s="125"/>
      <c r="AW348" s="125"/>
      <c r="AX348" s="125"/>
      <c r="AY348" s="125"/>
      <c r="AZ348" s="7"/>
    </row>
    <row r="349" spans="1:52" s="18" customFormat="1">
      <c r="A349" s="20">
        <f>A348-$F$330</f>
        <v>2.6566875630319835</v>
      </c>
      <c r="B349" s="26">
        <f t="shared" si="346"/>
        <v>-0.8847191926993131</v>
      </c>
      <c r="C349" s="26">
        <f t="shared" si="347"/>
        <v>-0.40552145807789508</v>
      </c>
      <c r="D349" s="26">
        <f t="shared" si="348"/>
        <v>1.9532181182709294</v>
      </c>
      <c r="E349" s="26">
        <f t="shared" si="349"/>
        <v>0.46612439334310285</v>
      </c>
      <c r="F349" s="77">
        <f t="shared" si="350"/>
        <v>0.94442669786697475</v>
      </c>
      <c r="G349" s="77">
        <f t="shared" si="351"/>
        <v>3.5414752266252354E-2</v>
      </c>
      <c r="H349" s="99">
        <f t="shared" si="352"/>
        <v>1.1178691399167484</v>
      </c>
      <c r="I349" s="99">
        <f t="shared" si="353"/>
        <v>0.44431536866138777</v>
      </c>
      <c r="J349" s="77">
        <f t="shared" si="354"/>
        <v>-0.91275481125546187</v>
      </c>
      <c r="K349" s="77">
        <f t="shared" si="355"/>
        <v>1.732438188773231</v>
      </c>
      <c r="L349" s="91">
        <f t="shared" si="356"/>
        <v>1.9581785984403637</v>
      </c>
      <c r="M349" s="45"/>
      <c r="N349" s="28"/>
      <c r="O349" s="28"/>
      <c r="P349" s="31"/>
      <c r="AF349" s="7"/>
      <c r="AG349" s="7"/>
      <c r="AH349" s="7"/>
      <c r="AI349" s="7"/>
      <c r="AJ349" s="7"/>
      <c r="AK349" s="7"/>
      <c r="AL349" s="7"/>
      <c r="AM349" s="7"/>
      <c r="AN349" s="7"/>
      <c r="AR349" s="92"/>
      <c r="AS349" s="7"/>
      <c r="AT349" s="125"/>
      <c r="AU349" s="125"/>
      <c r="AV349" s="125"/>
      <c r="AW349" s="125"/>
      <c r="AX349" s="125"/>
      <c r="AY349" s="125"/>
      <c r="AZ349" s="7"/>
    </row>
    <row r="350" spans="1:52" s="18" customFormat="1">
      <c r="A350" s="20">
        <f>A349-$F$330</f>
        <v>2.6520367029561873</v>
      </c>
      <c r="B350" s="26">
        <f t="shared" si="346"/>
        <v>-0.88254175274158031</v>
      </c>
      <c r="C350" s="26">
        <f t="shared" si="347"/>
        <v>-0.4033440181201623</v>
      </c>
      <c r="D350" s="26">
        <f t="shared" si="348"/>
        <v>1.9439422331010607</v>
      </c>
      <c r="E350" s="26">
        <f t="shared" si="349"/>
        <v>0.47023404243825151</v>
      </c>
      <c r="F350" s="77">
        <f t="shared" si="350"/>
        <v>0.92672400303579494</v>
      </c>
      <c r="G350" s="77">
        <f t="shared" si="351"/>
        <v>4.6696006534544837E-2</v>
      </c>
      <c r="H350" s="99">
        <f t="shared" si="352"/>
        <v>1.1054613641504243</v>
      </c>
      <c r="I350" s="99">
        <f t="shared" si="353"/>
        <v>0.46773430019744522</v>
      </c>
      <c r="J350" s="77">
        <f t="shared" si="354"/>
        <v>-0.90842011420434821</v>
      </c>
      <c r="K350" s="77">
        <f t="shared" si="355"/>
        <v>1.704935431000594</v>
      </c>
      <c r="L350" s="91">
        <f t="shared" si="356"/>
        <v>1.9318467661210146</v>
      </c>
      <c r="M350" s="45"/>
      <c r="N350" s="28"/>
      <c r="O350" s="28"/>
      <c r="P350" s="89"/>
      <c r="AF350" s="7"/>
      <c r="AG350" s="7"/>
      <c r="AH350" s="7"/>
      <c r="AI350" s="7"/>
      <c r="AJ350" s="7"/>
      <c r="AK350" s="7"/>
      <c r="AL350" s="7"/>
      <c r="AM350" s="7"/>
      <c r="AN350" s="7"/>
      <c r="AR350" s="92"/>
      <c r="AS350" s="7"/>
      <c r="AT350" s="125"/>
      <c r="AU350" s="125"/>
      <c r="AV350" s="125"/>
      <c r="AW350" s="125"/>
      <c r="AX350" s="125"/>
      <c r="AY350" s="125"/>
      <c r="AZ350" s="7"/>
    </row>
    <row r="351" spans="1:52" s="18" customFormat="1">
      <c r="A351" s="20">
        <f>A350-$F$330</f>
        <v>2.6473858428803911</v>
      </c>
      <c r="B351" s="26">
        <f t="shared" si="346"/>
        <v>-0.88034522299936513</v>
      </c>
      <c r="C351" s="26">
        <f t="shared" si="347"/>
        <v>-0.40114748837794711</v>
      </c>
      <c r="D351" s="26">
        <f t="shared" si="348"/>
        <v>1.9347904442905755</v>
      </c>
      <c r="E351" s="26">
        <f t="shared" si="349"/>
        <v>0.47433352015454067</v>
      </c>
      <c r="F351" s="77">
        <f t="shared" si="350"/>
        <v>0.90940994155255872</v>
      </c>
      <c r="G351" s="77">
        <f t="shared" si="351"/>
        <v>5.7729599548034048E-2</v>
      </c>
      <c r="H351" s="99">
        <f t="shared" si="352"/>
        <v>1.0933833633925054</v>
      </c>
      <c r="I351" s="99">
        <f t="shared" si="353"/>
        <v>0.49027673588483689</v>
      </c>
      <c r="J351" s="77">
        <f t="shared" si="354"/>
        <v>-0.9041434083975437</v>
      </c>
      <c r="K351" s="77">
        <f t="shared" si="355"/>
        <v>1.6780562550793665</v>
      </c>
      <c r="L351" s="91">
        <f t="shared" si="356"/>
        <v>1.9061343337130559</v>
      </c>
      <c r="M351" s="45"/>
      <c r="N351" s="28"/>
      <c r="O351" s="28"/>
      <c r="P351" s="28"/>
      <c r="AF351" s="7"/>
      <c r="AG351" s="7"/>
      <c r="AH351" s="7"/>
      <c r="AI351" s="7"/>
      <c r="AJ351" s="7"/>
      <c r="AK351" s="7"/>
      <c r="AL351" s="7"/>
      <c r="AM351" s="7"/>
      <c r="AN351" s="7"/>
      <c r="AR351" s="92"/>
      <c r="AS351" s="7"/>
      <c r="AT351" s="125"/>
      <c r="AU351" s="125"/>
      <c r="AV351" s="125"/>
      <c r="AW351" s="125"/>
      <c r="AX351" s="125"/>
      <c r="AY351" s="125"/>
      <c r="AZ351" s="7"/>
    </row>
    <row r="352" spans="1:52" s="18" customFormat="1">
      <c r="A352" s="94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AF352" s="7"/>
      <c r="AG352" s="7"/>
      <c r="AH352" s="7"/>
      <c r="AI352" s="7"/>
      <c r="AJ352" s="7"/>
      <c r="AK352" s="7"/>
      <c r="AL352" s="7"/>
      <c r="AM352" s="7"/>
      <c r="AN352" s="7"/>
      <c r="AR352" s="92"/>
      <c r="AS352" s="7"/>
      <c r="AT352" s="125"/>
      <c r="AU352" s="125"/>
      <c r="AV352" s="125"/>
      <c r="AW352" s="125"/>
      <c r="AX352" s="125"/>
      <c r="AY352" s="125"/>
      <c r="AZ352" s="7"/>
    </row>
    <row r="353" spans="1:52" s="18" customFormat="1">
      <c r="A353" s="88" t="s">
        <v>73</v>
      </c>
      <c r="B353" s="88"/>
      <c r="C353" s="23" t="str">
        <f>CONCATENATE("m",Stufengrün!AH53)</f>
        <v>m5</v>
      </c>
      <c r="D353" s="23" t="s">
        <v>30</v>
      </c>
      <c r="E353" s="28"/>
      <c r="F353" s="28"/>
      <c r="G353" s="28"/>
      <c r="H353" s="36" t="s">
        <v>57</v>
      </c>
      <c r="I353" s="36" t="s">
        <v>51</v>
      </c>
      <c r="J353" s="36" t="s">
        <v>58</v>
      </c>
      <c r="K353" s="36" t="s">
        <v>59</v>
      </c>
      <c r="L353" s="28"/>
      <c r="M353" s="28"/>
      <c r="N353" s="28"/>
      <c r="O353" s="28"/>
      <c r="P353" s="28"/>
      <c r="AF353" s="7"/>
      <c r="AG353" s="7"/>
      <c r="AH353" s="7"/>
      <c r="AI353" s="7"/>
      <c r="AJ353" s="7"/>
      <c r="AK353" s="7"/>
      <c r="AL353" s="7"/>
      <c r="AM353" s="7"/>
      <c r="AN353" s="7"/>
      <c r="AR353" s="92"/>
      <c r="AS353" s="7"/>
      <c r="AT353" s="125"/>
      <c r="AU353" s="125"/>
      <c r="AV353" s="125"/>
      <c r="AW353" s="125"/>
      <c r="AX353" s="125"/>
      <c r="AY353" s="125"/>
      <c r="AZ353" s="7"/>
    </row>
    <row r="354" spans="1:52" s="18" customFormat="1">
      <c r="A354" s="88" t="s">
        <v>69</v>
      </c>
      <c r="B354" s="88"/>
      <c r="C354" s="36">
        <f>Stufengrün!AI53</f>
        <v>9.8066350509976558E-2</v>
      </c>
      <c r="D354" s="26">
        <f>Stufengrün!AK53</f>
        <v>0.66000334397619953</v>
      </c>
      <c r="E354" s="28"/>
      <c r="F354" s="28"/>
      <c r="G354" s="28"/>
      <c r="H354" s="78">
        <f>H343</f>
        <v>1.0931272011400253</v>
      </c>
      <c r="I354" s="78">
        <f>I343</f>
        <v>0.49075210650337298</v>
      </c>
      <c r="J354" s="78">
        <f>J343</f>
        <v>-0.90405207996010484</v>
      </c>
      <c r="K354" s="78">
        <f>K343</f>
        <v>1.6774850127887417</v>
      </c>
      <c r="L354" s="28"/>
      <c r="M354" s="28"/>
      <c r="N354" s="28"/>
      <c r="O354" s="28"/>
      <c r="P354" s="28"/>
      <c r="AF354" s="7"/>
      <c r="AG354" s="7"/>
      <c r="AH354" s="7"/>
      <c r="AI354" s="7"/>
      <c r="AJ354" s="7"/>
      <c r="AK354" s="7"/>
      <c r="AL354" s="7"/>
      <c r="AM354" s="7"/>
      <c r="AN354" s="7"/>
      <c r="AR354" s="92"/>
      <c r="AS354" s="7"/>
      <c r="AT354" s="125"/>
      <c r="AU354" s="125"/>
      <c r="AV354" s="125"/>
      <c r="AW354" s="125"/>
      <c r="AX354" s="125"/>
      <c r="AY354" s="125"/>
      <c r="AZ354" s="7"/>
    </row>
    <row r="355" spans="1:52" s="18" customFormat="1">
      <c r="A355" s="95"/>
      <c r="B355" s="95"/>
      <c r="C355" s="28"/>
      <c r="D355" s="28"/>
      <c r="E355" s="28"/>
      <c r="F355" s="28"/>
      <c r="G355" s="28"/>
      <c r="H355" s="37" t="s">
        <v>8</v>
      </c>
      <c r="I355" s="37" t="s">
        <v>8</v>
      </c>
      <c r="J355" s="37" t="s">
        <v>9</v>
      </c>
      <c r="K355" s="37" t="s">
        <v>9</v>
      </c>
      <c r="L355" s="28"/>
      <c r="M355" s="28"/>
      <c r="N355" s="28"/>
      <c r="O355" s="28"/>
      <c r="P355" s="28"/>
      <c r="AF355" s="7"/>
      <c r="AG355" s="7"/>
      <c r="AH355" s="7"/>
      <c r="AI355" s="7"/>
      <c r="AJ355" s="7"/>
      <c r="AK355" s="7"/>
      <c r="AL355" s="7"/>
      <c r="AM355" s="7"/>
      <c r="AN355" s="7"/>
      <c r="AR355" s="92"/>
      <c r="AS355" s="7"/>
      <c r="AT355" s="125"/>
      <c r="AU355" s="125"/>
      <c r="AV355" s="125"/>
      <c r="AW355" s="125"/>
      <c r="AX355" s="125"/>
      <c r="AY355" s="125"/>
      <c r="AZ355" s="7"/>
    </row>
    <row r="356" spans="1:52" s="18" customFormat="1">
      <c r="A356" s="88" t="s">
        <v>68</v>
      </c>
      <c r="B356" s="88"/>
      <c r="C356" s="115" t="s">
        <v>15</v>
      </c>
      <c r="D356" s="115" t="s">
        <v>55</v>
      </c>
      <c r="E356" s="115" t="s">
        <v>12</v>
      </c>
      <c r="F356" s="115" t="s">
        <v>10</v>
      </c>
      <c r="G356" s="115" t="s">
        <v>14</v>
      </c>
      <c r="H356" s="115" t="s">
        <v>21</v>
      </c>
      <c r="I356" s="115" t="s">
        <v>16</v>
      </c>
      <c r="J356" s="115" t="s">
        <v>17</v>
      </c>
      <c r="K356" s="115" t="s">
        <v>23</v>
      </c>
      <c r="L356" s="28"/>
      <c r="M356" s="28"/>
      <c r="N356" s="28"/>
      <c r="O356" s="28"/>
      <c r="P356" s="28"/>
      <c r="AF356" s="7"/>
      <c r="AG356" s="7"/>
      <c r="AH356" s="7"/>
      <c r="AI356" s="7"/>
      <c r="AJ356" s="7"/>
      <c r="AK356" s="7"/>
      <c r="AL356" s="7"/>
      <c r="AM356" s="7"/>
      <c r="AN356" s="7"/>
      <c r="AR356" s="92"/>
      <c r="AS356" s="7"/>
      <c r="AT356" s="125"/>
      <c r="AU356" s="125"/>
      <c r="AV356" s="125"/>
      <c r="AW356" s="125"/>
      <c r="AX356" s="125"/>
      <c r="AY356" s="125"/>
      <c r="AZ356" s="7"/>
    </row>
    <row r="357" spans="1:52" s="18" customFormat="1">
      <c r="A357" s="28"/>
      <c r="B357" s="28"/>
      <c r="C357" s="23">
        <f>Mü/TAN($C354)</f>
        <v>0.71151275394402314</v>
      </c>
      <c r="D357" s="42">
        <f>SQRT($J354*$J354+$K354*$K354)</f>
        <v>1.9055881326800492</v>
      </c>
      <c r="E357" s="20">
        <f>ATAN($J354/$K354)+PI()</f>
        <v>2.6472858428803914</v>
      </c>
      <c r="F357" s="23">
        <f>($E357-A370-0.0001)/5</f>
        <v>5.4163150667043674E-3</v>
      </c>
      <c r="G357" s="23">
        <f>COS($E357)</f>
        <v>-0.88029778524570279</v>
      </c>
      <c r="H357" s="23">
        <f>SIN($E357)</f>
        <v>0.47442155230502608</v>
      </c>
      <c r="I357" s="23">
        <f>$C357+$G357</f>
        <v>-0.16878503130167966</v>
      </c>
      <c r="J357" s="23">
        <f>POWER(TAN($E357/2),$C357)</f>
        <v>2.6639673653229563</v>
      </c>
      <c r="K357" s="23">
        <f>-$D357*$D357*SIN($E357)*SIN($E357)/(2*9.81*SIN($C354)*POWER(TAN($E357/2),2*$C357))</f>
        <v>-5.9952377165902349E-2</v>
      </c>
      <c r="L357" s="28"/>
      <c r="M357" s="28"/>
      <c r="N357" s="28"/>
      <c r="O357" s="28"/>
      <c r="P357" s="28"/>
      <c r="AF357" s="7"/>
      <c r="AG357" s="7"/>
      <c r="AH357" s="7"/>
      <c r="AI357" s="7"/>
      <c r="AJ357" s="7"/>
      <c r="AK357" s="7"/>
      <c r="AL357" s="7"/>
      <c r="AM357" s="7"/>
      <c r="AN357" s="7"/>
      <c r="AR357" s="92"/>
      <c r="AS357" s="7"/>
      <c r="AT357" s="125"/>
      <c r="AU357" s="125"/>
      <c r="AV357" s="125"/>
      <c r="AW357" s="125"/>
      <c r="AX357" s="125"/>
      <c r="AY357" s="125"/>
      <c r="AZ357" s="7"/>
    </row>
    <row r="358" spans="1:52" s="18" customFormat="1">
      <c r="A358" s="88" t="s">
        <v>70</v>
      </c>
      <c r="B358" s="8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45"/>
      <c r="N358" s="28"/>
      <c r="O358" s="28"/>
      <c r="P358" s="28"/>
      <c r="AF358" s="7"/>
      <c r="AG358" s="7"/>
      <c r="AH358" s="7"/>
      <c r="AI358" s="7"/>
      <c r="AJ358" s="7"/>
      <c r="AK358" s="7"/>
      <c r="AL358" s="7"/>
      <c r="AM358" s="7"/>
      <c r="AN358" s="7"/>
      <c r="AR358" s="92"/>
      <c r="AS358" s="7"/>
      <c r="AT358" s="125"/>
      <c r="AU358" s="125"/>
      <c r="AV358" s="125"/>
      <c r="AW358" s="125"/>
      <c r="AX358" s="125"/>
      <c r="AY358" s="125"/>
      <c r="AZ358" s="7"/>
    </row>
    <row r="359" spans="1:52" s="18" customFormat="1">
      <c r="A359" s="115" t="s">
        <v>11</v>
      </c>
      <c r="B359" s="115" t="s">
        <v>13</v>
      </c>
      <c r="C359" s="117" t="s">
        <v>22</v>
      </c>
      <c r="D359" s="117" t="s">
        <v>18</v>
      </c>
      <c r="E359" s="115" t="s">
        <v>19</v>
      </c>
      <c r="F359" s="117" t="s">
        <v>20</v>
      </c>
      <c r="G359" s="117" t="s">
        <v>2</v>
      </c>
      <c r="H359" s="117" t="s">
        <v>65</v>
      </c>
      <c r="I359" s="117" t="s">
        <v>66</v>
      </c>
      <c r="J359" s="118" t="s">
        <v>3</v>
      </c>
      <c r="K359" s="118" t="s">
        <v>4</v>
      </c>
      <c r="L359" s="116" t="s">
        <v>7</v>
      </c>
      <c r="M359" s="93"/>
      <c r="N359" s="117" t="s">
        <v>61</v>
      </c>
      <c r="O359" s="117" t="s">
        <v>62</v>
      </c>
      <c r="P359" s="115" t="s">
        <v>63</v>
      </c>
      <c r="AF359" s="7"/>
      <c r="AG359" s="7"/>
      <c r="AH359" s="7"/>
      <c r="AI359" s="7"/>
      <c r="AJ359" s="7"/>
      <c r="AK359" s="7"/>
      <c r="AL359" s="7"/>
      <c r="AM359" s="7"/>
      <c r="AN359" s="7"/>
      <c r="AR359" s="92"/>
      <c r="AS359" s="7"/>
      <c r="AT359" s="125"/>
      <c r="AU359" s="125"/>
      <c r="AV359" s="125"/>
      <c r="AW359" s="125"/>
      <c r="AX359" s="125"/>
      <c r="AY359" s="125"/>
      <c r="AZ359" s="7"/>
    </row>
    <row r="360" spans="1:52" s="18" customFormat="1">
      <c r="A360" s="19">
        <f>$E357</f>
        <v>2.6472858428803914</v>
      </c>
      <c r="B360" s="26">
        <f>COS(A360)</f>
        <v>-0.88029778524570279</v>
      </c>
      <c r="C360" s="26">
        <f>($C$357+B360)</f>
        <v>-0.16878503130167966</v>
      </c>
      <c r="D360" s="26">
        <f>POWER(TAN(A360/2),$C$357)</f>
        <v>2.6639673653229563</v>
      </c>
      <c r="E360" s="26">
        <f>SIN(A360)</f>
        <v>0.47442155230502608</v>
      </c>
      <c r="F360" s="77">
        <f>(C360*$H$357*D360/E360/$I$357/$J$357)</f>
        <v>1</v>
      </c>
      <c r="G360" s="77">
        <f>$D$357*($C$357+$G$357)/9.81/SIN($C$354)/(1-$C$357*$C$354)*(F360-1)</f>
        <v>0</v>
      </c>
      <c r="H360" s="75">
        <f>-(-$H$354+$K$357*((POWER(TAN(A360/2),2*$C$357-1)/(2*$C$357-1))+(POWER(TAN(A360/2),2*$C$357+1)/(2*$C$357+1))-(POWER(TAN($E$357/2),2*$C$357-1)/(2*$C$357-1))-(POWER(TAN($E$357/2),2*$C$357+1)/(2*$C$357+1))))</f>
        <v>1.0931272011400253</v>
      </c>
      <c r="I360" s="75">
        <f>-(-$I$354+0.5*$K$357*((POWER(TAN(A360/2),2*$C$357-2)/(2*$C$357-2))-(POWER(TAN(A360/2),2*$C$357+2)/(2*$C$357+2))-(POWER(TAN($E$357/2),2*$C$357-2)/(2*$C$357-2))+(POWER(TAN($E$357/2),2*$C$357+2)/(2*$C$357+2))))</f>
        <v>0.49075210650337298</v>
      </c>
      <c r="J360" s="77">
        <f>-$D$357*SIN(A360)*($C$357+$G$357)/($C$357+B360)*F360</f>
        <v>-0.90405207996010495</v>
      </c>
      <c r="K360" s="77">
        <f>-$D$357*COS(A360)*($C$357+$G$357)/($C$357+B360)*F360</f>
        <v>1.6774850127887415</v>
      </c>
      <c r="L360" s="91">
        <f>SQRT(J360*J360+K360*K360)</f>
        <v>1.905588132680049</v>
      </c>
      <c r="M360" s="93"/>
      <c r="N360" s="75">
        <f>-(-$I$354+0.5*$K$357*((POWER(TAN(A360/2),2*$C$357-2)/(2*$C$357-2))-(POWER(TAN(A360/2),2*$C$357+2)/(2*$C$357+2))-(POWER(TAN($E$357/2),2*$C$357-2)/(2*$C$357-2))+(POWER(TAN($E$357/2),2*$C$357+2)/(2*$C$357+2))))-$D$354</f>
        <v>-0.16925123747282655</v>
      </c>
      <c r="O360" s="75">
        <f>-(-$I$354+0.5*$K$357*((POWER(TAN((A360+$M$9)/2),2*$C$357-2)/(2*$C$357-2))-(POWER(TAN((A360+$M$9)/2),2*$C$357+2)/(2*$C$357+2))-(POWER(TAN($E$357/2),2*$C$357-2)/(2*$C$357-2))+(POWER(TAN($E$357/2),2*$C$357+2)/(2*$C$357+2))))-$D$354</f>
        <v>-0.19058700584884486</v>
      </c>
      <c r="P360" s="75">
        <f>A360-N360/(O360-N360)*$M$9</f>
        <v>2.6234876040042514</v>
      </c>
      <c r="AF360" s="7"/>
      <c r="AG360" s="7"/>
      <c r="AH360" s="7"/>
      <c r="AI360" s="7"/>
      <c r="AJ360" s="7"/>
      <c r="AK360" s="7"/>
      <c r="AL360" s="7"/>
      <c r="AM360" s="7"/>
      <c r="AN360" s="7"/>
      <c r="AR360" s="92"/>
      <c r="AS360" s="7"/>
      <c r="AT360" s="125"/>
      <c r="AU360" s="125"/>
      <c r="AV360" s="125"/>
      <c r="AW360" s="125"/>
      <c r="AX360" s="125"/>
      <c r="AY360" s="125"/>
      <c r="AZ360" s="7"/>
    </row>
    <row r="361" spans="1:52" s="18" customFormat="1">
      <c r="A361" s="19">
        <f>P360</f>
        <v>2.6234876040042514</v>
      </c>
      <c r="B361" s="26">
        <f t="shared" ref="B361:B370" si="357">COS(A361)</f>
        <v>-0.86875918423911758</v>
      </c>
      <c r="C361" s="26">
        <f t="shared" ref="C361:C370" si="358">($C$357+B361)</f>
        <v>-0.15724643029509444</v>
      </c>
      <c r="D361" s="26">
        <f t="shared" ref="D361:D370" si="359">POWER(TAN(A361/2),$C$357)</f>
        <v>2.5725240154602713</v>
      </c>
      <c r="E361" s="26">
        <f t="shared" ref="E361:E370" si="360">SIN(A361)</f>
        <v>0.49523477240616182</v>
      </c>
      <c r="F361" s="77">
        <f t="shared" ref="F361:F370" si="361">(C361*$H$357*D361/E361/$I$357/$J$357)</f>
        <v>0.86184801089837226</v>
      </c>
      <c r="G361" s="77">
        <f t="shared" ref="G361:G370" si="362">$D$357*($C$357+$G$357)/9.81/SIN($C$354)/(1-$C$357*$C$354)*(F361-1)</f>
        <v>4.9732423389440415E-2</v>
      </c>
      <c r="H361" s="75">
        <f t="shared" ref="H361:H370" si="363">-(-$H$354+$K$357*((POWER(TAN(A361/2),2*$C$357-1)/(2*$C$357-1))+(POWER(TAN(A361/2),2*$C$357+1)/(2*$C$357+1))-(POWER(TAN($E$357/2),2*$C$357-1)/(2*$C$357-1))-(POWER(TAN($E$357/2),2*$C$357+1)/(2*$C$357+1))))</f>
        <v>1.0098646203790071</v>
      </c>
      <c r="I361" s="75">
        <f t="shared" ref="I361:I370" si="364">-(-$I$354+0.5*$K$357*((POWER(TAN(A361/2),2*$C$357-2)/(2*$C$357-2))-(POWER(TAN(A361/2),2*$C$357+2)/(2*$C$357+2))-(POWER(TAN($E$357/2),2*$C$357-2)/(2*$C$357-2))+(POWER(TAN($E$357/2),2*$C$357+2)/(2*$C$357+2))))</f>
        <v>0.64107995266575735</v>
      </c>
      <c r="J361" s="77">
        <f t="shared" ref="J361:J370" si="365">-$D$357*SIN(A361)*($C$357+$G$357)/($C$357+B361)*F361</f>
        <v>-0.87301958619986053</v>
      </c>
      <c r="K361" s="77">
        <f t="shared" ref="K361:K370" si="366">-$D$357*COS(A361)*($C$357+$G$357)/($C$357+B361)*F361</f>
        <v>1.5314833000250891</v>
      </c>
      <c r="L361" s="91">
        <f t="shared" ref="L361:L370" si="367">SQRT(J361*J361+K361*K361)</f>
        <v>1.7628398384834378</v>
      </c>
      <c r="M361" s="93"/>
      <c r="N361" s="75">
        <f t="shared" ref="N361:N370" si="368">-(-$I$354+0.5*$K$357*((POWER(TAN(A361/2),2*$C$357-2)/(2*$C$357-2))-(POWER(TAN(A361/2),2*$C$357+2)/(2*$C$357+2))-(POWER(TAN($E$357/2),2*$C$357-2)/(2*$C$357-2))+(POWER(TAN($E$357/2),2*$C$357+2)/(2*$C$357+2))))-$D$354</f>
        <v>-1.8923391310442184E-2</v>
      </c>
      <c r="O361" s="75">
        <f t="shared" ref="O361:O370" si="369">-(-$I$354+0.5*$K$357*((POWER(TAN((A361+$M$9)/2),2*$C$357-2)/(2*$C$357-2))-(POWER(TAN((A361+$M$9)/2),2*$C$357+2)/(2*$C$357+2))-(POWER(TAN($E$357/2),2*$C$357-2)/(2*$C$357-2))+(POWER(TAN($E$357/2),2*$C$357+2)/(2*$C$357+2))))-$D$354</f>
        <v>-3.617529255596541E-2</v>
      </c>
      <c r="P361" s="75">
        <f t="shared" ref="P361:P370" si="370">A361-N361/(O361-N361)*$M$9</f>
        <v>2.6201969421158373</v>
      </c>
      <c r="AF361" s="7"/>
      <c r="AG361" s="7"/>
      <c r="AH361" s="7"/>
      <c r="AI361" s="7"/>
      <c r="AJ361" s="7"/>
      <c r="AK361" s="7"/>
      <c r="AL361" s="7"/>
      <c r="AM361" s="7"/>
      <c r="AN361" s="7"/>
      <c r="AR361" s="92"/>
      <c r="AS361" s="7"/>
      <c r="AT361" s="125"/>
      <c r="AU361" s="125"/>
      <c r="AV361" s="125"/>
      <c r="AW361" s="125"/>
      <c r="AX361" s="125"/>
      <c r="AY361" s="125"/>
      <c r="AZ361" s="7"/>
    </row>
    <row r="362" spans="1:52" s="18" customFormat="1">
      <c r="A362" s="19">
        <f t="shared" ref="A362:A370" si="371">P361</f>
        <v>2.6201969421158373</v>
      </c>
      <c r="B362" s="26">
        <f t="shared" si="357"/>
        <v>-0.86712483333293067</v>
      </c>
      <c r="C362" s="26">
        <f t="shared" si="358"/>
        <v>-0.15561207938890753</v>
      </c>
      <c r="D362" s="26">
        <f t="shared" si="359"/>
        <v>2.5604252440381501</v>
      </c>
      <c r="E362" s="26">
        <f t="shared" si="360"/>
        <v>0.49809087867309637</v>
      </c>
      <c r="F362" s="77">
        <f t="shared" si="361"/>
        <v>0.84401156793025178</v>
      </c>
      <c r="G362" s="77">
        <f t="shared" si="362"/>
        <v>5.6153246855106489E-2</v>
      </c>
      <c r="H362" s="75">
        <f t="shared" si="363"/>
        <v>0.99932865655580416</v>
      </c>
      <c r="I362" s="75">
        <f t="shared" si="364"/>
        <v>0.65949236515074539</v>
      </c>
      <c r="J362" s="77">
        <f t="shared" si="365"/>
        <v>-0.8689137102752863</v>
      </c>
      <c r="K362" s="77">
        <f t="shared" si="366"/>
        <v>1.5126891265512605</v>
      </c>
      <c r="L362" s="91">
        <f t="shared" si="367"/>
        <v>1.7444883001874159</v>
      </c>
      <c r="M362" s="93"/>
      <c r="N362" s="75">
        <f t="shared" si="368"/>
        <v>-5.1097882545414475E-4</v>
      </c>
      <c r="O362" s="75">
        <f t="shared" si="369"/>
        <v>-1.7275759772994781E-2</v>
      </c>
      <c r="P362" s="75">
        <f t="shared" si="370"/>
        <v>2.6201055042091235</v>
      </c>
      <c r="AF362" s="7"/>
      <c r="AG362" s="7"/>
      <c r="AH362" s="7"/>
      <c r="AI362" s="7"/>
      <c r="AJ362" s="7"/>
      <c r="AK362" s="7"/>
      <c r="AL362" s="7"/>
      <c r="AM362" s="7"/>
      <c r="AN362" s="7"/>
      <c r="AR362" s="92"/>
      <c r="AS362" s="7"/>
      <c r="AT362" s="125"/>
      <c r="AU362" s="125"/>
      <c r="AV362" s="125"/>
      <c r="AW362" s="125"/>
      <c r="AX362" s="125"/>
      <c r="AY362" s="125"/>
      <c r="AZ362" s="7"/>
    </row>
    <row r="363" spans="1:52" s="18" customFormat="1">
      <c r="A363" s="19">
        <f t="shared" si="371"/>
        <v>2.6201055042091235</v>
      </c>
      <c r="B363" s="26">
        <f t="shared" si="357"/>
        <v>-0.86707928532072698</v>
      </c>
      <c r="C363" s="26">
        <f t="shared" si="358"/>
        <v>-0.15556653137670384</v>
      </c>
      <c r="D363" s="26">
        <f t="shared" si="359"/>
        <v>2.5600908569095155</v>
      </c>
      <c r="E363" s="26">
        <f t="shared" si="360"/>
        <v>0.49817016467036374</v>
      </c>
      <c r="F363" s="77">
        <f t="shared" si="361"/>
        <v>0.84352005827762722</v>
      </c>
      <c r="G363" s="77">
        <f t="shared" si="362"/>
        <v>5.6330182173253376E-2</v>
      </c>
      <c r="H363" s="75">
        <f t="shared" si="363"/>
        <v>0.99903902634723685</v>
      </c>
      <c r="I363" s="75">
        <f t="shared" si="364"/>
        <v>0.65999652810129439</v>
      </c>
      <c r="J363" s="77">
        <f t="shared" si="365"/>
        <v>-0.86880023164071707</v>
      </c>
      <c r="K363" s="77">
        <f t="shared" si="366"/>
        <v>1.5121714172425027</v>
      </c>
      <c r="L363" s="91">
        <f t="shared" si="367"/>
        <v>1.7439828662071664</v>
      </c>
      <c r="M363" s="93"/>
      <c r="N363" s="75">
        <f t="shared" si="368"/>
        <v>-6.8158749051416834E-6</v>
      </c>
      <c r="O363" s="75">
        <f t="shared" si="369"/>
        <v>-1.6758300584489905E-2</v>
      </c>
      <c r="P363" s="75">
        <f t="shared" si="370"/>
        <v>2.6201042835636064</v>
      </c>
      <c r="AF363" s="7"/>
      <c r="AG363" s="7"/>
      <c r="AH363" s="7"/>
      <c r="AI363" s="7"/>
      <c r="AJ363" s="7"/>
      <c r="AK363" s="7"/>
      <c r="AL363" s="7"/>
      <c r="AM363" s="7"/>
      <c r="AN363" s="7"/>
      <c r="AR363" s="92"/>
      <c r="AS363" s="7"/>
      <c r="AT363" s="125"/>
      <c r="AU363" s="125"/>
      <c r="AV363" s="125"/>
      <c r="AW363" s="125"/>
      <c r="AX363" s="125"/>
      <c r="AY363" s="125"/>
      <c r="AZ363" s="7"/>
    </row>
    <row r="364" spans="1:52" s="18" customFormat="1">
      <c r="A364" s="19">
        <f t="shared" si="371"/>
        <v>2.6201042835636064</v>
      </c>
      <c r="B364" s="26">
        <f t="shared" si="357"/>
        <v>-0.86707867723090282</v>
      </c>
      <c r="C364" s="26">
        <f t="shared" si="358"/>
        <v>-0.15556592328687968</v>
      </c>
      <c r="D364" s="26">
        <f t="shared" si="359"/>
        <v>2.5600863936815021</v>
      </c>
      <c r="E364" s="26">
        <f t="shared" si="360"/>
        <v>0.49817122306643519</v>
      </c>
      <c r="F364" s="77">
        <f t="shared" si="361"/>
        <v>0.84351349838775502</v>
      </c>
      <c r="G364" s="77">
        <f t="shared" si="362"/>
        <v>5.6332543624743388E-2</v>
      </c>
      <c r="H364" s="75">
        <f t="shared" si="363"/>
        <v>0.99903516107922052</v>
      </c>
      <c r="I364" s="75">
        <f t="shared" si="364"/>
        <v>0.66000325570027829</v>
      </c>
      <c r="J364" s="77">
        <f t="shared" si="365"/>
        <v>-0.8687987169860627</v>
      </c>
      <c r="K364" s="77">
        <f t="shared" si="366"/>
        <v>1.5121645077514239</v>
      </c>
      <c r="L364" s="91">
        <f t="shared" si="367"/>
        <v>1.7439761205761204</v>
      </c>
      <c r="M364" s="93"/>
      <c r="N364" s="75">
        <f t="shared" si="368"/>
        <v>-8.8275921239500121E-8</v>
      </c>
      <c r="O364" s="75">
        <f t="shared" si="369"/>
        <v>-1.6751395574418848E-2</v>
      </c>
      <c r="P364" s="75">
        <f t="shared" si="370"/>
        <v>2.6201042677542277</v>
      </c>
      <c r="AF364" s="7"/>
      <c r="AG364" s="7"/>
      <c r="AH364" s="7"/>
      <c r="AI364" s="7"/>
      <c r="AJ364" s="7"/>
      <c r="AK364" s="7"/>
      <c r="AL364" s="7"/>
      <c r="AM364" s="7"/>
      <c r="AN364" s="7"/>
      <c r="AR364" s="92"/>
      <c r="AS364" s="7"/>
      <c r="AT364" s="125"/>
      <c r="AU364" s="125"/>
      <c r="AV364" s="125"/>
      <c r="AW364" s="125"/>
      <c r="AX364" s="125"/>
      <c r="AY364" s="125"/>
      <c r="AZ364" s="7"/>
    </row>
    <row r="365" spans="1:52" s="18" customFormat="1">
      <c r="A365" s="19">
        <f t="shared" si="371"/>
        <v>2.6201042677542277</v>
      </c>
      <c r="B365" s="26">
        <f t="shared" si="357"/>
        <v>-0.86707866935512512</v>
      </c>
      <c r="C365" s="26">
        <f t="shared" si="358"/>
        <v>-0.15556591541110198</v>
      </c>
      <c r="D365" s="26">
        <f t="shared" si="359"/>
        <v>2.5600863358754293</v>
      </c>
      <c r="E365" s="26">
        <f t="shared" si="360"/>
        <v>0.49817123677441033</v>
      </c>
      <c r="F365" s="77">
        <f t="shared" si="361"/>
        <v>0.84351341342658681</v>
      </c>
      <c r="G365" s="77">
        <f t="shared" si="362"/>
        <v>5.6332574209353982E-2</v>
      </c>
      <c r="H365" s="75">
        <f t="shared" si="363"/>
        <v>0.99903511101780207</v>
      </c>
      <c r="I365" s="75">
        <f t="shared" si="364"/>
        <v>0.66000334283334838</v>
      </c>
      <c r="J365" s="77">
        <f t="shared" si="365"/>
        <v>-0.86879869736881776</v>
      </c>
      <c r="K365" s="77">
        <f t="shared" si="366"/>
        <v>1.5121644182623677</v>
      </c>
      <c r="L365" s="91">
        <f t="shared" si="367"/>
        <v>1.7439760332093213</v>
      </c>
      <c r="M365" s="93"/>
      <c r="N365" s="75">
        <f t="shared" si="368"/>
        <v>-1.1428511470512603E-9</v>
      </c>
      <c r="O365" s="75">
        <f t="shared" si="369"/>
        <v>-1.6751306143596878E-2</v>
      </c>
      <c r="P365" s="75">
        <f t="shared" si="370"/>
        <v>2.6201042675495541</v>
      </c>
      <c r="AF365" s="7"/>
      <c r="AG365" s="7"/>
      <c r="AH365" s="7"/>
      <c r="AI365" s="7"/>
      <c r="AJ365" s="7"/>
      <c r="AK365" s="7"/>
      <c r="AL365" s="7"/>
      <c r="AM365" s="7"/>
      <c r="AN365" s="7"/>
      <c r="AR365" s="92"/>
      <c r="AS365" s="7"/>
      <c r="AT365" s="125"/>
      <c r="AU365" s="125"/>
      <c r="AV365" s="125"/>
      <c r="AW365" s="125"/>
      <c r="AX365" s="125"/>
      <c r="AY365" s="125"/>
      <c r="AZ365" s="7"/>
    </row>
    <row r="366" spans="1:52" s="18" customFormat="1">
      <c r="A366" s="19">
        <f t="shared" si="371"/>
        <v>2.6201042675495541</v>
      </c>
      <c r="B366" s="26">
        <f t="shared" si="357"/>
        <v>-0.86707866925316268</v>
      </c>
      <c r="C366" s="26">
        <f t="shared" si="358"/>
        <v>-0.15556591530913955</v>
      </c>
      <c r="D366" s="26">
        <f t="shared" si="359"/>
        <v>2.560086335127052</v>
      </c>
      <c r="E366" s="26">
        <f t="shared" si="360"/>
        <v>0.49817123695187843</v>
      </c>
      <c r="F366" s="77">
        <f t="shared" si="361"/>
        <v>0.84351341232665089</v>
      </c>
      <c r="G366" s="77">
        <f t="shared" si="362"/>
        <v>5.6332574605312657E-2</v>
      </c>
      <c r="H366" s="75">
        <f t="shared" si="363"/>
        <v>0.99903511036968951</v>
      </c>
      <c r="I366" s="75">
        <f t="shared" si="364"/>
        <v>0.6600033439614027</v>
      </c>
      <c r="J366" s="77">
        <f t="shared" si="365"/>
        <v>-0.86879869711484592</v>
      </c>
      <c r="K366" s="77">
        <f t="shared" si="366"/>
        <v>1.5121644171038118</v>
      </c>
      <c r="L366" s="91">
        <f t="shared" si="367"/>
        <v>1.7439760320782407</v>
      </c>
      <c r="M366" s="93"/>
      <c r="N366" s="75">
        <f t="shared" si="368"/>
        <v>-1.4796830427599161E-11</v>
      </c>
      <c r="O366" s="75">
        <f t="shared" si="369"/>
        <v>-1.6751304985794579E-2</v>
      </c>
      <c r="P366" s="75">
        <f t="shared" si="370"/>
        <v>2.6201042675469042</v>
      </c>
      <c r="AF366" s="7"/>
      <c r="AG366" s="7"/>
      <c r="AH366" s="7"/>
      <c r="AI366" s="7"/>
      <c r="AJ366" s="7"/>
      <c r="AK366" s="7"/>
      <c r="AL366" s="7"/>
      <c r="AM366" s="7"/>
      <c r="AN366" s="7"/>
      <c r="AR366" s="92"/>
      <c r="AS366" s="7"/>
      <c r="AT366" s="125"/>
      <c r="AU366" s="125"/>
      <c r="AV366" s="125"/>
      <c r="AW366" s="125"/>
      <c r="AX366" s="125"/>
      <c r="AY366" s="125"/>
      <c r="AZ366" s="7"/>
    </row>
    <row r="367" spans="1:52" s="18" customFormat="1">
      <c r="A367" s="19">
        <f t="shared" si="371"/>
        <v>2.6201042675469042</v>
      </c>
      <c r="B367" s="26">
        <f t="shared" si="357"/>
        <v>-0.86707866925184252</v>
      </c>
      <c r="C367" s="26">
        <f t="shared" si="358"/>
        <v>-0.15556591530781938</v>
      </c>
      <c r="D367" s="26">
        <f t="shared" si="359"/>
        <v>2.5600863351173628</v>
      </c>
      <c r="E367" s="26">
        <f t="shared" si="360"/>
        <v>0.49817123695417609</v>
      </c>
      <c r="F367" s="77">
        <f t="shared" si="361"/>
        <v>0.84351341231240973</v>
      </c>
      <c r="G367" s="77">
        <f t="shared" si="362"/>
        <v>5.6332574610439237E-2</v>
      </c>
      <c r="H367" s="75">
        <f t="shared" si="363"/>
        <v>0.99903511036129877</v>
      </c>
      <c r="I367" s="75">
        <f t="shared" si="364"/>
        <v>0.66000334397600735</v>
      </c>
      <c r="J367" s="77">
        <f t="shared" si="365"/>
        <v>-0.86879869711155788</v>
      </c>
      <c r="K367" s="77">
        <f t="shared" si="366"/>
        <v>1.512164417088812</v>
      </c>
      <c r="L367" s="91">
        <f t="shared" si="367"/>
        <v>1.7439760320635966</v>
      </c>
      <c r="M367" s="93"/>
      <c r="N367" s="75">
        <f t="shared" si="368"/>
        <v>-1.921796055626146E-13</v>
      </c>
      <c r="O367" s="75">
        <f t="shared" si="369"/>
        <v>-1.6751304970804681E-2</v>
      </c>
      <c r="P367" s="75">
        <f t="shared" si="370"/>
        <v>2.6201042675468695</v>
      </c>
      <c r="AF367" s="7"/>
      <c r="AG367" s="7"/>
      <c r="AH367" s="7"/>
      <c r="AI367" s="7"/>
      <c r="AJ367" s="7"/>
      <c r="AK367" s="7"/>
      <c r="AL367" s="7"/>
      <c r="AM367" s="7"/>
      <c r="AN367" s="7"/>
      <c r="AR367" s="92"/>
      <c r="AS367" s="7"/>
      <c r="AT367" s="125"/>
      <c r="AU367" s="125"/>
      <c r="AV367" s="125"/>
      <c r="AW367" s="125"/>
      <c r="AX367" s="125"/>
      <c r="AY367" s="125"/>
      <c r="AZ367" s="7"/>
    </row>
    <row r="368" spans="1:52" s="18" customFormat="1">
      <c r="A368" s="19">
        <f t="shared" si="371"/>
        <v>2.6201042675468695</v>
      </c>
      <c r="B368" s="26">
        <f t="shared" si="357"/>
        <v>-0.86707866925182531</v>
      </c>
      <c r="C368" s="26">
        <f t="shared" si="358"/>
        <v>-0.15556591530780217</v>
      </c>
      <c r="D368" s="26">
        <f t="shared" si="359"/>
        <v>2.5600863351172363</v>
      </c>
      <c r="E368" s="26">
        <f t="shared" si="360"/>
        <v>0.49817123695420612</v>
      </c>
      <c r="F368" s="77">
        <f t="shared" si="361"/>
        <v>0.84351341231222399</v>
      </c>
      <c r="G368" s="77">
        <f t="shared" si="362"/>
        <v>5.63325746105061E-2</v>
      </c>
      <c r="H368" s="75">
        <f t="shared" si="363"/>
        <v>0.99903511036118886</v>
      </c>
      <c r="I368" s="75">
        <f t="shared" si="364"/>
        <v>0.66000334397619898</v>
      </c>
      <c r="J368" s="77">
        <f t="shared" si="365"/>
        <v>-0.86879869711151492</v>
      </c>
      <c r="K368" s="77">
        <f t="shared" si="366"/>
        <v>1.5121644170886164</v>
      </c>
      <c r="L368" s="91">
        <f t="shared" si="367"/>
        <v>1.7439760320634057</v>
      </c>
      <c r="M368" s="93"/>
      <c r="N368" s="75">
        <f t="shared" si="368"/>
        <v>0</v>
      </c>
      <c r="O368" s="75">
        <f t="shared" si="369"/>
        <v>-1.6751304970608838E-2</v>
      </c>
      <c r="P368" s="75">
        <f t="shared" si="370"/>
        <v>2.6201042675468695</v>
      </c>
      <c r="AF368" s="7"/>
      <c r="AG368" s="7"/>
      <c r="AH368" s="7"/>
      <c r="AI368" s="7"/>
      <c r="AJ368" s="7"/>
      <c r="AK368" s="7"/>
      <c r="AL368" s="7"/>
      <c r="AM368" s="7"/>
      <c r="AN368" s="7"/>
      <c r="AR368" s="92"/>
      <c r="AS368" s="7"/>
      <c r="AT368" s="125"/>
      <c r="AU368" s="125"/>
      <c r="AV368" s="125"/>
      <c r="AW368" s="125"/>
      <c r="AX368" s="125"/>
      <c r="AY368" s="125"/>
      <c r="AZ368" s="7"/>
    </row>
    <row r="369" spans="1:52" s="18" customFormat="1">
      <c r="A369" s="19">
        <f t="shared" si="371"/>
        <v>2.6201042675468695</v>
      </c>
      <c r="B369" s="26">
        <f t="shared" si="357"/>
        <v>-0.86707866925182531</v>
      </c>
      <c r="C369" s="26">
        <f t="shared" si="358"/>
        <v>-0.15556591530780217</v>
      </c>
      <c r="D369" s="26">
        <f t="shared" si="359"/>
        <v>2.5600863351172363</v>
      </c>
      <c r="E369" s="26">
        <f t="shared" si="360"/>
        <v>0.49817123695420612</v>
      </c>
      <c r="F369" s="77">
        <f t="shared" si="361"/>
        <v>0.84351341231222399</v>
      </c>
      <c r="G369" s="77">
        <f t="shared" si="362"/>
        <v>5.63325746105061E-2</v>
      </c>
      <c r="H369" s="75">
        <f t="shared" si="363"/>
        <v>0.99903511036118886</v>
      </c>
      <c r="I369" s="75">
        <f t="shared" si="364"/>
        <v>0.66000334397619898</v>
      </c>
      <c r="J369" s="77">
        <f t="shared" si="365"/>
        <v>-0.86879869711151492</v>
      </c>
      <c r="K369" s="77">
        <f t="shared" si="366"/>
        <v>1.5121644170886164</v>
      </c>
      <c r="L369" s="91">
        <f t="shared" si="367"/>
        <v>1.7439760320634057</v>
      </c>
      <c r="M369" s="93"/>
      <c r="N369" s="75">
        <f t="shared" si="368"/>
        <v>0</v>
      </c>
      <c r="O369" s="75">
        <f t="shared" si="369"/>
        <v>-1.6751304970608838E-2</v>
      </c>
      <c r="P369" s="75">
        <f t="shared" si="370"/>
        <v>2.6201042675468695</v>
      </c>
      <c r="AF369" s="7"/>
      <c r="AG369" s="7"/>
      <c r="AH369" s="7"/>
      <c r="AI369" s="7"/>
      <c r="AJ369" s="7"/>
      <c r="AK369" s="7"/>
      <c r="AL369" s="7"/>
      <c r="AM369" s="7"/>
      <c r="AN369" s="7"/>
      <c r="AR369" s="92"/>
      <c r="AS369" s="7"/>
      <c r="AT369" s="125"/>
      <c r="AU369" s="125"/>
      <c r="AV369" s="125"/>
      <c r="AW369" s="125"/>
      <c r="AX369" s="125"/>
      <c r="AY369" s="125"/>
      <c r="AZ369" s="7"/>
    </row>
    <row r="370" spans="1:52" s="18" customFormat="1">
      <c r="A370" s="19">
        <f t="shared" si="371"/>
        <v>2.6201042675468695</v>
      </c>
      <c r="B370" s="26">
        <f t="shared" si="357"/>
        <v>-0.86707866925182531</v>
      </c>
      <c r="C370" s="26">
        <f t="shared" si="358"/>
        <v>-0.15556591530780217</v>
      </c>
      <c r="D370" s="26">
        <f t="shared" si="359"/>
        <v>2.5600863351172363</v>
      </c>
      <c r="E370" s="26">
        <f t="shared" si="360"/>
        <v>0.49817123695420612</v>
      </c>
      <c r="F370" s="77">
        <f t="shared" si="361"/>
        <v>0.84351341231222399</v>
      </c>
      <c r="G370" s="77">
        <f t="shared" si="362"/>
        <v>5.63325746105061E-2</v>
      </c>
      <c r="H370" s="75">
        <f t="shared" si="363"/>
        <v>0.99903511036118886</v>
      </c>
      <c r="I370" s="75">
        <f t="shared" si="364"/>
        <v>0.66000334397619898</v>
      </c>
      <c r="J370" s="77">
        <f t="shared" si="365"/>
        <v>-0.86879869711151492</v>
      </c>
      <c r="K370" s="77">
        <f t="shared" si="366"/>
        <v>1.5121644170886164</v>
      </c>
      <c r="L370" s="91">
        <f t="shared" si="367"/>
        <v>1.7439760320634057</v>
      </c>
      <c r="M370" s="93"/>
      <c r="N370" s="75">
        <f t="shared" si="368"/>
        <v>0</v>
      </c>
      <c r="O370" s="75">
        <f t="shared" si="369"/>
        <v>-1.6751304970608838E-2</v>
      </c>
      <c r="P370" s="75">
        <f t="shared" si="370"/>
        <v>2.6201042675468695</v>
      </c>
      <c r="AF370" s="7"/>
      <c r="AG370" s="7"/>
      <c r="AH370" s="7"/>
      <c r="AI370" s="7"/>
      <c r="AJ370" s="7"/>
      <c r="AK370" s="7"/>
      <c r="AL370" s="7"/>
      <c r="AM370" s="7"/>
      <c r="AN370" s="7"/>
      <c r="AR370" s="92"/>
      <c r="AS370" s="7"/>
      <c r="AT370" s="125"/>
      <c r="AU370" s="125"/>
      <c r="AV370" s="125"/>
      <c r="AW370" s="125"/>
      <c r="AX370" s="125"/>
      <c r="AY370" s="125"/>
      <c r="AZ370" s="7"/>
    </row>
    <row r="371" spans="1:52" s="18" customFormat="1">
      <c r="A371" s="88" t="s">
        <v>60</v>
      </c>
      <c r="B371" s="8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AF371" s="7"/>
      <c r="AG371" s="7"/>
      <c r="AH371" s="7"/>
      <c r="AI371" s="7"/>
      <c r="AJ371" s="7"/>
      <c r="AK371" s="7"/>
      <c r="AL371" s="7"/>
      <c r="AM371" s="7"/>
      <c r="AN371" s="7"/>
      <c r="AR371" s="92"/>
      <c r="AS371" s="7"/>
      <c r="AT371" s="125"/>
      <c r="AU371" s="125"/>
      <c r="AV371" s="125"/>
      <c r="AW371" s="125"/>
      <c r="AX371" s="125"/>
      <c r="AY371" s="125"/>
      <c r="AZ371" s="7"/>
    </row>
    <row r="372" spans="1:52" s="18" customFormat="1">
      <c r="A372" s="26" t="s">
        <v>11</v>
      </c>
      <c r="B372" s="26" t="s">
        <v>13</v>
      </c>
      <c r="C372" s="26" t="s">
        <v>22</v>
      </c>
      <c r="D372" s="26" t="s">
        <v>18</v>
      </c>
      <c r="E372" s="26" t="s">
        <v>19</v>
      </c>
      <c r="F372" s="26" t="s">
        <v>20</v>
      </c>
      <c r="G372" s="26" t="s">
        <v>2</v>
      </c>
      <c r="H372" s="26" t="s">
        <v>1</v>
      </c>
      <c r="I372" s="26" t="s">
        <v>0</v>
      </c>
      <c r="J372" s="76" t="s">
        <v>3</v>
      </c>
      <c r="K372" s="76" t="s">
        <v>4</v>
      </c>
      <c r="L372" s="44" t="s">
        <v>7</v>
      </c>
      <c r="M372" s="28"/>
      <c r="N372" s="28"/>
      <c r="O372" s="28"/>
      <c r="P372" s="31"/>
      <c r="AF372" s="7"/>
      <c r="AG372" s="7"/>
      <c r="AH372" s="7"/>
      <c r="AI372" s="7"/>
      <c r="AJ372" s="7"/>
      <c r="AK372" s="7"/>
      <c r="AL372" s="7"/>
      <c r="AM372" s="7"/>
      <c r="AN372" s="7"/>
      <c r="AR372" s="92"/>
      <c r="AS372" s="7"/>
      <c r="AT372" s="125"/>
      <c r="AU372" s="125"/>
      <c r="AV372" s="125"/>
      <c r="AW372" s="125"/>
      <c r="AX372" s="125"/>
      <c r="AY372" s="125"/>
      <c r="AZ372" s="7"/>
    </row>
    <row r="373" spans="1:52" s="18" customFormat="1">
      <c r="A373" s="19">
        <f>$E357</f>
        <v>2.6472858428803914</v>
      </c>
      <c r="B373" s="26">
        <f t="shared" ref="B373:B378" si="372">COS(A373)</f>
        <v>-0.88029778524570279</v>
      </c>
      <c r="C373" s="26">
        <f t="shared" ref="C373:C378" si="373">($C$357+B373)</f>
        <v>-0.16878503130167966</v>
      </c>
      <c r="D373" s="26">
        <f t="shared" ref="D373:D378" si="374">POWER(TAN(A373/2),$C$357)</f>
        <v>2.6639673653229563</v>
      </c>
      <c r="E373" s="26">
        <f t="shared" ref="E373:E378" si="375">SIN(A373)</f>
        <v>0.47442155230502608</v>
      </c>
      <c r="F373" s="77">
        <f t="shared" ref="F373:F378" si="376">(C373*$H$357*D373/E373/$I$357/$J$357)</f>
        <v>1</v>
      </c>
      <c r="G373" s="77">
        <f t="shared" ref="G373:G378" si="377">$D$357*($C$357+$G$357)/9.81/SIN($C$354)/(1-$C$357*$C$354)*(F373-1)</f>
        <v>0</v>
      </c>
      <c r="H373" s="132">
        <f t="shared" ref="H373:H378" si="378">-(-$H$354+$K$357*((POWER(TAN(A373/2),2*$C$357-1)/(2*$C$357-1))+(POWER(TAN(A373/2),2*$C$357+1)/(2*$C$357+1))-(POWER(TAN($E$357/2),2*$C$357-1)/(2*$C$357-1))-(POWER(TAN($E$357/2),2*$C$357+1)/(2*$C$357+1))))</f>
        <v>1.0931272011400253</v>
      </c>
      <c r="I373" s="132">
        <f t="shared" ref="I373:I378" si="379">-(-$I$354+0.5*$K$357*((POWER(TAN(A373/2),2*$C$357-2)/(2*$C$357-2))-(POWER(TAN(A373/2),2*$C$357+2)/(2*$C$357+2))-(POWER(TAN($E$357/2),2*$C$357-2)/(2*$C$357-2))+(POWER(TAN($E$357/2),2*$C$357+2)/(2*$C$357+2))))</f>
        <v>0.49075210650337298</v>
      </c>
      <c r="J373" s="77">
        <f t="shared" ref="J373:J378" si="380">-$D$357*SIN(A373)*($C$357+$G$357)/($C$357+B373)*F373</f>
        <v>-0.90405207996010495</v>
      </c>
      <c r="K373" s="77">
        <f t="shared" ref="K373:K378" si="381">-$D$357*COS(A373)*($C$357+$G$357)/($C$357+B373)*F373</f>
        <v>1.6774850127887415</v>
      </c>
      <c r="L373" s="91">
        <f t="shared" ref="L373:L378" si="382">SQRT(J373*J373+K373*K373)</f>
        <v>1.905588132680049</v>
      </c>
      <c r="M373" s="28"/>
      <c r="N373" s="28"/>
      <c r="O373" s="28"/>
      <c r="P373" s="31"/>
      <c r="AF373" s="7"/>
      <c r="AG373" s="7"/>
      <c r="AH373" s="7"/>
      <c r="AI373" s="7"/>
      <c r="AJ373" s="7"/>
      <c r="AK373" s="7"/>
      <c r="AL373" s="7"/>
      <c r="AM373" s="7"/>
      <c r="AN373" s="7"/>
      <c r="AR373" s="92"/>
      <c r="AS373" s="7"/>
      <c r="AT373" s="125"/>
      <c r="AU373" s="125"/>
      <c r="AV373" s="125"/>
      <c r="AW373" s="125"/>
      <c r="AX373" s="125"/>
      <c r="AY373" s="125"/>
      <c r="AZ373" s="7"/>
    </row>
    <row r="374" spans="1:52" s="18" customFormat="1">
      <c r="A374" s="20">
        <f>A373-$F$357</f>
        <v>2.6418695278136872</v>
      </c>
      <c r="B374" s="26">
        <f t="shared" si="372"/>
        <v>-0.87771526882514483</v>
      </c>
      <c r="C374" s="26">
        <f t="shared" si="373"/>
        <v>-0.1662025148811217</v>
      </c>
      <c r="D374" s="26">
        <f t="shared" si="374"/>
        <v>2.6425223671770075</v>
      </c>
      <c r="E374" s="26">
        <f t="shared" si="375"/>
        <v>0.47918254024035956</v>
      </c>
      <c r="F374" s="77">
        <f t="shared" si="376"/>
        <v>0.96706765712932141</v>
      </c>
      <c r="G374" s="77">
        <f t="shared" si="377"/>
        <v>1.1855096908130656E-2</v>
      </c>
      <c r="H374" s="132">
        <f t="shared" si="378"/>
        <v>1.0730163270764455</v>
      </c>
      <c r="I374" s="132">
        <f t="shared" si="379"/>
        <v>0.52782927040628858</v>
      </c>
      <c r="J374" s="77">
        <f t="shared" si="380"/>
        <v>-0.89677444006445428</v>
      </c>
      <c r="K374" s="77">
        <f t="shared" si="381"/>
        <v>1.642615397342885</v>
      </c>
      <c r="L374" s="91">
        <f t="shared" si="382"/>
        <v>1.8714672692678436</v>
      </c>
      <c r="M374" s="28"/>
      <c r="N374" s="28"/>
      <c r="O374" s="28"/>
      <c r="P374" s="31"/>
      <c r="AF374" s="7"/>
      <c r="AG374" s="7"/>
      <c r="AH374" s="7"/>
      <c r="AI374" s="7"/>
      <c r="AJ374" s="7"/>
      <c r="AK374" s="7"/>
      <c r="AL374" s="7"/>
      <c r="AM374" s="7"/>
      <c r="AN374" s="7"/>
      <c r="AR374" s="92"/>
      <c r="AS374" s="7"/>
      <c r="AT374" s="125"/>
      <c r="AU374" s="125"/>
      <c r="AV374" s="125"/>
      <c r="AW374" s="125"/>
      <c r="AX374" s="125"/>
      <c r="AY374" s="125"/>
      <c r="AZ374" s="7"/>
    </row>
    <row r="375" spans="1:52" s="18" customFormat="1">
      <c r="A375" s="20">
        <f>A374-$F$357</f>
        <v>2.6364532127469831</v>
      </c>
      <c r="B375" s="26">
        <f t="shared" si="372"/>
        <v>-0.87510700340084713</v>
      </c>
      <c r="C375" s="26">
        <f t="shared" si="373"/>
        <v>-0.16359424945682399</v>
      </c>
      <c r="D375" s="26">
        <f t="shared" si="374"/>
        <v>2.6214591694768563</v>
      </c>
      <c r="E375" s="26">
        <f t="shared" si="375"/>
        <v>0.48392947068636949</v>
      </c>
      <c r="F375" s="77">
        <f t="shared" si="376"/>
        <v>0.93504097293584199</v>
      </c>
      <c r="G375" s="77">
        <f t="shared" si="377"/>
        <v>2.3384171722235173E-2</v>
      </c>
      <c r="H375" s="132">
        <f t="shared" si="378"/>
        <v>1.0536151866718706</v>
      </c>
      <c r="I375" s="132">
        <f t="shared" si="379"/>
        <v>0.56314022934166852</v>
      </c>
      <c r="J375" s="77">
        <f t="shared" si="380"/>
        <v>-0.88962636913111381</v>
      </c>
      <c r="K375" s="77">
        <f t="shared" si="381"/>
        <v>1.6087432429616506</v>
      </c>
      <c r="L375" s="91">
        <f t="shared" si="382"/>
        <v>1.8383388965117877</v>
      </c>
      <c r="M375" s="45"/>
      <c r="N375" s="28"/>
      <c r="O375" s="28"/>
      <c r="P375" s="31"/>
      <c r="AF375" s="7"/>
      <c r="AG375" s="7"/>
      <c r="AH375" s="7"/>
      <c r="AI375" s="7"/>
      <c r="AJ375" s="7"/>
      <c r="AK375" s="7"/>
      <c r="AL375" s="7"/>
      <c r="AM375" s="7"/>
      <c r="AN375" s="7"/>
      <c r="AR375" s="92"/>
      <c r="AS375" s="7"/>
      <c r="AT375" s="125"/>
      <c r="AU375" s="125"/>
      <c r="AV375" s="125"/>
      <c r="AW375" s="125"/>
      <c r="AX375" s="125"/>
      <c r="AY375" s="125"/>
      <c r="AZ375" s="7"/>
    </row>
    <row r="376" spans="1:52" s="18" customFormat="1">
      <c r="A376" s="20">
        <f>A375-$F$357</f>
        <v>2.6310368976802789</v>
      </c>
      <c r="B376" s="26">
        <f t="shared" si="372"/>
        <v>-0.87247306548992021</v>
      </c>
      <c r="C376" s="26">
        <f t="shared" si="373"/>
        <v>-0.16096031154589707</v>
      </c>
      <c r="D376" s="26">
        <f t="shared" si="374"/>
        <v>2.6007667245579489</v>
      </c>
      <c r="E376" s="26">
        <f t="shared" si="375"/>
        <v>0.48866220438521885</v>
      </c>
      <c r="F376" s="77">
        <f t="shared" si="376"/>
        <v>0.90388470064078363</v>
      </c>
      <c r="G376" s="77">
        <f t="shared" si="377"/>
        <v>3.4599912697739363E-2</v>
      </c>
      <c r="H376" s="132">
        <f t="shared" si="378"/>
        <v>1.0348910412761883</v>
      </c>
      <c r="I376" s="132">
        <f t="shared" si="379"/>
        <v>0.59678591013124405</v>
      </c>
      <c r="J376" s="77">
        <f t="shared" si="380"/>
        <v>-0.8826041179909877</v>
      </c>
      <c r="K376" s="77">
        <f t="shared" si="381"/>
        <v>1.575829506614727</v>
      </c>
      <c r="L376" s="91">
        <f t="shared" si="382"/>
        <v>1.8061640742225671</v>
      </c>
      <c r="M376" s="45"/>
      <c r="N376" s="28"/>
      <c r="O376" s="28"/>
      <c r="P376" s="31"/>
      <c r="AF376" s="7"/>
      <c r="AG376" s="7"/>
      <c r="AH376" s="7"/>
      <c r="AI376" s="7"/>
      <c r="AJ376" s="7"/>
      <c r="AK376" s="7"/>
      <c r="AL376" s="7"/>
      <c r="AM376" s="7"/>
      <c r="AN376" s="7"/>
      <c r="AR376" s="92"/>
      <c r="AS376" s="7"/>
      <c r="AT376" s="125"/>
      <c r="AU376" s="125"/>
      <c r="AV376" s="125"/>
      <c r="AW376" s="125"/>
      <c r="AX376" s="125"/>
      <c r="AY376" s="125"/>
      <c r="AZ376" s="7"/>
    </row>
    <row r="377" spans="1:52" s="18" customFormat="1">
      <c r="A377" s="20">
        <f>A376-$F$357</f>
        <v>2.6256205826135748</v>
      </c>
      <c r="B377" s="26">
        <f t="shared" si="372"/>
        <v>-0.86981353236261272</v>
      </c>
      <c r="C377" s="26">
        <f t="shared" si="373"/>
        <v>-0.15830077841858958</v>
      </c>
      <c r="D377" s="26">
        <f t="shared" si="374"/>
        <v>2.5804344159487389</v>
      </c>
      <c r="E377" s="26">
        <f t="shared" si="375"/>
        <v>0.49338060249555216</v>
      </c>
      <c r="F377" s="77">
        <f t="shared" si="376"/>
        <v>0.87356532379122331</v>
      </c>
      <c r="G377" s="77">
        <f t="shared" si="377"/>
        <v>4.5514385201476666E-2</v>
      </c>
      <c r="H377" s="132">
        <f t="shared" si="378"/>
        <v>1.0168129938268857</v>
      </c>
      <c r="I377" s="132">
        <f t="shared" si="379"/>
        <v>0.62886049935123089</v>
      </c>
      <c r="J377" s="77">
        <f t="shared" si="380"/>
        <v>-0.87570408380595222</v>
      </c>
      <c r="K377" s="77">
        <f t="shared" si="381"/>
        <v>1.5438370673409025</v>
      </c>
      <c r="L377" s="91">
        <f t="shared" si="382"/>
        <v>1.7749057814121236</v>
      </c>
      <c r="M377" s="45"/>
      <c r="N377" s="28"/>
      <c r="O377" s="28"/>
      <c r="P377" s="89"/>
      <c r="AF377" s="7"/>
      <c r="AG377" s="7"/>
      <c r="AH377" s="7"/>
      <c r="AI377" s="7"/>
      <c r="AJ377" s="7"/>
      <c r="AK377" s="7"/>
      <c r="AL377" s="7"/>
      <c r="AM377" s="7"/>
      <c r="AN377" s="7"/>
      <c r="AR377" s="92"/>
      <c r="AS377" s="7"/>
      <c r="AT377" s="125"/>
      <c r="AU377" s="125"/>
      <c r="AV377" s="125"/>
      <c r="AW377" s="125"/>
      <c r="AX377" s="125"/>
      <c r="AY377" s="125"/>
      <c r="AZ377" s="7"/>
    </row>
    <row r="378" spans="1:52" s="18" customFormat="1">
      <c r="A378" s="20">
        <f>A377-$F$357</f>
        <v>2.6202042675468706</v>
      </c>
      <c r="B378" s="26">
        <f t="shared" si="372"/>
        <v>-0.86712848204004489</v>
      </c>
      <c r="C378" s="26">
        <f t="shared" si="373"/>
        <v>-0.15561572809602175</v>
      </c>
      <c r="D378" s="26">
        <f t="shared" si="374"/>
        <v>2.5604520372283091</v>
      </c>
      <c r="E378" s="26">
        <f t="shared" si="375"/>
        <v>0.49808452659656832</v>
      </c>
      <c r="F378" s="77">
        <f t="shared" si="376"/>
        <v>0.84405095414610298</v>
      </c>
      <c r="G378" s="77">
        <f t="shared" si="377"/>
        <v>5.6139068471029958E-2</v>
      </c>
      <c r="H378" s="132">
        <f t="shared" si="378"/>
        <v>0.99935186717326674</v>
      </c>
      <c r="I378" s="132">
        <f t="shared" si="379"/>
        <v>0.65945195751763519</v>
      </c>
      <c r="J378" s="77">
        <f t="shared" si="380"/>
        <v>-0.86892280289391477</v>
      </c>
      <c r="K378" s="77">
        <f t="shared" si="381"/>
        <v>1.5127306126770428</v>
      </c>
      <c r="L378" s="91">
        <f t="shared" si="382"/>
        <v>1.74452880283453</v>
      </c>
      <c r="M378" s="45"/>
      <c r="N378" s="28"/>
      <c r="O378" s="28"/>
      <c r="P378" s="28"/>
      <c r="AF378" s="7"/>
      <c r="AG378" s="7"/>
      <c r="AH378" s="7"/>
      <c r="AI378" s="7"/>
      <c r="AJ378" s="7"/>
      <c r="AK378" s="7"/>
      <c r="AL378" s="7"/>
      <c r="AM378" s="7"/>
      <c r="AN378" s="7"/>
      <c r="AR378" s="92"/>
      <c r="AS378" s="7"/>
      <c r="AT378" s="125"/>
      <c r="AU378" s="125"/>
      <c r="AV378" s="125"/>
      <c r="AW378" s="125"/>
      <c r="AX378" s="125"/>
      <c r="AY378" s="125"/>
      <c r="AZ378" s="7"/>
    </row>
    <row r="379" spans="1:52" s="18" customFormat="1">
      <c r="A379" s="94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AF379" s="7"/>
      <c r="AG379" s="7"/>
      <c r="AH379" s="7"/>
      <c r="AI379" s="7"/>
      <c r="AJ379" s="7"/>
      <c r="AK379" s="7"/>
      <c r="AL379" s="7"/>
      <c r="AM379" s="7"/>
      <c r="AN379" s="7"/>
      <c r="AR379" s="92"/>
      <c r="AS379" s="7"/>
      <c r="AT379" s="125"/>
      <c r="AU379" s="125"/>
      <c r="AV379" s="125"/>
      <c r="AW379" s="125"/>
      <c r="AX379" s="125"/>
      <c r="AY379" s="125"/>
      <c r="AZ379" s="7"/>
    </row>
    <row r="380" spans="1:52" s="18" customFormat="1">
      <c r="A380" s="88" t="s">
        <v>73</v>
      </c>
      <c r="B380" s="88"/>
      <c r="C380" s="23" t="str">
        <f>CONCATENATE("m",Stufengrün!AH54)</f>
        <v>m6</v>
      </c>
      <c r="D380" s="23" t="s">
        <v>30</v>
      </c>
      <c r="E380" s="28"/>
      <c r="F380" s="28"/>
      <c r="G380" s="28"/>
      <c r="H380" s="36" t="s">
        <v>57</v>
      </c>
      <c r="I380" s="36" t="s">
        <v>51</v>
      </c>
      <c r="J380" s="36" t="s">
        <v>58</v>
      </c>
      <c r="K380" s="36" t="s">
        <v>59</v>
      </c>
      <c r="L380" s="28"/>
      <c r="M380" s="28"/>
      <c r="N380" s="28"/>
      <c r="O380" s="28"/>
      <c r="P380" s="28"/>
      <c r="AF380" s="7"/>
      <c r="AG380" s="7"/>
      <c r="AH380" s="7"/>
      <c r="AI380" s="7"/>
      <c r="AJ380" s="7"/>
      <c r="AK380" s="7"/>
      <c r="AL380" s="7"/>
      <c r="AM380" s="7"/>
      <c r="AN380" s="7"/>
      <c r="AR380" s="92"/>
      <c r="AS380" s="7"/>
      <c r="AT380" s="125"/>
      <c r="AU380" s="125"/>
      <c r="AV380" s="125"/>
      <c r="AW380" s="125"/>
      <c r="AX380" s="125"/>
      <c r="AY380" s="125"/>
      <c r="AZ380" s="7"/>
    </row>
    <row r="381" spans="1:52" s="18" customFormat="1">
      <c r="A381" s="88" t="s">
        <v>69</v>
      </c>
      <c r="B381" s="88"/>
      <c r="C381" s="36">
        <f>Stufengrün!AI54</f>
        <v>5.9398558365054185E-2</v>
      </c>
      <c r="D381" s="26">
        <f>Stufengrün!AK54</f>
        <v>0.93001918678854067</v>
      </c>
      <c r="E381" s="28"/>
      <c r="F381" s="28"/>
      <c r="G381" s="28"/>
      <c r="H381" s="78">
        <f>H370</f>
        <v>0.99903511036118886</v>
      </c>
      <c r="I381" s="78">
        <f>I370</f>
        <v>0.66000334397619898</v>
      </c>
      <c r="J381" s="78">
        <f>J370</f>
        <v>-0.86879869711151492</v>
      </c>
      <c r="K381" s="78">
        <f>K370</f>
        <v>1.5121644170886164</v>
      </c>
      <c r="L381" s="28"/>
      <c r="M381" s="28"/>
      <c r="N381" s="28"/>
      <c r="O381" s="28"/>
      <c r="P381" s="28"/>
      <c r="AF381" s="7"/>
      <c r="AG381" s="7"/>
      <c r="AH381" s="7"/>
      <c r="AI381" s="7"/>
      <c r="AJ381" s="7"/>
      <c r="AK381" s="7"/>
      <c r="AL381" s="7"/>
      <c r="AM381" s="7"/>
      <c r="AN381" s="7"/>
      <c r="AR381" s="92"/>
      <c r="AS381" s="7"/>
      <c r="AT381" s="125"/>
      <c r="AU381" s="125"/>
      <c r="AV381" s="125"/>
      <c r="AW381" s="125"/>
      <c r="AX381" s="125"/>
      <c r="AY381" s="125"/>
      <c r="AZ381" s="7"/>
    </row>
    <row r="382" spans="1:52" s="18" customFormat="1">
      <c r="A382" s="95"/>
      <c r="B382" s="95"/>
      <c r="C382" s="28"/>
      <c r="D382" s="28"/>
      <c r="E382" s="28"/>
      <c r="F382" s="28"/>
      <c r="G382" s="28"/>
      <c r="H382" s="37" t="s">
        <v>8</v>
      </c>
      <c r="I382" s="37" t="s">
        <v>8</v>
      </c>
      <c r="J382" s="37" t="s">
        <v>9</v>
      </c>
      <c r="K382" s="37" t="s">
        <v>9</v>
      </c>
      <c r="L382" s="28"/>
      <c r="M382" s="28"/>
      <c r="N382" s="28"/>
      <c r="O382" s="28"/>
      <c r="P382" s="28"/>
      <c r="AF382" s="7"/>
      <c r="AG382" s="7"/>
      <c r="AH382" s="7"/>
      <c r="AI382" s="7"/>
      <c r="AJ382" s="7"/>
      <c r="AK382" s="7"/>
      <c r="AL382" s="7"/>
      <c r="AM382" s="7"/>
      <c r="AN382" s="7"/>
      <c r="AR382" s="92"/>
      <c r="AS382" s="7"/>
      <c r="AT382" s="125"/>
      <c r="AU382" s="125"/>
      <c r="AV382" s="125"/>
      <c r="AW382" s="125"/>
      <c r="AX382" s="125"/>
      <c r="AY382" s="125"/>
      <c r="AZ382" s="7"/>
    </row>
    <row r="383" spans="1:52" s="18" customFormat="1">
      <c r="A383" s="88" t="s">
        <v>68</v>
      </c>
      <c r="B383" s="88"/>
      <c r="C383" s="115" t="s">
        <v>15</v>
      </c>
      <c r="D383" s="115" t="s">
        <v>55</v>
      </c>
      <c r="E383" s="115" t="s">
        <v>12</v>
      </c>
      <c r="F383" s="115" t="s">
        <v>10</v>
      </c>
      <c r="G383" s="115" t="s">
        <v>14</v>
      </c>
      <c r="H383" s="115" t="s">
        <v>21</v>
      </c>
      <c r="I383" s="115" t="s">
        <v>16</v>
      </c>
      <c r="J383" s="115" t="s">
        <v>17</v>
      </c>
      <c r="K383" s="115" t="s">
        <v>23</v>
      </c>
      <c r="L383" s="28"/>
      <c r="M383" s="28"/>
      <c r="N383" s="28"/>
      <c r="O383" s="28"/>
      <c r="P383" s="28"/>
      <c r="AF383" s="7"/>
      <c r="AG383" s="7"/>
      <c r="AH383" s="7"/>
      <c r="AI383" s="7"/>
      <c r="AJ383" s="7"/>
      <c r="AK383" s="7"/>
      <c r="AL383" s="7"/>
      <c r="AM383" s="7"/>
      <c r="AN383" s="7"/>
      <c r="AR383" s="92"/>
      <c r="AS383" s="7"/>
      <c r="AT383" s="125"/>
      <c r="AU383" s="125"/>
      <c r="AV383" s="125"/>
      <c r="AW383" s="125"/>
      <c r="AX383" s="125"/>
      <c r="AY383" s="125"/>
      <c r="AZ383" s="7"/>
    </row>
    <row r="384" spans="1:52" s="18" customFormat="1">
      <c r="A384" s="28"/>
      <c r="B384" s="28"/>
      <c r="C384" s="23">
        <f>Mü/TAN($C381)</f>
        <v>1.1770934876266894</v>
      </c>
      <c r="D384" s="42">
        <f>SQRT($J381*$J381+$K381*$K381)</f>
        <v>1.7439760320634057</v>
      </c>
      <c r="E384" s="20">
        <f>ATAN($J381/$K381)+PI()</f>
        <v>2.6201042675468695</v>
      </c>
      <c r="F384" s="23">
        <f>($E384-A397-0.0001)/5</f>
        <v>7.073237083390224E-3</v>
      </c>
      <c r="G384" s="23">
        <f>COS($E384)</f>
        <v>-0.86707866925182531</v>
      </c>
      <c r="H384" s="23">
        <f>SIN($E384)</f>
        <v>0.49817123695420612</v>
      </c>
      <c r="I384" s="23">
        <f>$C384+$G384</f>
        <v>0.31001481837486411</v>
      </c>
      <c r="J384" s="23">
        <f>POWER(TAN($E384/2),$C384)</f>
        <v>4.7358438286833469</v>
      </c>
      <c r="K384" s="23">
        <f>-$D384*$D384*SIN($E384)*SIN($E384)/(2*9.81*SIN($C381)*POWER(TAN($E384/2),2*$C384))</f>
        <v>-2.8895091779864483E-2</v>
      </c>
      <c r="L384" s="28"/>
      <c r="M384" s="28"/>
      <c r="N384" s="28"/>
      <c r="O384" s="28"/>
      <c r="P384" s="28"/>
      <c r="AF384" s="7"/>
      <c r="AG384" s="7"/>
      <c r="AH384" s="7"/>
      <c r="AI384" s="7"/>
      <c r="AJ384" s="7"/>
      <c r="AK384" s="7"/>
      <c r="AL384" s="7"/>
      <c r="AM384" s="7"/>
      <c r="AN384" s="7"/>
      <c r="AR384" s="92"/>
      <c r="AS384" s="7"/>
      <c r="AT384" s="125"/>
      <c r="AU384" s="125"/>
      <c r="AV384" s="125"/>
      <c r="AW384" s="125"/>
      <c r="AX384" s="125"/>
      <c r="AY384" s="125"/>
      <c r="AZ384" s="7"/>
    </row>
    <row r="385" spans="1:52" s="18" customFormat="1">
      <c r="A385" s="88" t="s">
        <v>70</v>
      </c>
      <c r="B385" s="8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45"/>
      <c r="N385" s="28"/>
      <c r="O385" s="28"/>
      <c r="P385" s="28"/>
      <c r="AF385" s="7"/>
      <c r="AG385" s="7"/>
      <c r="AH385" s="7"/>
      <c r="AI385" s="7"/>
      <c r="AJ385" s="7"/>
      <c r="AK385" s="7"/>
      <c r="AL385" s="7"/>
      <c r="AM385" s="7"/>
      <c r="AN385" s="7"/>
      <c r="AR385" s="92"/>
      <c r="AS385" s="7"/>
      <c r="AT385" s="125"/>
      <c r="AU385" s="125"/>
      <c r="AV385" s="125"/>
      <c r="AW385" s="125"/>
      <c r="AX385" s="125"/>
      <c r="AY385" s="125"/>
      <c r="AZ385" s="7"/>
    </row>
    <row r="386" spans="1:52" s="18" customFormat="1">
      <c r="A386" s="115" t="s">
        <v>11</v>
      </c>
      <c r="B386" s="115" t="s">
        <v>13</v>
      </c>
      <c r="C386" s="117" t="s">
        <v>22</v>
      </c>
      <c r="D386" s="117" t="s">
        <v>18</v>
      </c>
      <c r="E386" s="115" t="s">
        <v>19</v>
      </c>
      <c r="F386" s="117" t="s">
        <v>20</v>
      </c>
      <c r="G386" s="117" t="s">
        <v>2</v>
      </c>
      <c r="H386" s="117" t="s">
        <v>65</v>
      </c>
      <c r="I386" s="117" t="s">
        <v>66</v>
      </c>
      <c r="J386" s="118" t="s">
        <v>3</v>
      </c>
      <c r="K386" s="118" t="s">
        <v>4</v>
      </c>
      <c r="L386" s="116" t="s">
        <v>7</v>
      </c>
      <c r="M386" s="93"/>
      <c r="N386" s="117" t="s">
        <v>61</v>
      </c>
      <c r="O386" s="117" t="s">
        <v>62</v>
      </c>
      <c r="P386" s="115" t="s">
        <v>63</v>
      </c>
      <c r="AF386" s="7"/>
      <c r="AG386" s="7"/>
      <c r="AH386" s="7"/>
      <c r="AI386" s="7"/>
      <c r="AJ386" s="7"/>
      <c r="AK386" s="7"/>
      <c r="AL386" s="7"/>
      <c r="AM386" s="7"/>
      <c r="AN386" s="7"/>
      <c r="AR386" s="92"/>
      <c r="AS386" s="7"/>
      <c r="AT386" s="125"/>
      <c r="AU386" s="125"/>
      <c r="AV386" s="125"/>
      <c r="AW386" s="125"/>
      <c r="AX386" s="125"/>
      <c r="AY386" s="125"/>
      <c r="AZ386" s="7"/>
    </row>
    <row r="387" spans="1:52" s="18" customFormat="1">
      <c r="A387" s="19">
        <f>$E384</f>
        <v>2.6201042675468695</v>
      </c>
      <c r="B387" s="26">
        <f>COS(A387)</f>
        <v>-0.86707866925182531</v>
      </c>
      <c r="C387" s="26">
        <f>($C$384+B387)</f>
        <v>0.31001481837486411</v>
      </c>
      <c r="D387" s="26">
        <f>POWER(TAN(A387/2),$C$384)</f>
        <v>4.7358438286833469</v>
      </c>
      <c r="E387" s="26">
        <f>SIN(A387)</f>
        <v>0.49817123695420612</v>
      </c>
      <c r="F387" s="77">
        <f>(C387*$H$384*D387/E387/$I$384/$J$384)</f>
        <v>1.0000000000000002</v>
      </c>
      <c r="G387" s="77">
        <f>$D$384*($C$384+$G$384)/9.81/SIN($C$381)/(1-$C$384*$C$381)*(F387-1)</f>
        <v>2.2164211592267045E-16</v>
      </c>
      <c r="H387" s="75">
        <f>-(-$H$381+$K$384*((POWER(TAN(A387/2),2*$C$384-1)/(2*$C$384-1))+(POWER(TAN(A387/2),2*$C$384+1)/(2*$C$384+1))-(POWER(TAN($E$384/2),2*$C$384-1)/(2*$C$384-1))-(POWER(TAN($E$384/2),2*$C$384+1)/(2*$C$384+1))))</f>
        <v>0.99903511036118886</v>
      </c>
      <c r="I387" s="75">
        <f>-(-$I$381+0.5*$K$384*((POWER(TAN(A387/2),2*$C$384-2)/(2*$C$384-2))-(POWER(TAN(A387/2),2*$C$384+2)/(2*$C$384+2))-(POWER(TAN($E$384/2),2*$C$384-2)/(2*$C$384-2))+(POWER(TAN($E$384/2),2*$C$384+2)/(2*$C$384+2))))</f>
        <v>0.66000334397619898</v>
      </c>
      <c r="J387" s="77">
        <f>-$D$384*SIN(A387)*($C$384+$G$384)/($C$384+B387)*F387</f>
        <v>-0.86879869711151514</v>
      </c>
      <c r="K387" s="77">
        <f>-$D$384*COS(A387)*($C$384+$G$384)/($C$384+B387)*F387</f>
        <v>1.5121644170886168</v>
      </c>
      <c r="L387" s="91">
        <f>SQRT(J387*J387+K387*K387)</f>
        <v>1.7439760320634061</v>
      </c>
      <c r="M387" s="93"/>
      <c r="N387" s="75">
        <f>-(-$I$381+0.5*$K$384*((POWER(TAN(A387/2),2*$C$384-2)/(2*$C$384-2))-(POWER(TAN(A387/2),2*$C$384+2)/(2*$C$384+2))-(POWER(TAN($E$384/2),2*$C$384-2)/(2*$C$384-2))+(POWER(TAN($E$384/2),2*$C$384+2)/(2*$C$384+2))))-$D$381</f>
        <v>-0.2700158428123417</v>
      </c>
      <c r="O387" s="75">
        <f>-(-$I$381+0.5*$K$384*((POWER(TAN((A387+$M$9)/2),2*$C$384-2)/(2*$C$384-2))-(POWER(TAN((A387+$M$9)/2),2*$C$384+2)/(2*$C$384+2))-(POWER(TAN($E$384/2),2*$C$384-2)/(2*$C$384-2))+(POWER(TAN($E$384/2),2*$C$384+2)/(2*$C$384+2))))-$D$381</f>
        <v>-0.29772207567360742</v>
      </c>
      <c r="P387" s="75">
        <f>A387-N387/(O387-N387)*$M$9</f>
        <v>2.5908672531720462</v>
      </c>
      <c r="AF387" s="7"/>
      <c r="AG387" s="7"/>
      <c r="AH387" s="7"/>
      <c r="AI387" s="7"/>
      <c r="AJ387" s="7"/>
      <c r="AK387" s="7"/>
      <c r="AL387" s="7"/>
      <c r="AM387" s="7"/>
      <c r="AN387" s="7"/>
      <c r="AR387" s="92"/>
      <c r="AS387" s="7"/>
      <c r="AT387" s="125"/>
      <c r="AU387" s="125"/>
      <c r="AV387" s="125"/>
      <c r="AW387" s="125"/>
      <c r="AX387" s="125"/>
      <c r="AY387" s="125"/>
      <c r="AZ387" s="7"/>
    </row>
    <row r="388" spans="1:52" s="18" customFormat="1">
      <c r="A388" s="19">
        <f>P387</f>
        <v>2.5908672531720462</v>
      </c>
      <c r="B388" s="26">
        <f t="shared" ref="B388:B397" si="383">COS(A388)</f>
        <v>-0.85214514025689114</v>
      </c>
      <c r="C388" s="26">
        <f t="shared" ref="C388:C397" si="384">($C$384+B388)</f>
        <v>0.32494834736979827</v>
      </c>
      <c r="D388" s="26">
        <f t="shared" ref="D388:D397" si="385">POWER(TAN(A388/2),$C$384)</f>
        <v>4.4272068283634827</v>
      </c>
      <c r="E388" s="26">
        <f t="shared" ref="E388:E397" si="386">SIN(A388)</f>
        <v>0.52330551300035366</v>
      </c>
      <c r="F388" s="77">
        <f t="shared" ref="F388:F397" si="387">(C388*$H$384*D388/E388/$I$384/$J$384)</f>
        <v>0.93279811009992109</v>
      </c>
      <c r="G388" s="77">
        <f t="shared" ref="G388:G397" si="388">$D$384*($C$384+$G$384)/9.81/SIN($C$381)/(1-$C$384*$C$381)*(F388-1)</f>
        <v>-6.7080076439978056E-2</v>
      </c>
      <c r="H388" s="75">
        <f t="shared" ref="H388:H397" si="389">-(-$H$381+$K$384*((POWER(TAN(A388/2),2*$C$384-1)/(2*$C$384-1))+(POWER(TAN(A388/2),2*$C$384+1)/(2*$C$384+1))-(POWER(TAN($E$384/2),2*$C$384-1)/(2*$C$384-1))-(POWER(TAN($E$384/2),2*$C$384+1)/(2*$C$384+1))))</f>
        <v>0.86298868821334718</v>
      </c>
      <c r="I388" s="75">
        <f t="shared" ref="I388:I397" si="390">-(-$I$381+0.5*$K$384*((POWER(TAN(A388/2),2*$C$384-2)/(2*$C$384-2))-(POWER(TAN(A388/2),2*$C$384+2)/(2*$C$384+2))-(POWER(TAN($E$384/2),2*$C$384-2)/(2*$C$384-2))+(POWER(TAN($E$384/2),2*$C$384+2)/(2*$C$384+2))))</f>
        <v>0.88933885104195709</v>
      </c>
      <c r="J388" s="77">
        <f t="shared" ref="J388:J397" si="391">-$D$384*SIN(A388)*($C$384+$G$384)/($C$384+B388)*F388</f>
        <v>-0.81217870847627893</v>
      </c>
      <c r="K388" s="77">
        <f t="shared" ref="K388:K397" si="392">-$D$384*COS(A388)*($C$384+$G$384)/($C$384+B388)*F388</f>
        <v>1.3225431841527564</v>
      </c>
      <c r="L388" s="91">
        <f t="shared" ref="L388:L397" si="393">SQRT(J388*J388+K388*K388)</f>
        <v>1.55201634284279</v>
      </c>
      <c r="M388" s="93"/>
      <c r="N388" s="75">
        <f t="shared" ref="N388:N397" si="394">-(-$I$381+0.5*$K$384*((POWER(TAN(A388/2),2*$C$384-2)/(2*$C$384-2))-(POWER(TAN(A388/2),2*$C$384+2)/(2*$C$384+2))-(POWER(TAN($E$384/2),2*$C$384-2)/(2*$C$384-2))+(POWER(TAN($E$384/2),2*$C$384+2)/(2*$C$384+2))))-$D$381</f>
        <v>-4.0680335746583585E-2</v>
      </c>
      <c r="O388" s="75">
        <f t="shared" ref="O388:O397" si="395">-(-$I$381+0.5*$K$384*((POWER(TAN((A388+$M$9)/2),2*$C$384-2)/(2*$C$384-2))-(POWER(TAN((A388+$M$9)/2),2*$C$384+2)/(2*$C$384+2))-(POWER(TAN($E$384/2),2*$C$384-2)/(2*$C$384-2))+(POWER(TAN($E$384/2),2*$C$384+2)/(2*$C$384+2))))-$D$381</f>
        <v>-6.1193047918267296E-2</v>
      </c>
      <c r="P388" s="75">
        <f t="shared" ref="P388:P397" si="396">A388-N388/(O388-N388)*$M$9</f>
        <v>2.584917722645887</v>
      </c>
      <c r="AF388" s="7"/>
      <c r="AG388" s="7"/>
      <c r="AH388" s="7"/>
      <c r="AI388" s="7"/>
      <c r="AJ388" s="7"/>
      <c r="AK388" s="7"/>
      <c r="AL388" s="7"/>
      <c r="AM388" s="7"/>
      <c r="AN388" s="7"/>
      <c r="AR388" s="92"/>
      <c r="AS388" s="7"/>
      <c r="AT388" s="125"/>
      <c r="AU388" s="125"/>
      <c r="AV388" s="125"/>
      <c r="AW388" s="125"/>
      <c r="AX388" s="125"/>
      <c r="AY388" s="125"/>
      <c r="AZ388" s="7"/>
    </row>
    <row r="389" spans="1:52" s="18" customFormat="1">
      <c r="A389" s="19">
        <f t="shared" ref="A389:A397" si="397">P388</f>
        <v>2.584917722645887</v>
      </c>
      <c r="B389" s="26">
        <f t="shared" si="383"/>
        <v>-0.8490166548909297</v>
      </c>
      <c r="C389" s="26">
        <f t="shared" si="384"/>
        <v>0.32807683273575972</v>
      </c>
      <c r="D389" s="26">
        <f t="shared" si="385"/>
        <v>4.3686352960249417</v>
      </c>
      <c r="E389" s="26">
        <f t="shared" si="386"/>
        <v>0.52836608494283199</v>
      </c>
      <c r="F389" s="77">
        <f t="shared" si="387"/>
        <v>0.92041829853590396</v>
      </c>
      <c r="G389" s="77">
        <f t="shared" si="388"/>
        <v>-7.9437447746968898E-2</v>
      </c>
      <c r="H389" s="75">
        <f t="shared" si="389"/>
        <v>0.8389372149615415</v>
      </c>
      <c r="I389" s="75">
        <f t="shared" si="390"/>
        <v>0.92824640075725173</v>
      </c>
      <c r="J389" s="77">
        <f t="shared" si="391"/>
        <v>-0.80143366011227968</v>
      </c>
      <c r="K389" s="77">
        <f t="shared" si="392"/>
        <v>1.2878012889474977</v>
      </c>
      <c r="L389" s="91">
        <f t="shared" si="393"/>
        <v>1.5168151078413616</v>
      </c>
      <c r="M389" s="93"/>
      <c r="N389" s="75">
        <f t="shared" si="394"/>
        <v>-1.7727860312889421E-3</v>
      </c>
      <c r="O389" s="75">
        <f t="shared" si="395"/>
        <v>-2.1103748245457798E-2</v>
      </c>
      <c r="P389" s="75">
        <f t="shared" si="396"/>
        <v>2.5846426014162791</v>
      </c>
      <c r="AF389" s="7"/>
      <c r="AG389" s="7"/>
      <c r="AH389" s="7"/>
      <c r="AI389" s="7"/>
      <c r="AJ389" s="7"/>
      <c r="AK389" s="7"/>
      <c r="AL389" s="7"/>
      <c r="AM389" s="7"/>
      <c r="AN389" s="7"/>
      <c r="AR389" s="92"/>
      <c r="AS389" s="7"/>
      <c r="AT389" s="125"/>
      <c r="AU389" s="125"/>
      <c r="AV389" s="125"/>
      <c r="AW389" s="125"/>
      <c r="AX389" s="125"/>
      <c r="AY389" s="125"/>
      <c r="AZ389" s="7"/>
    </row>
    <row r="390" spans="1:52" s="18" customFormat="1">
      <c r="A390" s="19">
        <f t="shared" si="397"/>
        <v>2.5846426014162791</v>
      </c>
      <c r="B390" s="26">
        <f t="shared" si="383"/>
        <v>-0.84887125803403796</v>
      </c>
      <c r="C390" s="26">
        <f t="shared" si="384"/>
        <v>0.32822222959265146</v>
      </c>
      <c r="D390" s="26">
        <f t="shared" si="385"/>
        <v>4.3659591063728387</v>
      </c>
      <c r="E390" s="26">
        <f t="shared" si="386"/>
        <v>0.52859964744947541</v>
      </c>
      <c r="F390" s="77">
        <f t="shared" si="387"/>
        <v>0.91985549925667043</v>
      </c>
      <c r="G390" s="77">
        <f t="shared" si="388"/>
        <v>-7.9999226868471038E-2</v>
      </c>
      <c r="H390" s="75">
        <f t="shared" si="389"/>
        <v>0.83785143487910385</v>
      </c>
      <c r="I390" s="75">
        <f t="shared" si="390"/>
        <v>0.92999057567411869</v>
      </c>
      <c r="J390" s="77">
        <f t="shared" si="391"/>
        <v>-0.80094270851694027</v>
      </c>
      <c r="K390" s="77">
        <f t="shared" si="392"/>
        <v>1.2862234166680007</v>
      </c>
      <c r="L390" s="91">
        <f t="shared" si="393"/>
        <v>1.5152161231690868</v>
      </c>
      <c r="M390" s="93"/>
      <c r="N390" s="75">
        <f t="shared" si="394"/>
        <v>-2.8611114421983608E-5</v>
      </c>
      <c r="O390" s="75">
        <f t="shared" si="395"/>
        <v>-1.9306880495362555E-2</v>
      </c>
      <c r="P390" s="75">
        <f t="shared" si="396"/>
        <v>2.5846381490797352</v>
      </c>
      <c r="AF390" s="7"/>
      <c r="AG390" s="7"/>
      <c r="AH390" s="7"/>
      <c r="AI390" s="7"/>
      <c r="AJ390" s="7"/>
      <c r="AK390" s="7"/>
      <c r="AL390" s="7"/>
      <c r="AM390" s="7"/>
      <c r="AN390" s="7"/>
      <c r="AR390" s="92"/>
      <c r="AS390" s="7"/>
      <c r="AT390" s="125"/>
      <c r="AU390" s="125"/>
      <c r="AV390" s="125"/>
      <c r="AW390" s="125"/>
      <c r="AX390" s="125"/>
      <c r="AY390" s="125"/>
      <c r="AZ390" s="7"/>
    </row>
    <row r="391" spans="1:52" s="18" customFormat="1">
      <c r="A391" s="19">
        <f t="shared" si="397"/>
        <v>2.5846381490797352</v>
      </c>
      <c r="B391" s="26">
        <f t="shared" si="383"/>
        <v>-0.84886890452209685</v>
      </c>
      <c r="C391" s="26">
        <f t="shared" si="384"/>
        <v>0.32822458310459257</v>
      </c>
      <c r="D391" s="26">
        <f t="shared" si="385"/>
        <v>4.3659158203155082</v>
      </c>
      <c r="E391" s="26">
        <f t="shared" si="386"/>
        <v>0.52860342690475925</v>
      </c>
      <c r="F391" s="77">
        <f t="shared" si="387"/>
        <v>0.91984639829794912</v>
      </c>
      <c r="G391" s="77">
        <f t="shared" si="388"/>
        <v>-8.0008311330345694E-2</v>
      </c>
      <c r="H391" s="75">
        <f t="shared" si="389"/>
        <v>0.8378338823283995</v>
      </c>
      <c r="I391" s="75">
        <f t="shared" si="390"/>
        <v>0.93001876294580799</v>
      </c>
      <c r="J391" s="77">
        <f t="shared" si="391"/>
        <v>-0.80093476761526128</v>
      </c>
      <c r="K391" s="77">
        <f t="shared" si="392"/>
        <v>1.2861979021973415</v>
      </c>
      <c r="L391" s="91">
        <f t="shared" si="393"/>
        <v>1.5151902671254707</v>
      </c>
      <c r="M391" s="93"/>
      <c r="N391" s="75">
        <f t="shared" si="394"/>
        <v>-4.2384273268858408E-7</v>
      </c>
      <c r="O391" s="75">
        <f t="shared" si="395"/>
        <v>-1.9277841867313628E-2</v>
      </c>
      <c r="P391" s="75">
        <f t="shared" si="396"/>
        <v>2.5846380831202693</v>
      </c>
      <c r="AF391" s="7"/>
      <c r="AG391" s="7"/>
      <c r="AH391" s="7"/>
      <c r="AI391" s="7"/>
      <c r="AJ391" s="7"/>
      <c r="AK391" s="7"/>
      <c r="AL391" s="7"/>
      <c r="AM391" s="7"/>
      <c r="AN391" s="7"/>
      <c r="AR391" s="92"/>
      <c r="AS391" s="7"/>
      <c r="AT391" s="125"/>
      <c r="AU391" s="125"/>
      <c r="AV391" s="125"/>
      <c r="AW391" s="125"/>
      <c r="AX391" s="125"/>
      <c r="AY391" s="125"/>
      <c r="AZ391" s="7"/>
    </row>
    <row r="392" spans="1:52" s="18" customFormat="1">
      <c r="A392" s="19">
        <f t="shared" si="397"/>
        <v>2.5846380831202693</v>
      </c>
      <c r="B392" s="26">
        <f t="shared" si="383"/>
        <v>-0.8488688696556953</v>
      </c>
      <c r="C392" s="26">
        <f t="shared" si="384"/>
        <v>0.32822461797099411</v>
      </c>
      <c r="D392" s="26">
        <f t="shared" si="385"/>
        <v>4.3659151790565929</v>
      </c>
      <c r="E392" s="26">
        <f t="shared" si="386"/>
        <v>0.5286034828956977</v>
      </c>
      <c r="F392" s="77">
        <f t="shared" si="387"/>
        <v>0.91984626347278575</v>
      </c>
      <c r="G392" s="77">
        <f t="shared" si="388"/>
        <v>-8.0008445911118331E-2</v>
      </c>
      <c r="H392" s="75">
        <f t="shared" si="389"/>
        <v>0.8378336222993541</v>
      </c>
      <c r="I392" s="75">
        <f t="shared" si="390"/>
        <v>0.93001918051887555</v>
      </c>
      <c r="J392" s="77">
        <f t="shared" si="391"/>
        <v>-0.80093464997521024</v>
      </c>
      <c r="K392" s="77">
        <f t="shared" si="392"/>
        <v>1.2861975242162564</v>
      </c>
      <c r="L392" s="91">
        <f t="shared" si="393"/>
        <v>1.5151898840841502</v>
      </c>
      <c r="M392" s="93"/>
      <c r="N392" s="75">
        <f t="shared" si="394"/>
        <v>-6.2696651204063869E-9</v>
      </c>
      <c r="O392" s="75">
        <f t="shared" si="395"/>
        <v>-1.9277411682095402E-2</v>
      </c>
      <c r="P392" s="75">
        <f t="shared" si="396"/>
        <v>2.5846380821445676</v>
      </c>
      <c r="AF392" s="7"/>
      <c r="AG392" s="7"/>
      <c r="AH392" s="7"/>
      <c r="AI392" s="7"/>
      <c r="AJ392" s="7"/>
      <c r="AK392" s="7"/>
      <c r="AL392" s="7"/>
      <c r="AM392" s="7"/>
      <c r="AN392" s="7"/>
      <c r="AR392" s="92"/>
      <c r="AS392" s="7"/>
      <c r="AT392" s="125"/>
      <c r="AU392" s="125"/>
      <c r="AV392" s="125"/>
      <c r="AW392" s="125"/>
      <c r="AX392" s="125"/>
      <c r="AY392" s="125"/>
      <c r="AZ392" s="7"/>
    </row>
    <row r="393" spans="1:52" s="18" customFormat="1">
      <c r="A393" s="19">
        <f t="shared" si="397"/>
        <v>2.5846380821445676</v>
      </c>
      <c r="B393" s="26">
        <f t="shared" si="383"/>
        <v>-0.84886886913993598</v>
      </c>
      <c r="C393" s="26">
        <f t="shared" si="384"/>
        <v>0.32822461848675344</v>
      </c>
      <c r="D393" s="26">
        <f t="shared" si="385"/>
        <v>4.3659151695708074</v>
      </c>
      <c r="E393" s="26">
        <f t="shared" si="386"/>
        <v>0.5286034837239405</v>
      </c>
      <c r="F393" s="77">
        <f t="shared" si="387"/>
        <v>0.91984626147839221</v>
      </c>
      <c r="G393" s="77">
        <f t="shared" si="388"/>
        <v>-8.0008447901896734E-2</v>
      </c>
      <c r="H393" s="75">
        <f t="shared" si="389"/>
        <v>0.83783361845289006</v>
      </c>
      <c r="I393" s="75">
        <f t="shared" si="390"/>
        <v>0.93001918669579986</v>
      </c>
      <c r="J393" s="77">
        <f t="shared" si="391"/>
        <v>-0.80093464823502625</v>
      </c>
      <c r="K393" s="77">
        <f t="shared" si="392"/>
        <v>1.286197518624993</v>
      </c>
      <c r="L393" s="91">
        <f t="shared" si="393"/>
        <v>1.5151898784180333</v>
      </c>
      <c r="M393" s="93"/>
      <c r="N393" s="75">
        <f t="shared" si="394"/>
        <v>-9.2740815027525514E-11</v>
      </c>
      <c r="O393" s="75">
        <f t="shared" si="395"/>
        <v>-1.9277405318606333E-2</v>
      </c>
      <c r="P393" s="75">
        <f t="shared" si="396"/>
        <v>2.5846380821301351</v>
      </c>
      <c r="AF393" s="7"/>
      <c r="AG393" s="7"/>
      <c r="AH393" s="7"/>
      <c r="AI393" s="7"/>
      <c r="AJ393" s="7"/>
      <c r="AK393" s="7"/>
      <c r="AL393" s="7"/>
      <c r="AM393" s="7"/>
      <c r="AN393" s="7"/>
      <c r="AR393" s="92"/>
      <c r="AS393" s="7"/>
      <c r="AT393" s="125"/>
      <c r="AU393" s="125"/>
      <c r="AV393" s="125"/>
      <c r="AW393" s="125"/>
      <c r="AX393" s="125"/>
      <c r="AY393" s="125"/>
      <c r="AZ393" s="7"/>
    </row>
    <row r="394" spans="1:52" s="18" customFormat="1">
      <c r="A394" s="19">
        <f t="shared" si="397"/>
        <v>2.5846380821301351</v>
      </c>
      <c r="B394" s="26">
        <f t="shared" si="383"/>
        <v>-0.84886886913230697</v>
      </c>
      <c r="C394" s="26">
        <f t="shared" si="384"/>
        <v>0.32822461849438245</v>
      </c>
      <c r="D394" s="26">
        <f t="shared" si="385"/>
        <v>4.3659151694304947</v>
      </c>
      <c r="E394" s="26">
        <f t="shared" si="386"/>
        <v>0.52860348373619181</v>
      </c>
      <c r="F394" s="77">
        <f t="shared" si="387"/>
        <v>0.91984626144889137</v>
      </c>
      <c r="G394" s="77">
        <f t="shared" si="388"/>
        <v>-8.0008447931344095E-2</v>
      </c>
      <c r="H394" s="75">
        <f t="shared" si="389"/>
        <v>0.83783361839599357</v>
      </c>
      <c r="I394" s="75">
        <f t="shared" si="390"/>
        <v>0.93001918678716777</v>
      </c>
      <c r="J394" s="77">
        <f t="shared" si="391"/>
        <v>-0.80093464820928595</v>
      </c>
      <c r="K394" s="77">
        <f t="shared" si="392"/>
        <v>1.286197518542288</v>
      </c>
      <c r="L394" s="91">
        <f t="shared" si="393"/>
        <v>1.5151898783342213</v>
      </c>
      <c r="M394" s="93"/>
      <c r="N394" s="75">
        <f t="shared" si="394"/>
        <v>-1.3729017922514686E-12</v>
      </c>
      <c r="O394" s="75">
        <f t="shared" si="395"/>
        <v>-1.9277405224478628E-2</v>
      </c>
      <c r="P394" s="75">
        <f t="shared" si="396"/>
        <v>2.5846380821299215</v>
      </c>
      <c r="AF394" s="7"/>
      <c r="AG394" s="7"/>
      <c r="AH394" s="7"/>
      <c r="AI394" s="7"/>
      <c r="AJ394" s="7"/>
      <c r="AK394" s="7"/>
      <c r="AL394" s="7"/>
      <c r="AM394" s="7"/>
      <c r="AN394" s="7"/>
      <c r="AR394" s="92"/>
      <c r="AS394" s="7"/>
      <c r="AT394" s="125"/>
      <c r="AU394" s="125"/>
      <c r="AV394" s="125"/>
      <c r="AW394" s="125"/>
      <c r="AX394" s="125"/>
      <c r="AY394" s="125"/>
      <c r="AZ394" s="7"/>
    </row>
    <row r="395" spans="1:52" s="18" customFormat="1">
      <c r="A395" s="19">
        <f t="shared" si="397"/>
        <v>2.5846380821299215</v>
      </c>
      <c r="B395" s="26">
        <f t="shared" si="383"/>
        <v>-0.84886886913219406</v>
      </c>
      <c r="C395" s="26">
        <f t="shared" si="384"/>
        <v>0.32822461849449536</v>
      </c>
      <c r="D395" s="26">
        <f t="shared" si="385"/>
        <v>4.3659151694284182</v>
      </c>
      <c r="E395" s="26">
        <f t="shared" si="386"/>
        <v>0.52860348373637311</v>
      </c>
      <c r="F395" s="77">
        <f t="shared" si="387"/>
        <v>0.91984626144845461</v>
      </c>
      <c r="G395" s="77">
        <f t="shared" si="388"/>
        <v>-8.0008447931780066E-2</v>
      </c>
      <c r="H395" s="75">
        <f t="shared" si="389"/>
        <v>0.83783361839515114</v>
      </c>
      <c r="I395" s="75">
        <f t="shared" si="390"/>
        <v>0.93001918678852058</v>
      </c>
      <c r="J395" s="77">
        <f t="shared" si="391"/>
        <v>-0.80093464820890481</v>
      </c>
      <c r="K395" s="77">
        <f t="shared" si="392"/>
        <v>1.2861975185410637</v>
      </c>
      <c r="L395" s="91">
        <f t="shared" si="393"/>
        <v>1.5151898783329802</v>
      </c>
      <c r="M395" s="93"/>
      <c r="N395" s="75">
        <f t="shared" si="394"/>
        <v>-2.0095036745715333E-14</v>
      </c>
      <c r="O395" s="75">
        <f t="shared" si="395"/>
        <v>-1.9277405223085187E-2</v>
      </c>
      <c r="P395" s="75">
        <f t="shared" si="396"/>
        <v>2.5846380821299184</v>
      </c>
      <c r="AF395" s="7"/>
      <c r="AG395" s="7"/>
      <c r="AH395" s="7"/>
      <c r="AI395" s="7"/>
      <c r="AJ395" s="7"/>
      <c r="AK395" s="7"/>
      <c r="AL395" s="7"/>
      <c r="AM395" s="7"/>
      <c r="AN395" s="7"/>
      <c r="AR395" s="92"/>
      <c r="AS395" s="7"/>
      <c r="AT395" s="125"/>
      <c r="AU395" s="125"/>
      <c r="AV395" s="125"/>
      <c r="AW395" s="125"/>
      <c r="AX395" s="125"/>
      <c r="AY395" s="125"/>
      <c r="AZ395" s="7"/>
    </row>
    <row r="396" spans="1:52" s="18" customFormat="1">
      <c r="A396" s="19">
        <f t="shared" si="397"/>
        <v>2.5846380821299184</v>
      </c>
      <c r="B396" s="26">
        <f t="shared" si="383"/>
        <v>-0.84886886913219239</v>
      </c>
      <c r="C396" s="26">
        <f t="shared" si="384"/>
        <v>0.32822461849449702</v>
      </c>
      <c r="D396" s="26">
        <f t="shared" si="385"/>
        <v>4.365915169428388</v>
      </c>
      <c r="E396" s="26">
        <f t="shared" si="386"/>
        <v>0.52860348373637578</v>
      </c>
      <c r="F396" s="77">
        <f t="shared" si="387"/>
        <v>0.91984626144844817</v>
      </c>
      <c r="G396" s="77">
        <f t="shared" si="388"/>
        <v>-8.0008447931786492E-2</v>
      </c>
      <c r="H396" s="75">
        <f t="shared" si="389"/>
        <v>0.83783361839513948</v>
      </c>
      <c r="I396" s="75">
        <f t="shared" si="390"/>
        <v>0.9300191867885399</v>
      </c>
      <c r="J396" s="77">
        <f t="shared" si="391"/>
        <v>-0.80093464820889904</v>
      </c>
      <c r="K396" s="77">
        <f t="shared" si="392"/>
        <v>1.2861975185410455</v>
      </c>
      <c r="L396" s="91">
        <f t="shared" si="393"/>
        <v>1.5151898783329618</v>
      </c>
      <c r="M396" s="93"/>
      <c r="N396" s="75">
        <f t="shared" si="394"/>
        <v>0</v>
      </c>
      <c r="O396" s="75">
        <f t="shared" si="395"/>
        <v>-1.9277405223064981E-2</v>
      </c>
      <c r="P396" s="75">
        <f t="shared" si="396"/>
        <v>2.5846380821299184</v>
      </c>
      <c r="AF396" s="7"/>
      <c r="AG396" s="7"/>
      <c r="AH396" s="7"/>
      <c r="AI396" s="7"/>
      <c r="AJ396" s="7"/>
      <c r="AK396" s="7"/>
      <c r="AL396" s="7"/>
      <c r="AM396" s="7"/>
      <c r="AN396" s="7"/>
      <c r="AR396" s="92"/>
      <c r="AS396" s="7"/>
      <c r="AT396" s="125"/>
      <c r="AU396" s="125"/>
      <c r="AV396" s="125"/>
      <c r="AW396" s="125"/>
      <c r="AX396" s="125"/>
      <c r="AY396" s="125"/>
      <c r="AZ396" s="7"/>
    </row>
    <row r="397" spans="1:52" s="18" customFormat="1">
      <c r="A397" s="19">
        <f t="shared" si="397"/>
        <v>2.5846380821299184</v>
      </c>
      <c r="B397" s="26">
        <f t="shared" si="383"/>
        <v>-0.84886886913219239</v>
      </c>
      <c r="C397" s="26">
        <f t="shared" si="384"/>
        <v>0.32822461849449702</v>
      </c>
      <c r="D397" s="26">
        <f t="shared" si="385"/>
        <v>4.365915169428388</v>
      </c>
      <c r="E397" s="26">
        <f t="shared" si="386"/>
        <v>0.52860348373637578</v>
      </c>
      <c r="F397" s="77">
        <f t="shared" si="387"/>
        <v>0.91984626144844817</v>
      </c>
      <c r="G397" s="77">
        <f t="shared" si="388"/>
        <v>-8.0008447931786492E-2</v>
      </c>
      <c r="H397" s="75">
        <f t="shared" si="389"/>
        <v>0.83783361839513948</v>
      </c>
      <c r="I397" s="75">
        <f t="shared" si="390"/>
        <v>0.9300191867885399</v>
      </c>
      <c r="J397" s="77">
        <f t="shared" si="391"/>
        <v>-0.80093464820889904</v>
      </c>
      <c r="K397" s="77">
        <f t="shared" si="392"/>
        <v>1.2861975185410455</v>
      </c>
      <c r="L397" s="91">
        <f t="shared" si="393"/>
        <v>1.5151898783329618</v>
      </c>
      <c r="M397" s="93"/>
      <c r="N397" s="75">
        <f t="shared" si="394"/>
        <v>0</v>
      </c>
      <c r="O397" s="75">
        <f t="shared" si="395"/>
        <v>-1.9277405223064981E-2</v>
      </c>
      <c r="P397" s="75">
        <f t="shared" si="396"/>
        <v>2.5846380821299184</v>
      </c>
      <c r="AF397" s="7"/>
      <c r="AG397" s="7"/>
      <c r="AH397" s="7"/>
      <c r="AI397" s="7"/>
      <c r="AJ397" s="7"/>
      <c r="AK397" s="7"/>
      <c r="AL397" s="7"/>
      <c r="AM397" s="7"/>
      <c r="AN397" s="7"/>
      <c r="AR397" s="92"/>
      <c r="AS397" s="7"/>
      <c r="AT397" s="125"/>
      <c r="AU397" s="125"/>
      <c r="AV397" s="125"/>
      <c r="AW397" s="125"/>
      <c r="AX397" s="125"/>
      <c r="AY397" s="125"/>
      <c r="AZ397" s="7"/>
    </row>
    <row r="398" spans="1:52" s="18" customFormat="1">
      <c r="A398" s="88" t="s">
        <v>60</v>
      </c>
      <c r="B398" s="8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AF398" s="7"/>
      <c r="AG398" s="7"/>
      <c r="AH398" s="7"/>
      <c r="AI398" s="7"/>
      <c r="AJ398" s="7"/>
      <c r="AK398" s="7"/>
      <c r="AL398" s="7"/>
      <c r="AM398" s="7"/>
      <c r="AN398" s="7"/>
      <c r="AR398" s="92"/>
      <c r="AS398" s="7"/>
      <c r="AT398" s="125"/>
      <c r="AU398" s="125"/>
      <c r="AV398" s="125"/>
      <c r="AW398" s="125"/>
      <c r="AX398" s="125"/>
      <c r="AY398" s="125"/>
      <c r="AZ398" s="7"/>
    </row>
    <row r="399" spans="1:52" s="18" customFormat="1">
      <c r="A399" s="26" t="s">
        <v>11</v>
      </c>
      <c r="B399" s="26" t="s">
        <v>13</v>
      </c>
      <c r="C399" s="26" t="s">
        <v>22</v>
      </c>
      <c r="D399" s="26" t="s">
        <v>18</v>
      </c>
      <c r="E399" s="26" t="s">
        <v>19</v>
      </c>
      <c r="F399" s="26" t="s">
        <v>20</v>
      </c>
      <c r="G399" s="26" t="s">
        <v>2</v>
      </c>
      <c r="H399" s="26" t="s">
        <v>1</v>
      </c>
      <c r="I399" s="26" t="s">
        <v>0</v>
      </c>
      <c r="J399" s="76" t="s">
        <v>3</v>
      </c>
      <c r="K399" s="76" t="s">
        <v>4</v>
      </c>
      <c r="L399" s="44" t="s">
        <v>7</v>
      </c>
      <c r="M399" s="28"/>
      <c r="N399" s="28"/>
      <c r="O399" s="28"/>
      <c r="P399" s="31"/>
      <c r="AF399" s="7"/>
      <c r="AG399" s="7"/>
      <c r="AH399" s="7"/>
      <c r="AI399" s="7"/>
      <c r="AJ399" s="7"/>
      <c r="AK399" s="7"/>
      <c r="AL399" s="7"/>
      <c r="AM399" s="7"/>
      <c r="AN399" s="7"/>
      <c r="AR399" s="92"/>
      <c r="AS399" s="7"/>
      <c r="AT399" s="125"/>
      <c r="AU399" s="125"/>
      <c r="AV399" s="125"/>
      <c r="AW399" s="125"/>
      <c r="AX399" s="125"/>
      <c r="AY399" s="125"/>
      <c r="AZ399" s="7"/>
    </row>
    <row r="400" spans="1:52" s="18" customFormat="1">
      <c r="A400" s="19">
        <f>$E384</f>
        <v>2.6201042675468695</v>
      </c>
      <c r="B400" s="26">
        <f t="shared" ref="B400:B405" si="398">COS(A400)</f>
        <v>-0.86707866925182531</v>
      </c>
      <c r="C400" s="26">
        <f t="shared" ref="C400:C405" si="399">($C$384+B400)</f>
        <v>0.31001481837486411</v>
      </c>
      <c r="D400" s="26">
        <f t="shared" ref="D400:D405" si="400">POWER(TAN(A400/2),$C$384)</f>
        <v>4.7358438286833469</v>
      </c>
      <c r="E400" s="26">
        <f t="shared" ref="E400:E405" si="401">SIN(A400)</f>
        <v>0.49817123695420612</v>
      </c>
      <c r="F400" s="77">
        <f t="shared" ref="F400:F405" si="402">(C400*$H$384*D400/E400/$I$384/$J$384)</f>
        <v>1.0000000000000002</v>
      </c>
      <c r="G400" s="77">
        <f t="shared" ref="G400:G405" si="403">$D$384*($C$384+$G$384)/9.81/SIN($C$381)/(1-$C$384*$C$381)*(F400-1)</f>
        <v>2.2164211592267045E-16</v>
      </c>
      <c r="H400" s="130">
        <f t="shared" ref="H400:H405" si="404">-(-$H$381+$K$384*((POWER(TAN(A400/2),2*$C$384-1)/(2*$C$384-1))+(POWER(TAN(A400/2),2*$C$384+1)/(2*$C$384+1))-(POWER(TAN($E$384/2),2*$C$384-1)/(2*$C$384-1))-(POWER(TAN($E$384/2),2*$C$384+1)/(2*$C$384+1))))</f>
        <v>0.99903511036118886</v>
      </c>
      <c r="I400" s="130">
        <f t="shared" ref="I400:I405" si="405">-(-$I$381+0.5*$K$384*((POWER(TAN(A400/2),2*$C$384-2)/(2*$C$384-2))-(POWER(TAN(A400/2),2*$C$384+2)/(2*$C$384+2))-(POWER(TAN($E$384/2),2*$C$384-2)/(2*$C$384-2))+(POWER(TAN($E$384/2),2*$C$384+2)/(2*$C$384+2))))</f>
        <v>0.66000334397619898</v>
      </c>
      <c r="J400" s="77">
        <f t="shared" ref="J400:J405" si="406">-$D$384*SIN(A400)*($C$384+$G$384)/($C$384+B400)*F400</f>
        <v>-0.86879869711151514</v>
      </c>
      <c r="K400" s="77">
        <f t="shared" ref="K400:K405" si="407">-$D$384*COS(A400)*($C$384+$G$384)/($C$384+B400)*F400</f>
        <v>1.5121644170886168</v>
      </c>
      <c r="L400" s="91">
        <f t="shared" ref="L400:L405" si="408">SQRT(J400*J400+K400*K400)</f>
        <v>1.7439760320634061</v>
      </c>
      <c r="M400" s="28"/>
      <c r="N400" s="28"/>
      <c r="O400" s="28"/>
      <c r="P400" s="31"/>
      <c r="AF400" s="7"/>
      <c r="AG400" s="7"/>
      <c r="AH400" s="7"/>
      <c r="AI400" s="7"/>
      <c r="AJ400" s="7"/>
      <c r="AK400" s="7"/>
      <c r="AL400" s="7"/>
      <c r="AM400" s="7"/>
      <c r="AN400" s="7"/>
      <c r="AR400" s="92"/>
      <c r="AS400" s="7"/>
      <c r="AT400" s="125"/>
      <c r="AU400" s="125"/>
      <c r="AV400" s="125"/>
      <c r="AW400" s="125"/>
      <c r="AX400" s="125"/>
      <c r="AY400" s="125"/>
      <c r="AZ400" s="7"/>
    </row>
    <row r="401" spans="1:52" s="18" customFormat="1">
      <c r="A401" s="20">
        <f>A400-$F$384</f>
        <v>2.6130310304634792</v>
      </c>
      <c r="B401" s="26">
        <f t="shared" si="398"/>
        <v>-0.86353332518817849</v>
      </c>
      <c r="C401" s="26">
        <f t="shared" si="399"/>
        <v>0.31356016243851093</v>
      </c>
      <c r="D401" s="26">
        <f t="shared" si="400"/>
        <v>4.6578267400809885</v>
      </c>
      <c r="E401" s="26">
        <f t="shared" si="401"/>
        <v>0.5042917769401436</v>
      </c>
      <c r="F401" s="77">
        <f t="shared" si="402"/>
        <v>0.98270043287140563</v>
      </c>
      <c r="G401" s="77">
        <f t="shared" si="403"/>
        <v>-1.7268209079984213E-2</v>
      </c>
      <c r="H401" s="130">
        <f t="shared" si="404"/>
        <v>0.96314097568813706</v>
      </c>
      <c r="I401" s="130">
        <f t="shared" si="405"/>
        <v>0.72197542319156682</v>
      </c>
      <c r="J401" s="77">
        <f t="shared" si="406"/>
        <v>-0.85448632800009383</v>
      </c>
      <c r="K401" s="77">
        <f t="shared" si="407"/>
        <v>1.4631954235362024</v>
      </c>
      <c r="L401" s="91">
        <f t="shared" si="408"/>
        <v>1.6944284382045676</v>
      </c>
      <c r="M401" s="28"/>
      <c r="N401" s="28"/>
      <c r="O401" s="28"/>
      <c r="P401" s="31"/>
      <c r="AF401" s="7"/>
      <c r="AG401" s="7"/>
      <c r="AH401" s="7"/>
      <c r="AI401" s="7"/>
      <c r="AJ401" s="7"/>
      <c r="AK401" s="7"/>
      <c r="AL401" s="7"/>
      <c r="AM401" s="7"/>
      <c r="AN401" s="7"/>
      <c r="AR401" s="92"/>
      <c r="AS401" s="7"/>
      <c r="AT401" s="125"/>
      <c r="AU401" s="125"/>
      <c r="AV401" s="125"/>
      <c r="AW401" s="125"/>
      <c r="AX401" s="125"/>
      <c r="AY401" s="125"/>
      <c r="AZ401" s="7"/>
    </row>
    <row r="402" spans="1:52" s="18" customFormat="1">
      <c r="A402" s="20">
        <f>A401-$F$384</f>
        <v>2.6059577933800888</v>
      </c>
      <c r="B402" s="26">
        <f t="shared" si="398"/>
        <v>-0.85994477814274273</v>
      </c>
      <c r="C402" s="26">
        <f t="shared" si="399"/>
        <v>0.31714870948394669</v>
      </c>
      <c r="D402" s="26">
        <f t="shared" si="400"/>
        <v>4.5820111401538286</v>
      </c>
      <c r="E402" s="26">
        <f t="shared" si="401"/>
        <v>0.51038708696932078</v>
      </c>
      <c r="F402" s="77">
        <f t="shared" si="402"/>
        <v>0.96609144122510948</v>
      </c>
      <c r="G402" s="77">
        <f t="shared" si="403"/>
        <v>-3.3847094448849327E-2</v>
      </c>
      <c r="H402" s="130">
        <f t="shared" si="404"/>
        <v>0.92924404785780146</v>
      </c>
      <c r="I402" s="130">
        <f t="shared" si="405"/>
        <v>0.77955623924614925</v>
      </c>
      <c r="J402" s="77">
        <f t="shared" si="406"/>
        <v>-0.84057782577320406</v>
      </c>
      <c r="K402" s="77">
        <f t="shared" si="407"/>
        <v>1.4162789975517098</v>
      </c>
      <c r="L402" s="91">
        <f t="shared" si="408"/>
        <v>1.646941796205222</v>
      </c>
      <c r="M402" s="45"/>
      <c r="N402" s="28"/>
      <c r="O402" s="28"/>
      <c r="P402" s="31"/>
      <c r="AF402" s="7"/>
      <c r="AG402" s="7"/>
      <c r="AH402" s="7"/>
      <c r="AI402" s="7"/>
      <c r="AJ402" s="7"/>
      <c r="AK402" s="7"/>
      <c r="AL402" s="7"/>
      <c r="AM402" s="7"/>
      <c r="AN402" s="7"/>
      <c r="AR402" s="92"/>
      <c r="AS402" s="7"/>
      <c r="AT402" s="125"/>
      <c r="AU402" s="125"/>
      <c r="AV402" s="125"/>
      <c r="AW402" s="125"/>
      <c r="AX402" s="125"/>
      <c r="AY402" s="125"/>
      <c r="AZ402" s="7"/>
    </row>
    <row r="403" spans="1:52" s="18" customFormat="1">
      <c r="A403" s="20">
        <f>A402-$F$384</f>
        <v>2.5988845562966985</v>
      </c>
      <c r="B403" s="26">
        <f t="shared" si="398"/>
        <v>-0.8563132076522284</v>
      </c>
      <c r="C403" s="26">
        <f t="shared" si="399"/>
        <v>0.32078027997446101</v>
      </c>
      <c r="D403" s="26">
        <f t="shared" si="400"/>
        <v>4.5083060483380235</v>
      </c>
      <c r="E403" s="26">
        <f t="shared" si="401"/>
        <v>0.51645686209048625</v>
      </c>
      <c r="F403" s="77">
        <f t="shared" si="402"/>
        <v>0.95013611018379207</v>
      </c>
      <c r="G403" s="77">
        <f t="shared" si="403"/>
        <v>-4.9773504070187512E-2</v>
      </c>
      <c r="H403" s="130">
        <f t="shared" si="404"/>
        <v>0.89720811459873862</v>
      </c>
      <c r="I403" s="130">
        <f t="shared" si="405"/>
        <v>0.83310568164417032</v>
      </c>
      <c r="J403" s="77">
        <f t="shared" si="406"/>
        <v>-0.82705649988990104</v>
      </c>
      <c r="K403" s="77">
        <f t="shared" si="407"/>
        <v>1.371304084263018</v>
      </c>
      <c r="L403" s="91">
        <f t="shared" si="408"/>
        <v>1.6014048037665456</v>
      </c>
      <c r="M403" s="45"/>
      <c r="N403" s="28"/>
      <c r="O403" s="28"/>
      <c r="P403" s="31"/>
      <c r="AF403" s="7"/>
      <c r="AG403" s="7"/>
      <c r="AH403" s="7"/>
      <c r="AI403" s="7"/>
      <c r="AJ403" s="7"/>
      <c r="AK403" s="7"/>
      <c r="AL403" s="7"/>
      <c r="AM403" s="7"/>
      <c r="AN403" s="7"/>
      <c r="AR403" s="92"/>
      <c r="AS403" s="7"/>
      <c r="AT403" s="125"/>
      <c r="AU403" s="125"/>
      <c r="AV403" s="125"/>
      <c r="AW403" s="125"/>
      <c r="AX403" s="125"/>
      <c r="AY403" s="125"/>
      <c r="AZ403" s="7"/>
    </row>
    <row r="404" spans="1:52" s="18" customFormat="1">
      <c r="A404" s="20">
        <f>A403-$F$384</f>
        <v>2.5918113192133081</v>
      </c>
      <c r="B404" s="26">
        <f t="shared" si="398"/>
        <v>-0.85263879540582943</v>
      </c>
      <c r="C404" s="26">
        <f t="shared" si="399"/>
        <v>0.32445469222085999</v>
      </c>
      <c r="D404" s="26">
        <f t="shared" si="400"/>
        <v>4.4366253662709196</v>
      </c>
      <c r="E404" s="26">
        <f t="shared" si="401"/>
        <v>0.52250079862991217</v>
      </c>
      <c r="F404" s="77">
        <f t="shared" si="402"/>
        <v>0.93479995313193898</v>
      </c>
      <c r="G404" s="77">
        <f t="shared" si="403"/>
        <v>-6.5081862047372999E-2</v>
      </c>
      <c r="H404" s="130">
        <f t="shared" si="404"/>
        <v>0.86690788662117813</v>
      </c>
      <c r="I404" s="130">
        <f t="shared" si="405"/>
        <v>0.88295009925386814</v>
      </c>
      <c r="J404" s="77">
        <f t="shared" si="406"/>
        <v>-0.81390655545744761</v>
      </c>
      <c r="K404" s="77">
        <f t="shared" si="407"/>
        <v>1.3281669747450175</v>
      </c>
      <c r="L404" s="91">
        <f t="shared" si="408"/>
        <v>1.5577135146810337</v>
      </c>
      <c r="M404" s="45"/>
      <c r="N404" s="28"/>
      <c r="O404" s="28"/>
      <c r="P404" s="89"/>
      <c r="AF404" s="7"/>
      <c r="AG404" s="7"/>
      <c r="AH404" s="7"/>
      <c r="AI404" s="7"/>
      <c r="AJ404" s="7"/>
      <c r="AK404" s="7"/>
      <c r="AL404" s="7"/>
      <c r="AM404" s="7"/>
      <c r="AN404" s="7"/>
      <c r="AR404" s="92"/>
      <c r="AS404" s="7"/>
      <c r="AT404" s="125"/>
      <c r="AU404" s="125"/>
      <c r="AV404" s="125"/>
      <c r="AW404" s="125"/>
      <c r="AX404" s="125"/>
      <c r="AY404" s="125"/>
      <c r="AZ404" s="7"/>
    </row>
    <row r="405" spans="1:52" s="18" customFormat="1">
      <c r="A405" s="20">
        <f>A404-$F$384</f>
        <v>2.5847380821299177</v>
      </c>
      <c r="B405" s="26">
        <f t="shared" si="398"/>
        <v>-0.84892172523613318</v>
      </c>
      <c r="C405" s="26">
        <f t="shared" si="399"/>
        <v>0.32817176239055623</v>
      </c>
      <c r="D405" s="26">
        <f t="shared" si="400"/>
        <v>4.3668875571406147</v>
      </c>
      <c r="E405" s="26">
        <f t="shared" si="401"/>
        <v>0.5285185942065872</v>
      </c>
      <c r="F405" s="77">
        <f t="shared" si="402"/>
        <v>0.92005072309480251</v>
      </c>
      <c r="G405" s="77">
        <f t="shared" si="403"/>
        <v>-7.9804356902696591E-2</v>
      </c>
      <c r="H405" s="130">
        <f t="shared" si="404"/>
        <v>0.83822799495077216</v>
      </c>
      <c r="I405" s="130">
        <f t="shared" si="405"/>
        <v>0.92938579842943292</v>
      </c>
      <c r="J405" s="77">
        <f t="shared" si="406"/>
        <v>-0.80111303440743742</v>
      </c>
      <c r="K405" s="77">
        <f t="shared" si="407"/>
        <v>1.2867707337700311</v>
      </c>
      <c r="L405" s="91">
        <f t="shared" si="408"/>
        <v>1.515770766041012</v>
      </c>
      <c r="M405" s="45"/>
      <c r="N405" s="28"/>
      <c r="O405" s="28"/>
      <c r="P405" s="28"/>
      <c r="AF405" s="7"/>
      <c r="AG405" s="7"/>
      <c r="AH405" s="7"/>
      <c r="AI405" s="7"/>
      <c r="AJ405" s="7"/>
      <c r="AK405" s="7"/>
      <c r="AL405" s="7"/>
      <c r="AM405" s="7"/>
      <c r="AN405" s="7"/>
      <c r="AR405" s="92"/>
      <c r="AS405" s="7"/>
      <c r="AT405" s="125"/>
      <c r="AU405" s="125"/>
      <c r="AV405" s="125"/>
      <c r="AW405" s="125"/>
      <c r="AX405" s="125"/>
      <c r="AY405" s="125"/>
      <c r="AZ405" s="7"/>
    </row>
    <row r="406" spans="1:52" s="18" customFormat="1">
      <c r="A406" s="94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AF406" s="7"/>
      <c r="AG406" s="7"/>
      <c r="AH406" s="7"/>
      <c r="AI406" s="7"/>
      <c r="AJ406" s="7"/>
      <c r="AK406" s="7"/>
      <c r="AL406" s="7"/>
      <c r="AM406" s="7"/>
      <c r="AN406" s="7"/>
      <c r="AR406" s="92"/>
      <c r="AS406" s="7"/>
      <c r="AT406" s="125"/>
      <c r="AU406" s="125"/>
      <c r="AV406" s="125"/>
      <c r="AW406" s="125"/>
      <c r="AX406" s="125"/>
      <c r="AY406" s="125"/>
      <c r="AZ406" s="7"/>
    </row>
    <row r="407" spans="1:52" s="18" customFormat="1">
      <c r="A407" s="88" t="s">
        <v>73</v>
      </c>
      <c r="B407" s="88"/>
      <c r="C407" s="23" t="str">
        <f>CONCATENATE("m",Stufengrün!AH55)</f>
        <v>m7</v>
      </c>
      <c r="D407" s="23" t="s">
        <v>30</v>
      </c>
      <c r="E407" s="28"/>
      <c r="F407" s="28"/>
      <c r="G407" s="28"/>
      <c r="H407" s="36" t="s">
        <v>57</v>
      </c>
      <c r="I407" s="36" t="s">
        <v>51</v>
      </c>
      <c r="J407" s="36" t="s">
        <v>58</v>
      </c>
      <c r="K407" s="36" t="s">
        <v>59</v>
      </c>
      <c r="L407" s="28"/>
      <c r="M407" s="28"/>
      <c r="N407" s="28"/>
      <c r="O407" s="28"/>
      <c r="P407" s="28"/>
      <c r="AF407" s="7"/>
      <c r="AG407" s="7"/>
      <c r="AH407" s="7"/>
      <c r="AI407" s="7"/>
      <c r="AJ407" s="7"/>
      <c r="AK407" s="7"/>
      <c r="AL407" s="7"/>
      <c r="AM407" s="7"/>
      <c r="AN407" s="7"/>
      <c r="AR407" s="92"/>
      <c r="AS407" s="7"/>
      <c r="AT407" s="125"/>
      <c r="AU407" s="125"/>
      <c r="AV407" s="125"/>
      <c r="AW407" s="125"/>
      <c r="AX407" s="125"/>
      <c r="AY407" s="125"/>
      <c r="AZ407" s="7"/>
    </row>
    <row r="408" spans="1:52" s="18" customFormat="1">
      <c r="A408" s="88" t="s">
        <v>69</v>
      </c>
      <c r="B408" s="88"/>
      <c r="C408" s="36">
        <f>Stufengrün!AI55</f>
        <v>2.9955432767914274E-2</v>
      </c>
      <c r="D408" s="26">
        <f>Stufengrün!AK55</f>
        <v>1.4616059968409472</v>
      </c>
      <c r="E408" s="28"/>
      <c r="F408" s="28"/>
      <c r="G408" s="28"/>
      <c r="H408" s="78">
        <f>H397</f>
        <v>0.83783361839513948</v>
      </c>
      <c r="I408" s="78">
        <f>I397</f>
        <v>0.9300191867885399</v>
      </c>
      <c r="J408" s="78">
        <f>J397</f>
        <v>-0.80093464820889904</v>
      </c>
      <c r="K408" s="78">
        <f>K397</f>
        <v>1.2861975185410455</v>
      </c>
      <c r="L408" s="28"/>
      <c r="M408" s="28"/>
      <c r="N408" s="28"/>
      <c r="O408" s="28"/>
      <c r="P408" s="28"/>
      <c r="AF408" s="7"/>
      <c r="AG408" s="7"/>
      <c r="AH408" s="7"/>
      <c r="AI408" s="7"/>
      <c r="AJ408" s="7"/>
      <c r="AK408" s="7"/>
      <c r="AL408" s="7"/>
      <c r="AM408" s="7"/>
      <c r="AN408" s="7"/>
      <c r="AR408" s="92"/>
      <c r="AS408" s="7"/>
      <c r="AT408" s="125"/>
      <c r="AU408" s="125"/>
      <c r="AV408" s="125"/>
      <c r="AW408" s="125"/>
      <c r="AX408" s="125"/>
      <c r="AY408" s="125"/>
      <c r="AZ408" s="7"/>
    </row>
    <row r="409" spans="1:52" s="18" customFormat="1">
      <c r="A409" s="95"/>
      <c r="B409" s="95"/>
      <c r="C409" s="28"/>
      <c r="D409" s="28"/>
      <c r="E409" s="28"/>
      <c r="F409" s="28"/>
      <c r="G409" s="28"/>
      <c r="H409" s="37" t="s">
        <v>8</v>
      </c>
      <c r="I409" s="37" t="s">
        <v>8</v>
      </c>
      <c r="J409" s="37" t="s">
        <v>9</v>
      </c>
      <c r="K409" s="37" t="s">
        <v>9</v>
      </c>
      <c r="L409" s="28"/>
      <c r="M409" s="28"/>
      <c r="N409" s="28"/>
      <c r="O409" s="28"/>
      <c r="P409" s="28"/>
      <c r="AF409" s="7"/>
      <c r="AG409" s="7"/>
      <c r="AH409" s="7"/>
      <c r="AI409" s="7"/>
      <c r="AJ409" s="7"/>
      <c r="AK409" s="7"/>
      <c r="AL409" s="7"/>
      <c r="AM409" s="7"/>
      <c r="AN409" s="7"/>
      <c r="AR409" s="92"/>
      <c r="AS409" s="7"/>
      <c r="AT409" s="125"/>
      <c r="AU409" s="125"/>
      <c r="AV409" s="125"/>
      <c r="AW409" s="125"/>
      <c r="AX409" s="125"/>
      <c r="AY409" s="125"/>
      <c r="AZ409" s="7"/>
    </row>
    <row r="410" spans="1:52" s="18" customFormat="1">
      <c r="A410" s="88" t="s">
        <v>68</v>
      </c>
      <c r="B410" s="88"/>
      <c r="C410" s="115" t="s">
        <v>15</v>
      </c>
      <c r="D410" s="115" t="s">
        <v>55</v>
      </c>
      <c r="E410" s="115" t="s">
        <v>12</v>
      </c>
      <c r="F410" s="115" t="s">
        <v>10</v>
      </c>
      <c r="G410" s="115" t="s">
        <v>14</v>
      </c>
      <c r="H410" s="115" t="s">
        <v>21</v>
      </c>
      <c r="I410" s="115" t="s">
        <v>16</v>
      </c>
      <c r="J410" s="115" t="s">
        <v>17</v>
      </c>
      <c r="K410" s="115" t="s">
        <v>23</v>
      </c>
      <c r="L410" s="28"/>
      <c r="M410" s="28"/>
      <c r="N410" s="28"/>
      <c r="O410" s="28"/>
      <c r="P410" s="28"/>
      <c r="AF410" s="7"/>
      <c r="AG410" s="7"/>
      <c r="AH410" s="7"/>
      <c r="AI410" s="7"/>
      <c r="AJ410" s="7"/>
      <c r="AK410" s="7"/>
      <c r="AL410" s="7"/>
      <c r="AM410" s="7"/>
      <c r="AN410" s="7"/>
      <c r="AR410" s="92"/>
      <c r="AS410" s="7"/>
      <c r="AT410" s="125"/>
      <c r="AU410" s="125"/>
      <c r="AV410" s="125"/>
      <c r="AW410" s="125"/>
      <c r="AX410" s="125"/>
      <c r="AY410" s="125"/>
      <c r="AZ410" s="7"/>
    </row>
    <row r="411" spans="1:52" s="18" customFormat="1">
      <c r="A411" s="28"/>
      <c r="B411" s="28"/>
      <c r="C411" s="23">
        <f>Mü/TAN($C408)</f>
        <v>2.3361058288598184</v>
      </c>
      <c r="D411" s="42">
        <f>SQRT($J408*$J408+$K408*$K408)</f>
        <v>1.5151898783329618</v>
      </c>
      <c r="E411" s="20">
        <f>ATAN($J408/$K408)+PI()</f>
        <v>2.584638082129918</v>
      </c>
      <c r="F411" s="23">
        <f>($E411-A424-0.0001)/5</f>
        <v>1.2737002980158915E-2</v>
      </c>
      <c r="G411" s="23">
        <f>COS($E411)</f>
        <v>-0.84886886913219217</v>
      </c>
      <c r="H411" s="23">
        <f>SIN($E411)</f>
        <v>0.52860348373637611</v>
      </c>
      <c r="I411" s="23">
        <f>$C411+$G411</f>
        <v>1.4872369597276263</v>
      </c>
      <c r="J411" s="23">
        <f>POWER(TAN($E411/2),$C411)</f>
        <v>18.634532039597737</v>
      </c>
      <c r="K411" s="23">
        <f>-$D411*$D411*SIN($E411)*SIN($E411)/(2*9.81*SIN($C408)*POWER(TAN($E411/2),2*$C411))</f>
        <v>-3.1437465984166801E-3</v>
      </c>
      <c r="L411" s="28"/>
      <c r="M411" s="28"/>
      <c r="N411" s="28"/>
      <c r="O411" s="28"/>
      <c r="P411" s="28"/>
      <c r="AF411" s="7"/>
      <c r="AG411" s="7"/>
      <c r="AH411" s="7"/>
      <c r="AI411" s="7"/>
      <c r="AJ411" s="7"/>
      <c r="AK411" s="7"/>
      <c r="AL411" s="7"/>
      <c r="AM411" s="7"/>
      <c r="AN411" s="7"/>
      <c r="AR411" s="92"/>
      <c r="AS411" s="7"/>
      <c r="AT411" s="125"/>
      <c r="AU411" s="125"/>
      <c r="AV411" s="125"/>
      <c r="AW411" s="125"/>
      <c r="AX411" s="125"/>
      <c r="AY411" s="125"/>
      <c r="AZ411" s="7"/>
    </row>
    <row r="412" spans="1:52" s="18" customFormat="1">
      <c r="A412" s="88" t="s">
        <v>70</v>
      </c>
      <c r="B412" s="8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45"/>
      <c r="N412" s="28"/>
      <c r="O412" s="28"/>
      <c r="P412" s="28"/>
      <c r="AF412" s="7"/>
      <c r="AG412" s="7"/>
      <c r="AH412" s="7"/>
      <c r="AI412" s="7"/>
      <c r="AJ412" s="7"/>
      <c r="AK412" s="7"/>
      <c r="AL412" s="7"/>
      <c r="AM412" s="7"/>
      <c r="AN412" s="7"/>
      <c r="AR412" s="92"/>
      <c r="AS412" s="7"/>
      <c r="AT412" s="125"/>
      <c r="AU412" s="125"/>
      <c r="AV412" s="125"/>
      <c r="AW412" s="125"/>
      <c r="AX412" s="125"/>
      <c r="AY412" s="125"/>
      <c r="AZ412" s="7"/>
    </row>
    <row r="413" spans="1:52" s="18" customFormat="1">
      <c r="A413" s="115" t="s">
        <v>11</v>
      </c>
      <c r="B413" s="115" t="s">
        <v>13</v>
      </c>
      <c r="C413" s="117" t="s">
        <v>22</v>
      </c>
      <c r="D413" s="117" t="s">
        <v>18</v>
      </c>
      <c r="E413" s="115" t="s">
        <v>19</v>
      </c>
      <c r="F413" s="117" t="s">
        <v>20</v>
      </c>
      <c r="G413" s="117" t="s">
        <v>2</v>
      </c>
      <c r="H413" s="117" t="s">
        <v>65</v>
      </c>
      <c r="I413" s="117" t="s">
        <v>66</v>
      </c>
      <c r="J413" s="118" t="s">
        <v>3</v>
      </c>
      <c r="K413" s="118" t="s">
        <v>4</v>
      </c>
      <c r="L413" s="116" t="s">
        <v>7</v>
      </c>
      <c r="M413" s="93"/>
      <c r="N413" s="117" t="s">
        <v>61</v>
      </c>
      <c r="O413" s="117" t="s">
        <v>62</v>
      </c>
      <c r="P413" s="115" t="s">
        <v>63</v>
      </c>
      <c r="AF413" s="7"/>
      <c r="AG413" s="7"/>
      <c r="AH413" s="7"/>
      <c r="AI413" s="7"/>
      <c r="AJ413" s="7"/>
      <c r="AK413" s="7"/>
      <c r="AL413" s="7"/>
      <c r="AM413" s="7"/>
      <c r="AN413" s="7"/>
      <c r="AR413" s="92"/>
      <c r="AS413" s="7"/>
      <c r="AT413" s="125"/>
      <c r="AU413" s="125"/>
      <c r="AV413" s="125"/>
      <c r="AW413" s="125"/>
      <c r="AX413" s="125"/>
      <c r="AY413" s="125"/>
      <c r="AZ413" s="7"/>
    </row>
    <row r="414" spans="1:52" s="18" customFormat="1">
      <c r="A414" s="19">
        <f>$E411</f>
        <v>2.584638082129918</v>
      </c>
      <c r="B414" s="26">
        <f>COS(A414)</f>
        <v>-0.84886886913219217</v>
      </c>
      <c r="C414" s="26">
        <f>($C$411+B414)</f>
        <v>1.4872369597276263</v>
      </c>
      <c r="D414" s="26">
        <f>POWER(TAN(A414/2),$C$411)</f>
        <v>18.634532039597737</v>
      </c>
      <c r="E414" s="26">
        <f>SIN(A414)</f>
        <v>0.52860348373637611</v>
      </c>
      <c r="F414" s="77">
        <f>(C414*$H$411*D414/E414/$I$411/$J$411)</f>
        <v>1</v>
      </c>
      <c r="G414" s="77">
        <f>$D$411*($C$411+$G$411)/9.81/SIN($C$408)/(1-$C$411*$C$408)*(F414-1)</f>
        <v>0</v>
      </c>
      <c r="H414" s="75">
        <f>-(-$H$408+$K$411*((POWER(TAN(A414/2),2*$C$411-1)/(2*$C$411-1))+(POWER(TAN(A414/2),2*$C$411+1)/(2*$C$411+1))-(POWER(TAN($E$411/2),2*$C$411-1)/(2*$C$411-1))-(POWER(TAN($E$411/2),2*$C$411+1)/(2*$C$411+1))))</f>
        <v>0.83783361839513948</v>
      </c>
      <c r="I414" s="75">
        <f>-(-$I$408+0.5*$K$411*((POWER(TAN(A414/2),2*$C$411-2)/(2*$C$411-2))-(POWER(TAN(A414/2),2*$C$411+2)/(2*$C$411+2))-(POWER(TAN($E$411/2),2*$C$411-2)/(2*$C$411-2))+(POWER(TAN($E$411/2),2*$C$411+2)/(2*$C$411+2))))</f>
        <v>0.9300191867885399</v>
      </c>
      <c r="J414" s="77">
        <f>-$D$411*SIN(A414)*($C$411+$G$411)/($C$411+B414)*F414</f>
        <v>-0.80093464820889948</v>
      </c>
      <c r="K414" s="77">
        <f>-$D$411*COS(A414)*($C$411+$G$411)/($C$411+B414)*F414</f>
        <v>1.2861975185410452</v>
      </c>
      <c r="L414" s="91">
        <f>SQRT(J414*J414+K414*K414)</f>
        <v>1.515189878332962</v>
      </c>
      <c r="M414" s="93"/>
      <c r="N414" s="75">
        <f>-(-$I$408+0.5*$K$411*((POWER(TAN(A414/2),2*$C$411-2)/(2*$C$411-2))-(POWER(TAN(A414/2),2*$C$411+2)/(2*$C$411+2))-(POWER(TAN($E$411/2),2*$C$411-2)/(2*$C$411-2))+(POWER(TAN($E$411/2),2*$C$411+2)/(2*$C$411+2))))-$D$408</f>
        <v>-0.53158681005240727</v>
      </c>
      <c r="O414" s="75">
        <f>-(-$I$408+0.5*$K$411*((POWER(TAN((A414+$M$9)/2),2*$C$411-2)/(2*$C$411-2))-(POWER(TAN((A414+$M$9)/2),2*$C$411+2)/(2*$C$411+2))-(POWER(TAN($E$411/2),2*$C$411-2)/(2*$C$411-2))+(POWER(TAN($E$411/2),2*$C$411+2)/(2*$C$411+2))))-$D$408</f>
        <v>-0.57004927106904368</v>
      </c>
      <c r="P414" s="75">
        <f>A414-N414/(O414-N414)*$M$9</f>
        <v>2.5431753054899251</v>
      </c>
      <c r="AF414" s="7"/>
      <c r="AG414" s="7"/>
      <c r="AH414" s="7"/>
      <c r="AI414" s="7"/>
      <c r="AJ414" s="7"/>
      <c r="AK414" s="7"/>
      <c r="AL414" s="7"/>
      <c r="AM414" s="7"/>
      <c r="AN414" s="7"/>
      <c r="AR414" s="92"/>
      <c r="AS414" s="7"/>
      <c r="AT414" s="125"/>
      <c r="AU414" s="125"/>
      <c r="AV414" s="125"/>
      <c r="AW414" s="125"/>
      <c r="AX414" s="125"/>
      <c r="AY414" s="125"/>
      <c r="AZ414" s="7"/>
    </row>
    <row r="415" spans="1:52" s="18" customFormat="1">
      <c r="A415" s="19">
        <f>P414</f>
        <v>2.5431753054899251</v>
      </c>
      <c r="B415" s="26">
        <f t="shared" ref="B415:B424" si="409">COS(A415)</f>
        <v>-0.82622821337527341</v>
      </c>
      <c r="C415" s="26">
        <f t="shared" ref="C415:C424" si="410">($C$411+B415)</f>
        <v>1.509877615484545</v>
      </c>
      <c r="D415" s="26">
        <f t="shared" ref="D415:D424" si="411">POWER(TAN(A415/2),$C$411)</f>
        <v>15.60466928679315</v>
      </c>
      <c r="E415" s="26">
        <f t="shared" ref="E415:E424" si="412">SIN(A415)</f>
        <v>0.56333554780672568</v>
      </c>
      <c r="F415" s="77">
        <f t="shared" ref="F415:F424" si="413">(C415*$H$411*D415/E415/$I$411/$J$411)</f>
        <v>0.79773843862616078</v>
      </c>
      <c r="G415" s="77">
        <f t="shared" ref="G415:G424" si="414">$D$411*($C$411+$G$411)/9.81/SIN($C$408)/(1-$C$411*$C$408)*(F415-1)</f>
        <v>-1.6679698886722498</v>
      </c>
      <c r="H415" s="75">
        <f t="shared" ref="H415:H424" si="415">-(-$H$408+$K$411*((POWER(TAN(A415/2),2*$C$411-1)/(2*$C$411-1))+(POWER(TAN(A415/2),2*$C$411+1)/(2*$C$411+1))-(POWER(TAN($E$411/2),2*$C$411-1)/(2*$C$411-1))-(POWER(TAN($E$411/2),2*$C$411+1)/(2*$C$411+1))))</f>
        <v>0.58151542831719039</v>
      </c>
      <c r="I415" s="75">
        <f t="shared" ref="I415:I424" si="416">-(-$I$408+0.5*$K$411*((POWER(TAN(A415/2),2*$C$411-2)/(2*$C$411-2))-(POWER(TAN(A415/2),2*$C$411+2)/(2*$C$411+2))-(POWER(TAN($E$411/2),2*$C$411-2)/(2*$C$411-2))+(POWER(TAN($E$411/2),2*$C$411+2)/(2*$C$411+2))))</f>
        <v>1.3248455083890482</v>
      </c>
      <c r="J415" s="77">
        <f t="shared" ref="J415:J424" si="417">-$D$411*SIN(A415)*($C$411+$G$411)/($C$411+B415)*F415</f>
        <v>-0.6707074950460461</v>
      </c>
      <c r="K415" s="77">
        <f t="shared" ref="K415:K424" si="418">-$D$411*COS(A415)*($C$411+$G$411)/($C$411+B415)*F415</f>
        <v>0.98370759219232728</v>
      </c>
      <c r="L415" s="91">
        <f t="shared" ref="L415:L424" si="419">SQRT(J415*J415+K415*K415)</f>
        <v>1.1906003405205996</v>
      </c>
      <c r="M415" s="93"/>
      <c r="N415" s="75">
        <f t="shared" ref="N415:N424" si="420">-(-$I$408+0.5*$K$411*((POWER(TAN(A415/2),2*$C$411-2)/(2*$C$411-2))-(POWER(TAN(A415/2),2*$C$411+2)/(2*$C$411+2))-(POWER(TAN($E$411/2),2*$C$411-2)/(2*$C$411-2))+(POWER(TAN($E$411/2),2*$C$411+2)/(2*$C$411+2))))-$D$408</f>
        <v>-0.13676048845189892</v>
      </c>
      <c r="O415" s="75">
        <f t="shared" ref="O415:O424" si="421">-(-$I$408+0.5*$K$411*((POWER(TAN((A415+$M$9)/2),2*$C$411-2)/(2*$C$411-2))-(POWER(TAN((A415+$M$9)/2),2*$C$411+2)/(2*$C$411+2))-(POWER(TAN($E$411/2),2*$C$411-2)/(2*$C$411-2))+(POWER(TAN($E$411/2),2*$C$411+2)/(2*$C$411+2))))-$D$408</f>
        <v>-0.15842068385288677</v>
      </c>
      <c r="P415" s="75">
        <f t="shared" ref="P415:P424" si="422">A415-N415/(O415-N415)*$M$9</f>
        <v>2.5242335804611202</v>
      </c>
      <c r="AF415" s="7"/>
      <c r="AG415" s="7"/>
      <c r="AH415" s="7"/>
      <c r="AI415" s="7"/>
      <c r="AJ415" s="7"/>
      <c r="AK415" s="7"/>
      <c r="AL415" s="7"/>
      <c r="AM415" s="7"/>
      <c r="AN415" s="7"/>
      <c r="AR415" s="92"/>
      <c r="AS415" s="7"/>
      <c r="AT415" s="125"/>
      <c r="AU415" s="125"/>
      <c r="AV415" s="125"/>
      <c r="AW415" s="125"/>
      <c r="AX415" s="125"/>
      <c r="AY415" s="125"/>
      <c r="AZ415" s="7"/>
    </row>
    <row r="416" spans="1:52" s="18" customFormat="1">
      <c r="A416" s="19">
        <f t="shared" ref="A416:A424" si="423">P415</f>
        <v>2.5242335804611202</v>
      </c>
      <c r="B416" s="26">
        <f t="shared" si="409"/>
        <v>-0.8154100880536318</v>
      </c>
      <c r="C416" s="26">
        <f t="shared" si="410"/>
        <v>1.5206957408061865</v>
      </c>
      <c r="D416" s="26">
        <f t="shared" si="411"/>
        <v>14.441228269357614</v>
      </c>
      <c r="E416" s="26">
        <f t="shared" si="412"/>
        <v>0.57888374333744119</v>
      </c>
      <c r="F416" s="77">
        <f t="shared" si="413"/>
        <v>0.72357985821695603</v>
      </c>
      <c r="G416" s="77">
        <f t="shared" si="414"/>
        <v>-2.2795259266512593</v>
      </c>
      <c r="H416" s="75">
        <f t="shared" si="415"/>
        <v>0.49910951607165871</v>
      </c>
      <c r="I416" s="75">
        <f t="shared" si="416"/>
        <v>1.4433765740995117</v>
      </c>
      <c r="J416" s="77">
        <f t="shared" si="417"/>
        <v>-0.62070139776217526</v>
      </c>
      <c r="K416" s="77">
        <f t="shared" si="418"/>
        <v>0.87431403494991244</v>
      </c>
      <c r="L416" s="91">
        <f t="shared" si="419"/>
        <v>1.0722384328563843</v>
      </c>
      <c r="M416" s="93"/>
      <c r="N416" s="75">
        <f t="shared" si="420"/>
        <v>-1.8229422741435464E-2</v>
      </c>
      <c r="O416" s="75">
        <f t="shared" si="421"/>
        <v>-3.5091931377719598E-2</v>
      </c>
      <c r="P416" s="75">
        <f t="shared" si="422"/>
        <v>2.5209903934950582</v>
      </c>
      <c r="AF416" s="7"/>
      <c r="AG416" s="7"/>
      <c r="AH416" s="7"/>
      <c r="AI416" s="7"/>
      <c r="AJ416" s="7"/>
      <c r="AK416" s="7"/>
      <c r="AL416" s="7"/>
      <c r="AM416" s="7"/>
      <c r="AN416" s="7"/>
      <c r="AR416" s="92"/>
      <c r="AS416" s="7"/>
      <c r="AT416" s="125"/>
      <c r="AU416" s="125"/>
      <c r="AV416" s="125"/>
      <c r="AW416" s="125"/>
      <c r="AX416" s="125"/>
      <c r="AY416" s="125"/>
      <c r="AZ416" s="7"/>
    </row>
    <row r="417" spans="1:52" s="18" customFormat="1">
      <c r="A417" s="19">
        <f t="shared" si="423"/>
        <v>2.5209903934950582</v>
      </c>
      <c r="B417" s="26">
        <f t="shared" si="409"/>
        <v>-0.81352837478899698</v>
      </c>
      <c r="C417" s="26">
        <f t="shared" si="410"/>
        <v>1.5225774540708215</v>
      </c>
      <c r="D417" s="26">
        <f t="shared" si="411"/>
        <v>14.253877512447025</v>
      </c>
      <c r="E417" s="26">
        <f t="shared" si="412"/>
        <v>0.58152522164835918</v>
      </c>
      <c r="F417" s="77">
        <f t="shared" si="413"/>
        <v>0.7118282536754883</v>
      </c>
      <c r="G417" s="77">
        <f t="shared" si="414"/>
        <v>-2.3764366910377914</v>
      </c>
      <c r="H417" s="75">
        <f t="shared" si="415"/>
        <v>0.48664019968627104</v>
      </c>
      <c r="I417" s="75">
        <f t="shared" si="416"/>
        <v>1.4608809296520198</v>
      </c>
      <c r="J417" s="77">
        <f t="shared" si="417"/>
        <v>-0.61264883640678458</v>
      </c>
      <c r="K417" s="77">
        <f t="shared" si="418"/>
        <v>0.85706895186011722</v>
      </c>
      <c r="L417" s="91">
        <f t="shared" si="419"/>
        <v>1.0535206618729349</v>
      </c>
      <c r="M417" s="93"/>
      <c r="N417" s="75">
        <f t="shared" si="420"/>
        <v>-7.2506718892739741E-4</v>
      </c>
      <c r="O417" s="75">
        <f t="shared" si="421"/>
        <v>-1.6891159602435479E-2</v>
      </c>
      <c r="P417" s="75">
        <f t="shared" si="422"/>
        <v>2.5208558401650918</v>
      </c>
      <c r="AF417" s="7"/>
      <c r="AG417" s="7"/>
      <c r="AH417" s="7"/>
      <c r="AI417" s="7"/>
      <c r="AJ417" s="7"/>
      <c r="AK417" s="7"/>
      <c r="AL417" s="7"/>
      <c r="AM417" s="7"/>
      <c r="AN417" s="7"/>
      <c r="AR417" s="92"/>
      <c r="AS417" s="7"/>
      <c r="AT417" s="125"/>
      <c r="AU417" s="125"/>
      <c r="AV417" s="125"/>
      <c r="AW417" s="125"/>
      <c r="AX417" s="125"/>
      <c r="AY417" s="125"/>
      <c r="AZ417" s="7"/>
    </row>
    <row r="418" spans="1:52" s="18" customFormat="1">
      <c r="A418" s="19">
        <f t="shared" si="423"/>
        <v>2.5208558401650918</v>
      </c>
      <c r="B418" s="26">
        <f t="shared" si="409"/>
        <v>-0.81345012126989857</v>
      </c>
      <c r="C418" s="26">
        <f t="shared" si="410"/>
        <v>1.5226557075899199</v>
      </c>
      <c r="D418" s="26">
        <f t="shared" si="411"/>
        <v>14.24617569532171</v>
      </c>
      <c r="E418" s="26">
        <f t="shared" si="412"/>
        <v>0.58163467933573842</v>
      </c>
      <c r="F418" s="77">
        <f t="shared" si="413"/>
        <v>0.71134630220826289</v>
      </c>
      <c r="G418" s="77">
        <f t="shared" si="414"/>
        <v>-2.3804111512845783</v>
      </c>
      <c r="H418" s="75">
        <f t="shared" si="415"/>
        <v>0.48613229236183886</v>
      </c>
      <c r="I418" s="75">
        <f t="shared" si="416"/>
        <v>1.4615913687983237</v>
      </c>
      <c r="J418" s="77">
        <f t="shared" si="417"/>
        <v>-0.6123178030233476</v>
      </c>
      <c r="K418" s="77">
        <f t="shared" si="418"/>
        <v>0.85636226452987385</v>
      </c>
      <c r="L418" s="91">
        <f t="shared" si="419"/>
        <v>1.0527532569458393</v>
      </c>
      <c r="M418" s="93"/>
      <c r="N418" s="75">
        <f t="shared" si="420"/>
        <v>-1.4628042623421322E-5</v>
      </c>
      <c r="O418" s="75">
        <f t="shared" si="421"/>
        <v>-1.6152526135225775E-2</v>
      </c>
      <c r="P418" s="75">
        <f t="shared" si="422"/>
        <v>2.5208531208439249</v>
      </c>
      <c r="AF418" s="7"/>
      <c r="AG418" s="7"/>
      <c r="AH418" s="7"/>
      <c r="AI418" s="7"/>
      <c r="AJ418" s="7"/>
      <c r="AK418" s="7"/>
      <c r="AL418" s="7"/>
      <c r="AM418" s="7"/>
      <c r="AN418" s="7"/>
      <c r="AR418" s="92"/>
      <c r="AS418" s="7"/>
      <c r="AT418" s="125"/>
      <c r="AU418" s="125"/>
      <c r="AV418" s="125"/>
      <c r="AW418" s="125"/>
      <c r="AX418" s="125"/>
      <c r="AY418" s="125"/>
      <c r="AZ418" s="7"/>
    </row>
    <row r="419" spans="1:52" s="18" customFormat="1">
      <c r="A419" s="19">
        <f t="shared" si="423"/>
        <v>2.5208531208439249</v>
      </c>
      <c r="B419" s="26">
        <f t="shared" si="409"/>
        <v>-0.81344853961539598</v>
      </c>
      <c r="C419" s="26">
        <f t="shared" si="410"/>
        <v>1.5226572892444223</v>
      </c>
      <c r="D419" s="26">
        <f t="shared" si="411"/>
        <v>14.246020099538923</v>
      </c>
      <c r="E419" s="26">
        <f t="shared" si="412"/>
        <v>0.58163689136572094</v>
      </c>
      <c r="F419" s="77">
        <f t="shared" si="413"/>
        <v>0.71133656652966892</v>
      </c>
      <c r="G419" s="77">
        <f t="shared" si="414"/>
        <v>-2.3804914375170698</v>
      </c>
      <c r="H419" s="75">
        <f t="shared" si="415"/>
        <v>0.48612203518973335</v>
      </c>
      <c r="I419" s="75">
        <f t="shared" si="416"/>
        <v>1.4616057140122733</v>
      </c>
      <c r="J419" s="77">
        <f t="shared" si="417"/>
        <v>-0.61231111532905602</v>
      </c>
      <c r="K419" s="77">
        <f t="shared" si="418"/>
        <v>0.85634798952515301</v>
      </c>
      <c r="L419" s="91">
        <f t="shared" si="419"/>
        <v>1.0527377551504857</v>
      </c>
      <c r="M419" s="93"/>
      <c r="N419" s="75">
        <f t="shared" si="420"/>
        <v>-2.828286738143504E-7</v>
      </c>
      <c r="O419" s="75">
        <f t="shared" si="421"/>
        <v>-1.6137611677914609E-2</v>
      </c>
      <c r="P419" s="75">
        <f t="shared" si="422"/>
        <v>2.5208530682648376</v>
      </c>
      <c r="AF419" s="7"/>
      <c r="AG419" s="7"/>
      <c r="AH419" s="7"/>
      <c r="AI419" s="7"/>
      <c r="AJ419" s="7"/>
      <c r="AK419" s="7"/>
      <c r="AL419" s="7"/>
      <c r="AM419" s="7"/>
      <c r="AN419" s="7"/>
      <c r="AR419" s="92"/>
      <c r="AS419" s="7"/>
      <c r="AT419" s="125"/>
      <c r="AU419" s="125"/>
      <c r="AV419" s="125"/>
      <c r="AW419" s="125"/>
      <c r="AX419" s="125"/>
      <c r="AY419" s="125"/>
      <c r="AZ419" s="7"/>
    </row>
    <row r="420" spans="1:52" s="18" customFormat="1">
      <c r="A420" s="19">
        <f t="shared" si="423"/>
        <v>2.5208530682648376</v>
      </c>
      <c r="B420" s="26">
        <f t="shared" si="409"/>
        <v>-0.813448509033458</v>
      </c>
      <c r="C420" s="26">
        <f t="shared" si="410"/>
        <v>1.5226573198263604</v>
      </c>
      <c r="D420" s="26">
        <f t="shared" si="411"/>
        <v>14.246017091059102</v>
      </c>
      <c r="E420" s="26">
        <f t="shared" si="412"/>
        <v>0.58163693413610196</v>
      </c>
      <c r="F420" s="77">
        <f t="shared" si="413"/>
        <v>0.71133637828847562</v>
      </c>
      <c r="G420" s="77">
        <f t="shared" si="414"/>
        <v>-2.3804929898666121</v>
      </c>
      <c r="H420" s="75">
        <f t="shared" si="415"/>
        <v>0.48612183686646832</v>
      </c>
      <c r="I420" s="75">
        <f t="shared" si="416"/>
        <v>1.4616059913773509</v>
      </c>
      <c r="J420" s="77">
        <f t="shared" si="417"/>
        <v>-0.6123109860209669</v>
      </c>
      <c r="K420" s="77">
        <f t="shared" si="418"/>
        <v>0.85634771351540684</v>
      </c>
      <c r="L420" s="91">
        <f t="shared" si="419"/>
        <v>1.0527374554204074</v>
      </c>
      <c r="M420" s="93"/>
      <c r="N420" s="75">
        <f t="shared" si="420"/>
        <v>-5.4635962420945816E-9</v>
      </c>
      <c r="O420" s="75">
        <f t="shared" si="421"/>
        <v>-1.6137323306524731E-2</v>
      </c>
      <c r="P420" s="75">
        <f t="shared" si="422"/>
        <v>2.5208530672491305</v>
      </c>
      <c r="AF420" s="7"/>
      <c r="AG420" s="7"/>
      <c r="AH420" s="7"/>
      <c r="AI420" s="7"/>
      <c r="AJ420" s="7"/>
      <c r="AK420" s="7"/>
      <c r="AL420" s="7"/>
      <c r="AM420" s="7"/>
      <c r="AN420" s="7"/>
      <c r="AR420" s="92"/>
      <c r="AS420" s="7"/>
      <c r="AT420" s="125"/>
      <c r="AU420" s="125"/>
      <c r="AV420" s="125"/>
      <c r="AW420" s="125"/>
      <c r="AX420" s="125"/>
      <c r="AY420" s="125"/>
      <c r="AZ420" s="7"/>
    </row>
    <row r="421" spans="1:52" s="18" customFormat="1">
      <c r="A421" s="19">
        <f t="shared" si="423"/>
        <v>2.5208530672491305</v>
      </c>
      <c r="B421" s="26">
        <f t="shared" si="409"/>
        <v>-0.81344850844268524</v>
      </c>
      <c r="C421" s="26">
        <f t="shared" si="410"/>
        <v>1.5226573204171332</v>
      </c>
      <c r="D421" s="26">
        <f t="shared" si="411"/>
        <v>14.246017032942193</v>
      </c>
      <c r="E421" s="26">
        <f t="shared" si="412"/>
        <v>0.58163693496232738</v>
      </c>
      <c r="F421" s="77">
        <f t="shared" si="413"/>
        <v>0.71133637465208899</v>
      </c>
      <c r="G421" s="77">
        <f t="shared" si="414"/>
        <v>-2.3804930198544327</v>
      </c>
      <c r="H421" s="75">
        <f t="shared" si="415"/>
        <v>0.48612183303531981</v>
      </c>
      <c r="I421" s="75">
        <f t="shared" si="416"/>
        <v>1.4616059967354049</v>
      </c>
      <c r="J421" s="77">
        <f t="shared" si="417"/>
        <v>-0.61231098352303226</v>
      </c>
      <c r="K421" s="77">
        <f t="shared" si="418"/>
        <v>0.85634770818353378</v>
      </c>
      <c r="L421" s="91">
        <f t="shared" si="419"/>
        <v>1.0527374496303121</v>
      </c>
      <c r="M421" s="93"/>
      <c r="N421" s="75">
        <f t="shared" si="420"/>
        <v>-1.0554224161296588E-10</v>
      </c>
      <c r="O421" s="75">
        <f t="shared" si="421"/>
        <v>-1.6137317735854362E-2</v>
      </c>
      <c r="P421" s="75">
        <f t="shared" si="422"/>
        <v>2.5208530672295097</v>
      </c>
      <c r="AF421" s="7"/>
      <c r="AG421" s="7"/>
      <c r="AH421" s="7"/>
      <c r="AI421" s="7"/>
      <c r="AJ421" s="7"/>
      <c r="AK421" s="7"/>
      <c r="AL421" s="7"/>
      <c r="AM421" s="7"/>
      <c r="AN421" s="7"/>
      <c r="AR421" s="92"/>
      <c r="AS421" s="7"/>
      <c r="AT421" s="125"/>
      <c r="AU421" s="125"/>
      <c r="AV421" s="125"/>
      <c r="AW421" s="125"/>
      <c r="AX421" s="125"/>
      <c r="AY421" s="125"/>
      <c r="AZ421" s="7"/>
    </row>
    <row r="422" spans="1:52" s="18" customFormat="1">
      <c r="A422" s="19">
        <f t="shared" si="423"/>
        <v>2.5208530672295097</v>
      </c>
      <c r="B422" s="26">
        <f t="shared" si="409"/>
        <v>-0.81344850843127314</v>
      </c>
      <c r="C422" s="26">
        <f t="shared" si="410"/>
        <v>1.5226573204285452</v>
      </c>
      <c r="D422" s="26">
        <f t="shared" si="411"/>
        <v>14.246017031819536</v>
      </c>
      <c r="E422" s="26">
        <f t="shared" si="412"/>
        <v>0.58163693497828783</v>
      </c>
      <c r="F422" s="77">
        <f t="shared" si="413"/>
        <v>0.71133637458184396</v>
      </c>
      <c r="G422" s="77">
        <f t="shared" si="414"/>
        <v>-2.3804930204337151</v>
      </c>
      <c r="H422" s="75">
        <f t="shared" si="415"/>
        <v>0.48612183296131256</v>
      </c>
      <c r="I422" s="75">
        <f t="shared" si="416"/>
        <v>1.4616059968389075</v>
      </c>
      <c r="J422" s="77">
        <f t="shared" si="417"/>
        <v>-0.61231098347477897</v>
      </c>
      <c r="K422" s="77">
        <f t="shared" si="418"/>
        <v>0.85634770808053662</v>
      </c>
      <c r="L422" s="91">
        <f t="shared" si="419"/>
        <v>1.0527374495184634</v>
      </c>
      <c r="M422" s="93"/>
      <c r="N422" s="75">
        <f t="shared" si="420"/>
        <v>-2.0397017408413376E-12</v>
      </c>
      <c r="O422" s="75">
        <f t="shared" si="421"/>
        <v>-1.6137317628243997E-2</v>
      </c>
      <c r="P422" s="75">
        <f t="shared" si="422"/>
        <v>2.5208530672291305</v>
      </c>
      <c r="AF422" s="7"/>
      <c r="AG422" s="7"/>
      <c r="AH422" s="7"/>
      <c r="AI422" s="7"/>
      <c r="AJ422" s="7"/>
      <c r="AK422" s="7"/>
      <c r="AL422" s="7"/>
      <c r="AM422" s="7"/>
      <c r="AN422" s="7"/>
      <c r="AR422" s="92"/>
      <c r="AS422" s="7"/>
      <c r="AT422" s="125"/>
      <c r="AU422" s="125"/>
      <c r="AV422" s="125"/>
      <c r="AW422" s="125"/>
      <c r="AX422" s="125"/>
      <c r="AY422" s="125"/>
      <c r="AZ422" s="7"/>
    </row>
    <row r="423" spans="1:52" s="18" customFormat="1">
      <c r="A423" s="19">
        <f t="shared" si="423"/>
        <v>2.5208530672291305</v>
      </c>
      <c r="B423" s="26">
        <f t="shared" si="409"/>
        <v>-0.81344850843105254</v>
      </c>
      <c r="C423" s="26">
        <f t="shared" si="410"/>
        <v>1.5226573204287659</v>
      </c>
      <c r="D423" s="26">
        <f t="shared" si="411"/>
        <v>14.246017031797836</v>
      </c>
      <c r="E423" s="26">
        <f t="shared" si="412"/>
        <v>0.58163693497859636</v>
      </c>
      <c r="F423" s="77">
        <f t="shared" si="413"/>
        <v>0.71133637458048615</v>
      </c>
      <c r="G423" s="77">
        <f t="shared" si="414"/>
        <v>-2.3804930204449124</v>
      </c>
      <c r="H423" s="75">
        <f t="shared" si="415"/>
        <v>0.48612183295988165</v>
      </c>
      <c r="I423" s="75">
        <f t="shared" si="416"/>
        <v>1.4616059968409085</v>
      </c>
      <c r="J423" s="77">
        <f t="shared" si="417"/>
        <v>-0.61231098347384627</v>
      </c>
      <c r="K423" s="77">
        <f t="shared" si="418"/>
        <v>0.85634770807854577</v>
      </c>
      <c r="L423" s="91">
        <f t="shared" si="419"/>
        <v>1.0527374495163013</v>
      </c>
      <c r="M423" s="93"/>
      <c r="N423" s="75">
        <f t="shared" si="420"/>
        <v>-3.8635761256955448E-14</v>
      </c>
      <c r="O423" s="75">
        <f t="shared" si="421"/>
        <v>-1.6137317626164105E-2</v>
      </c>
      <c r="P423" s="75">
        <f t="shared" si="422"/>
        <v>2.5208530672291234</v>
      </c>
      <c r="AF423" s="7"/>
      <c r="AG423" s="7"/>
      <c r="AH423" s="7"/>
      <c r="AI423" s="7"/>
      <c r="AJ423" s="7"/>
      <c r="AK423" s="7"/>
      <c r="AL423" s="7"/>
      <c r="AM423" s="7"/>
      <c r="AN423" s="7"/>
      <c r="AR423" s="92"/>
      <c r="AS423" s="7"/>
      <c r="AT423" s="125"/>
      <c r="AU423" s="125"/>
      <c r="AV423" s="125"/>
      <c r="AW423" s="125"/>
      <c r="AX423" s="125"/>
      <c r="AY423" s="125"/>
      <c r="AZ423" s="7"/>
    </row>
    <row r="424" spans="1:52" s="18" customFormat="1">
      <c r="A424" s="19">
        <f t="shared" si="423"/>
        <v>2.5208530672291234</v>
      </c>
      <c r="B424" s="26">
        <f t="shared" si="409"/>
        <v>-0.81344850843104843</v>
      </c>
      <c r="C424" s="26">
        <f t="shared" si="410"/>
        <v>1.5226573204287699</v>
      </c>
      <c r="D424" s="26">
        <f t="shared" si="411"/>
        <v>14.246017031797432</v>
      </c>
      <c r="E424" s="26">
        <f t="shared" si="412"/>
        <v>0.58163693497860214</v>
      </c>
      <c r="F424" s="77">
        <f t="shared" si="413"/>
        <v>0.71133637458046084</v>
      </c>
      <c r="G424" s="77">
        <f t="shared" si="414"/>
        <v>-2.3804930204451211</v>
      </c>
      <c r="H424" s="75">
        <f t="shared" si="415"/>
        <v>0.48612183295985489</v>
      </c>
      <c r="I424" s="75">
        <f t="shared" si="416"/>
        <v>1.4616059968409461</v>
      </c>
      <c r="J424" s="77">
        <f t="shared" si="417"/>
        <v>-0.61231098347382895</v>
      </c>
      <c r="K424" s="77">
        <f t="shared" si="418"/>
        <v>0.85634770807850857</v>
      </c>
      <c r="L424" s="91">
        <f t="shared" si="419"/>
        <v>1.0527374495162611</v>
      </c>
      <c r="M424" s="93"/>
      <c r="N424" s="75">
        <f t="shared" si="420"/>
        <v>0</v>
      </c>
      <c r="O424" s="75">
        <f t="shared" si="421"/>
        <v>-1.6137317626125025E-2</v>
      </c>
      <c r="P424" s="75">
        <f t="shared" si="422"/>
        <v>2.5208530672291234</v>
      </c>
      <c r="AF424" s="7"/>
      <c r="AG424" s="7"/>
      <c r="AH424" s="7"/>
      <c r="AI424" s="7"/>
      <c r="AJ424" s="7"/>
      <c r="AK424" s="7"/>
      <c r="AL424" s="7"/>
      <c r="AM424" s="7"/>
      <c r="AN424" s="7"/>
      <c r="AR424" s="92"/>
      <c r="AS424" s="7"/>
      <c r="AT424" s="125"/>
      <c r="AU424" s="125"/>
      <c r="AV424" s="125"/>
      <c r="AW424" s="125"/>
      <c r="AX424" s="125"/>
      <c r="AY424" s="125"/>
      <c r="AZ424" s="7"/>
    </row>
    <row r="425" spans="1:52" s="18" customFormat="1">
      <c r="A425" s="88" t="s">
        <v>60</v>
      </c>
      <c r="B425" s="8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AF425" s="7"/>
      <c r="AG425" s="7"/>
      <c r="AH425" s="7"/>
      <c r="AI425" s="7"/>
      <c r="AJ425" s="7"/>
      <c r="AK425" s="7"/>
      <c r="AL425" s="7"/>
      <c r="AM425" s="7"/>
      <c r="AN425" s="7"/>
      <c r="AR425" s="92"/>
      <c r="AS425" s="7"/>
      <c r="AT425" s="125"/>
      <c r="AU425" s="125"/>
      <c r="AV425" s="125"/>
      <c r="AW425" s="125"/>
      <c r="AX425" s="125"/>
      <c r="AY425" s="125"/>
      <c r="AZ425" s="7"/>
    </row>
    <row r="426" spans="1:52" s="18" customFormat="1">
      <c r="A426" s="26" t="s">
        <v>11</v>
      </c>
      <c r="B426" s="26" t="s">
        <v>13</v>
      </c>
      <c r="C426" s="26" t="s">
        <v>22</v>
      </c>
      <c r="D426" s="26" t="s">
        <v>18</v>
      </c>
      <c r="E426" s="26" t="s">
        <v>19</v>
      </c>
      <c r="F426" s="26" t="s">
        <v>20</v>
      </c>
      <c r="G426" s="26" t="s">
        <v>2</v>
      </c>
      <c r="H426" s="26" t="s">
        <v>1</v>
      </c>
      <c r="I426" s="26" t="s">
        <v>0</v>
      </c>
      <c r="J426" s="76" t="s">
        <v>3</v>
      </c>
      <c r="K426" s="76" t="s">
        <v>4</v>
      </c>
      <c r="L426" s="44" t="s">
        <v>7</v>
      </c>
      <c r="M426" s="28"/>
      <c r="N426" s="28"/>
      <c r="O426" s="28"/>
      <c r="P426" s="31"/>
      <c r="AF426" s="7"/>
      <c r="AG426" s="7"/>
      <c r="AH426" s="7"/>
      <c r="AI426" s="7"/>
      <c r="AJ426" s="7"/>
      <c r="AK426" s="7"/>
      <c r="AL426" s="7"/>
      <c r="AM426" s="7"/>
      <c r="AN426" s="7"/>
      <c r="AR426" s="92"/>
      <c r="AS426" s="7"/>
      <c r="AT426" s="125"/>
      <c r="AU426" s="125"/>
      <c r="AV426" s="125"/>
      <c r="AW426" s="125"/>
      <c r="AX426" s="125"/>
      <c r="AY426" s="125"/>
      <c r="AZ426" s="7"/>
    </row>
    <row r="427" spans="1:52" s="18" customFormat="1">
      <c r="A427" s="19">
        <f>$E411</f>
        <v>2.584638082129918</v>
      </c>
      <c r="B427" s="26">
        <f t="shared" ref="B427:B432" si="424">COS(A427)</f>
        <v>-0.84886886913219217</v>
      </c>
      <c r="C427" s="26">
        <f t="shared" ref="C427:C432" si="425">($C$411+B427)</f>
        <v>1.4872369597276263</v>
      </c>
      <c r="D427" s="26">
        <f t="shared" ref="D427:D432" si="426">POWER(TAN(A427/2),$C$411)</f>
        <v>18.634532039597737</v>
      </c>
      <c r="E427" s="26">
        <f t="shared" ref="E427:E432" si="427">SIN(A427)</f>
        <v>0.52860348373637611</v>
      </c>
      <c r="F427" s="77">
        <f t="shared" ref="F427:F432" si="428">(C427*$H$411*D427/E427/$I$411/$J$411)</f>
        <v>1</v>
      </c>
      <c r="G427" s="77">
        <f t="shared" ref="G427:G432" si="429">$D$411*($C$411+$G$411)/9.81/SIN($C$408)/(1-$C$411*$C$408)*(F427-1)</f>
        <v>0</v>
      </c>
      <c r="H427" s="100">
        <f t="shared" ref="H427:H432" si="430">-(-$H$408+$K$411*((POWER(TAN(A427/2),2*$C$411-1)/(2*$C$411-1))+(POWER(TAN(A427/2),2*$C$411+1)/(2*$C$411+1))-(POWER(TAN($E$411/2),2*$C$411-1)/(2*$C$411-1))-(POWER(TAN($E$411/2),2*$C$411+1)/(2*$C$411+1))))</f>
        <v>0.83783361839513948</v>
      </c>
      <c r="I427" s="100">
        <f t="shared" ref="I427:I432" si="431">-(-$I$408+0.5*$K$411*((POWER(TAN(A427/2),2*$C$411-2)/(2*$C$411-2))-(POWER(TAN(A427/2),2*$C$411+2)/(2*$C$411+2))-(POWER(TAN($E$411/2),2*$C$411-2)/(2*$C$411-2))+(POWER(TAN($E$411/2),2*$C$411+2)/(2*$C$411+2))))</f>
        <v>0.9300191867885399</v>
      </c>
      <c r="J427" s="77">
        <f t="shared" ref="J427:J432" si="432">-$D$411*SIN(A427)*($C$411+$G$411)/($C$411+B427)*F427</f>
        <v>-0.80093464820889948</v>
      </c>
      <c r="K427" s="77">
        <f t="shared" ref="K427:K432" si="433">-$D$411*COS(A427)*($C$411+$G$411)/($C$411+B427)*F427</f>
        <v>1.2861975185410452</v>
      </c>
      <c r="L427" s="91">
        <f t="shared" ref="L427:L432" si="434">SQRT(J427*J427+K427*K427)</f>
        <v>1.515189878332962</v>
      </c>
      <c r="M427" s="28"/>
      <c r="N427" s="28"/>
      <c r="O427" s="28"/>
      <c r="P427" s="31"/>
      <c r="AF427" s="7"/>
      <c r="AG427" s="7"/>
      <c r="AH427" s="7"/>
      <c r="AI427" s="7"/>
      <c r="AJ427" s="7"/>
      <c r="AK427" s="7"/>
      <c r="AL427" s="7"/>
      <c r="AM427" s="7"/>
      <c r="AN427" s="7"/>
      <c r="AR427" s="92"/>
      <c r="AS427" s="7"/>
      <c r="AT427" s="125"/>
      <c r="AU427" s="125"/>
      <c r="AV427" s="125"/>
      <c r="AW427" s="125"/>
      <c r="AX427" s="125"/>
      <c r="AY427" s="125"/>
      <c r="AZ427" s="7"/>
    </row>
    <row r="428" spans="1:52" s="18" customFormat="1">
      <c r="A428" s="20">
        <f>A427-$F$411</f>
        <v>2.5719010791497592</v>
      </c>
      <c r="B428" s="26">
        <f t="shared" si="424"/>
        <v>-0.84206737143296329</v>
      </c>
      <c r="C428" s="26">
        <f t="shared" si="425"/>
        <v>1.4940384574268553</v>
      </c>
      <c r="D428" s="26">
        <f t="shared" si="426"/>
        <v>17.624554570523934</v>
      </c>
      <c r="E428" s="26">
        <f t="shared" si="427"/>
        <v>0.53937235929177885</v>
      </c>
      <c r="F428" s="77">
        <f t="shared" si="428"/>
        <v>0.93115632997167819</v>
      </c>
      <c r="G428" s="77">
        <f t="shared" si="429"/>
        <v>-0.56772610600335849</v>
      </c>
      <c r="H428" s="100">
        <f t="shared" si="430"/>
        <v>0.7455218600699075</v>
      </c>
      <c r="I428" s="100">
        <f t="shared" si="431"/>
        <v>1.076236343727337</v>
      </c>
      <c r="J428" s="77">
        <f t="shared" si="432"/>
        <v>-0.75752459921101745</v>
      </c>
      <c r="K428" s="77">
        <f t="shared" si="433"/>
        <v>1.1826463426694789</v>
      </c>
      <c r="L428" s="91">
        <f t="shared" si="434"/>
        <v>1.4044557274045013</v>
      </c>
      <c r="M428" s="28"/>
      <c r="N428" s="28"/>
      <c r="O428" s="28"/>
      <c r="P428" s="31"/>
      <c r="AF428" s="7"/>
      <c r="AG428" s="7"/>
      <c r="AH428" s="7"/>
      <c r="AI428" s="7"/>
      <c r="AJ428" s="7"/>
      <c r="AK428" s="7"/>
      <c r="AL428" s="7"/>
      <c r="AM428" s="7"/>
      <c r="AN428" s="7"/>
      <c r="AR428" s="92"/>
      <c r="AS428" s="7"/>
      <c r="AT428" s="125"/>
      <c r="AU428" s="125"/>
      <c r="AV428" s="125"/>
      <c r="AW428" s="125"/>
      <c r="AX428" s="125"/>
      <c r="AY428" s="125"/>
      <c r="AZ428" s="7"/>
    </row>
    <row r="429" spans="1:52" s="18" customFormat="1">
      <c r="A429" s="20">
        <f>A428-$F$411</f>
        <v>2.5591640761696004</v>
      </c>
      <c r="B429" s="26">
        <f t="shared" si="424"/>
        <v>-0.83512926594261594</v>
      </c>
      <c r="C429" s="26">
        <f t="shared" si="425"/>
        <v>1.5009765629172025</v>
      </c>
      <c r="D429" s="26">
        <f t="shared" si="426"/>
        <v>16.687617817437051</v>
      </c>
      <c r="E429" s="26">
        <f t="shared" si="427"/>
        <v>0.55005373298083104</v>
      </c>
      <c r="F429" s="77">
        <f t="shared" si="428"/>
        <v>0.86854935046125337</v>
      </c>
      <c r="G429" s="77">
        <f t="shared" si="429"/>
        <v>-1.0840207293356581</v>
      </c>
      <c r="H429" s="100">
        <f t="shared" si="430"/>
        <v>0.66608076648234216</v>
      </c>
      <c r="I429" s="100">
        <f t="shared" si="431"/>
        <v>1.1985855023002385</v>
      </c>
      <c r="J429" s="77">
        <f t="shared" si="432"/>
        <v>-0.71725392822593426</v>
      </c>
      <c r="K429" s="77">
        <f t="shared" si="433"/>
        <v>1.0889840585713413</v>
      </c>
      <c r="L429" s="91">
        <f t="shared" si="434"/>
        <v>1.3039706581737351</v>
      </c>
      <c r="M429" s="45"/>
      <c r="N429" s="28"/>
      <c r="O429" s="28"/>
      <c r="P429" s="31"/>
      <c r="AF429" s="7"/>
      <c r="AG429" s="7"/>
      <c r="AH429" s="7"/>
      <c r="AI429" s="7"/>
      <c r="AJ429" s="7"/>
      <c r="AK429" s="7"/>
      <c r="AL429" s="7"/>
      <c r="AM429" s="7"/>
      <c r="AN429" s="7"/>
      <c r="AR429" s="92"/>
      <c r="AS429" s="7"/>
      <c r="AT429" s="125"/>
      <c r="AU429" s="125"/>
      <c r="AV429" s="125"/>
      <c r="AW429" s="125"/>
      <c r="AX429" s="125"/>
      <c r="AY429" s="125"/>
      <c r="AZ429" s="7"/>
    </row>
    <row r="430" spans="1:52" s="18" customFormat="1">
      <c r="A430" s="20">
        <f>A429-$F$411</f>
        <v>2.5464270731894416</v>
      </c>
      <c r="B430" s="26">
        <f t="shared" si="424"/>
        <v>-0.82805567822342419</v>
      </c>
      <c r="C430" s="26">
        <f t="shared" si="425"/>
        <v>1.5080501506363944</v>
      </c>
      <c r="D430" s="26">
        <f t="shared" si="426"/>
        <v>15.817031093079084</v>
      </c>
      <c r="E430" s="26">
        <f t="shared" si="427"/>
        <v>0.56064587197440852</v>
      </c>
      <c r="F430" s="77">
        <f t="shared" si="428"/>
        <v>0.81149058276917152</v>
      </c>
      <c r="G430" s="77">
        <f t="shared" si="429"/>
        <v>-1.5545614774080558</v>
      </c>
      <c r="H430" s="100">
        <f t="shared" si="430"/>
        <v>0.59749399923827839</v>
      </c>
      <c r="I430" s="100">
        <f t="shared" si="431"/>
        <v>1.3013275659828702</v>
      </c>
      <c r="J430" s="77">
        <f t="shared" si="432"/>
        <v>-0.67983506145067618</v>
      </c>
      <c r="K430" s="77">
        <f t="shared" si="433"/>
        <v>1.0040942260167023</v>
      </c>
      <c r="L430" s="91">
        <f t="shared" si="434"/>
        <v>1.2125926461502747</v>
      </c>
      <c r="M430" s="45"/>
      <c r="N430" s="28"/>
      <c r="O430" s="28"/>
      <c r="P430" s="31"/>
      <c r="AF430" s="7"/>
      <c r="AG430" s="7"/>
      <c r="AH430" s="7"/>
      <c r="AI430" s="7"/>
      <c r="AJ430" s="7"/>
      <c r="AK430" s="7"/>
      <c r="AL430" s="7"/>
      <c r="AM430" s="7"/>
      <c r="AN430" s="7"/>
      <c r="AR430" s="92"/>
      <c r="AS430" s="7"/>
      <c r="AT430" s="125"/>
      <c r="AU430" s="125"/>
      <c r="AV430" s="125"/>
      <c r="AW430" s="125"/>
      <c r="AX430" s="125"/>
      <c r="AY430" s="125"/>
      <c r="AZ430" s="7"/>
    </row>
    <row r="431" spans="1:52" s="18" customFormat="1">
      <c r="A431" s="20">
        <f>A430-$F$411</f>
        <v>2.5336900702092828</v>
      </c>
      <c r="B431" s="26">
        <f t="shared" si="424"/>
        <v>-0.82084775581681579</v>
      </c>
      <c r="C431" s="26">
        <f t="shared" si="425"/>
        <v>1.5152580730430025</v>
      </c>
      <c r="D431" s="26">
        <f t="shared" si="426"/>
        <v>15.006841727722509</v>
      </c>
      <c r="E431" s="26">
        <f t="shared" si="427"/>
        <v>0.5711470579198471</v>
      </c>
      <c r="F431" s="77">
        <f t="shared" si="428"/>
        <v>0.75938029769376136</v>
      </c>
      <c r="G431" s="77">
        <f t="shared" si="429"/>
        <v>-1.9842940761555765</v>
      </c>
      <c r="H431" s="100">
        <f t="shared" si="430"/>
        <v>0.53809468260445992</v>
      </c>
      <c r="I431" s="100">
        <f t="shared" si="431"/>
        <v>1.3878977925967957</v>
      </c>
      <c r="J431" s="77">
        <f t="shared" si="432"/>
        <v>-0.64501214596529921</v>
      </c>
      <c r="K431" s="77">
        <f t="shared" si="433"/>
        <v>0.92700604012304411</v>
      </c>
      <c r="L431" s="91">
        <f t="shared" si="434"/>
        <v>1.1293276171542814</v>
      </c>
      <c r="M431" s="45"/>
      <c r="N431" s="28"/>
      <c r="O431" s="28"/>
      <c r="P431" s="89"/>
      <c r="AF431" s="7"/>
      <c r="AG431" s="7"/>
      <c r="AH431" s="7"/>
      <c r="AI431" s="7"/>
      <c r="AJ431" s="7"/>
      <c r="AK431" s="7"/>
      <c r="AL431" s="7"/>
      <c r="AM431" s="7"/>
      <c r="AN431" s="7"/>
      <c r="AR431" s="92"/>
      <c r="AS431" s="7"/>
      <c r="AT431" s="125"/>
      <c r="AU431" s="125"/>
      <c r="AV431" s="125"/>
      <c r="AW431" s="125"/>
      <c r="AX431" s="125"/>
      <c r="AY431" s="125"/>
      <c r="AZ431" s="7"/>
    </row>
    <row r="432" spans="1:52" s="18" customFormat="1">
      <c r="A432" s="20">
        <f>A431-$F$411</f>
        <v>2.520953067229124</v>
      </c>
      <c r="B432" s="26">
        <f t="shared" si="424"/>
        <v>-0.81350666805720717</v>
      </c>
      <c r="C432" s="26">
        <f t="shared" si="425"/>
        <v>1.5225991608026113</v>
      </c>
      <c r="D432" s="26">
        <f t="shared" si="426"/>
        <v>14.251740398749231</v>
      </c>
      <c r="E432" s="26">
        <f t="shared" si="427"/>
        <v>0.58155558721970935</v>
      </c>
      <c r="F432" s="77">
        <f t="shared" si="428"/>
        <v>0.71169451184617871</v>
      </c>
      <c r="G432" s="77">
        <f t="shared" si="429"/>
        <v>-2.3775396062067888</v>
      </c>
      <c r="H432" s="100">
        <f t="shared" si="430"/>
        <v>0.48649922757191771</v>
      </c>
      <c r="I432" s="100">
        <f t="shared" si="431"/>
        <v>1.4610781357008662</v>
      </c>
      <c r="J432" s="77">
        <f t="shared" si="432"/>
        <v>-0.61255698068408182</v>
      </c>
      <c r="K432" s="77">
        <f t="shared" si="433"/>
        <v>0.85687284122545526</v>
      </c>
      <c r="L432" s="91">
        <f t="shared" si="434"/>
        <v>1.0533077046212957</v>
      </c>
      <c r="M432" s="45"/>
      <c r="N432" s="28"/>
      <c r="O432" s="28"/>
      <c r="P432" s="28"/>
      <c r="W432"/>
      <c r="X432"/>
      <c r="Y432"/>
      <c r="Z432"/>
      <c r="AA432"/>
      <c r="AB432"/>
      <c r="AC432"/>
      <c r="AD432"/>
      <c r="AE432"/>
      <c r="AF432" s="7"/>
      <c r="AG432" s="7"/>
      <c r="AH432" s="7"/>
      <c r="AI432" s="7"/>
      <c r="AJ432" s="7"/>
      <c r="AK432" s="7"/>
      <c r="AL432" s="7"/>
      <c r="AM432" s="7"/>
      <c r="AN432" s="7"/>
      <c r="AO432"/>
      <c r="AP432"/>
      <c r="AQ432"/>
      <c r="AR432" s="28"/>
      <c r="AS432" s="7"/>
      <c r="AT432" s="123"/>
      <c r="AU432" s="123"/>
      <c r="AV432" s="123"/>
      <c r="AW432" s="123"/>
      <c r="AX432" s="123"/>
      <c r="AY432" s="123"/>
      <c r="AZ432" s="7"/>
    </row>
    <row r="433" spans="1:60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18"/>
      <c r="R433" s="18"/>
      <c r="AI433" s="9"/>
      <c r="AJ433" s="10"/>
      <c r="AK433" s="10"/>
      <c r="AL433" s="10"/>
      <c r="AM433" s="10"/>
      <c r="AN433" s="10"/>
      <c r="AO433" s="10"/>
      <c r="AP433" s="7"/>
      <c r="AQ433" s="7"/>
      <c r="AT433" s="123"/>
      <c r="AU433" s="123"/>
      <c r="AV433" s="123"/>
      <c r="AW433" s="123"/>
      <c r="AX433" s="123"/>
      <c r="AY433" s="123"/>
      <c r="AZ433" s="7"/>
      <c r="BA433" s="7"/>
      <c r="BB433" s="7"/>
      <c r="BC433" s="7"/>
      <c r="BD433" s="7"/>
      <c r="BE433" s="7"/>
      <c r="BF433" s="7"/>
      <c r="BG433" s="7"/>
      <c r="BH433" s="7"/>
    </row>
    <row r="434" spans="1:60">
      <c r="A434" s="88" t="s">
        <v>73</v>
      </c>
      <c r="B434" s="88"/>
      <c r="C434" s="23" t="str">
        <f>CONCATENATE("m",Stufengrün!AH56)</f>
        <v>m8</v>
      </c>
      <c r="D434" s="23" t="s">
        <v>30</v>
      </c>
      <c r="E434" s="28"/>
      <c r="F434" s="28"/>
      <c r="G434" s="28"/>
      <c r="H434" s="36" t="s">
        <v>57</v>
      </c>
      <c r="I434" s="36" t="s">
        <v>51</v>
      </c>
      <c r="J434" s="36" t="s">
        <v>58</v>
      </c>
      <c r="K434" s="36" t="s">
        <v>59</v>
      </c>
      <c r="L434" s="28"/>
      <c r="M434" s="28"/>
      <c r="N434" s="28"/>
      <c r="O434" s="28"/>
      <c r="P434" s="28"/>
      <c r="AI434" s="9"/>
      <c r="AJ434" s="10"/>
      <c r="AK434" s="10"/>
      <c r="AL434" s="10"/>
      <c r="AM434" s="10"/>
      <c r="AN434" s="10"/>
      <c r="AO434" s="10"/>
      <c r="AP434" s="7"/>
      <c r="AQ434" s="7"/>
      <c r="BA434" s="7"/>
      <c r="BB434" s="7"/>
      <c r="BC434" s="7"/>
      <c r="BD434" s="7"/>
      <c r="BE434" s="7"/>
      <c r="BF434" s="7"/>
      <c r="BG434" s="7"/>
      <c r="BH434" s="7"/>
    </row>
    <row r="435" spans="1:60">
      <c r="A435" s="88" t="s">
        <v>69</v>
      </c>
      <c r="B435" s="88"/>
      <c r="C435" s="90">
        <f>Stufengrün!AI56</f>
        <v>1.0323563876231049E-2</v>
      </c>
      <c r="D435" s="26"/>
      <c r="E435" s="28"/>
      <c r="F435" s="28"/>
      <c r="G435" s="28"/>
      <c r="H435" s="78">
        <f>H424</f>
        <v>0.48612183295985489</v>
      </c>
      <c r="I435" s="78">
        <f>I424</f>
        <v>1.4616059968409461</v>
      </c>
      <c r="J435" s="78">
        <f>J424</f>
        <v>-0.61231098347382895</v>
      </c>
      <c r="K435" s="78">
        <f>K424</f>
        <v>0.85634770807850857</v>
      </c>
      <c r="L435" s="28"/>
      <c r="M435" s="28"/>
      <c r="N435" s="28"/>
      <c r="O435" s="28"/>
      <c r="P435" s="28"/>
      <c r="AI435" s="9"/>
      <c r="AJ435" s="10"/>
      <c r="AK435" s="10"/>
      <c r="AL435" s="10"/>
      <c r="AM435" s="10"/>
      <c r="AN435" s="10"/>
      <c r="AO435" s="10"/>
      <c r="AP435" s="7"/>
      <c r="AQ435" s="7"/>
      <c r="BA435" s="7"/>
      <c r="BB435" s="15"/>
      <c r="BC435" s="15"/>
      <c r="BD435" s="15"/>
      <c r="BE435" s="15"/>
      <c r="BF435" s="15"/>
      <c r="BG435" s="15"/>
      <c r="BH435" s="7"/>
    </row>
    <row r="436" spans="1:60">
      <c r="A436" s="95"/>
      <c r="B436" s="95"/>
      <c r="C436" s="28"/>
      <c r="D436" s="28"/>
      <c r="E436" s="28"/>
      <c r="F436" s="28"/>
      <c r="G436" s="28"/>
      <c r="H436" s="37" t="s">
        <v>8</v>
      </c>
      <c r="I436" s="37" t="s">
        <v>8</v>
      </c>
      <c r="J436" s="37" t="s">
        <v>9</v>
      </c>
      <c r="K436" s="37" t="s">
        <v>9</v>
      </c>
      <c r="L436" s="28"/>
      <c r="M436" s="28"/>
      <c r="N436" s="28"/>
      <c r="O436" s="28"/>
      <c r="P436" s="28"/>
      <c r="AI436" s="9"/>
      <c r="AJ436" s="11"/>
      <c r="AK436" s="12"/>
      <c r="AL436" s="12"/>
      <c r="AM436" s="12"/>
      <c r="AN436" s="11"/>
      <c r="AO436" s="10"/>
      <c r="AP436" s="7"/>
      <c r="AQ436" s="7"/>
      <c r="BA436" s="7"/>
      <c r="BB436" s="16"/>
      <c r="BC436" s="16"/>
      <c r="BD436" s="16"/>
      <c r="BE436" s="16"/>
      <c r="BF436" s="16"/>
      <c r="BG436" s="16"/>
      <c r="BH436" s="7"/>
    </row>
    <row r="437" spans="1:60">
      <c r="A437" s="88" t="s">
        <v>68</v>
      </c>
      <c r="B437" s="88"/>
      <c r="C437" s="26" t="s">
        <v>15</v>
      </c>
      <c r="D437" s="26" t="s">
        <v>55</v>
      </c>
      <c r="E437" s="26" t="s">
        <v>12</v>
      </c>
      <c r="F437" s="26" t="s">
        <v>10</v>
      </c>
      <c r="G437" s="26" t="s">
        <v>14</v>
      </c>
      <c r="H437" s="26" t="s">
        <v>21</v>
      </c>
      <c r="I437" s="26" t="s">
        <v>16</v>
      </c>
      <c r="J437" s="26" t="s">
        <v>17</v>
      </c>
      <c r="K437" s="26" t="s">
        <v>23</v>
      </c>
      <c r="L437" s="28"/>
      <c r="M437" s="28"/>
      <c r="N437" s="28"/>
      <c r="O437" s="28"/>
      <c r="P437" s="28"/>
      <c r="AI437" s="9"/>
      <c r="AJ437" s="11"/>
      <c r="AK437" s="12"/>
      <c r="AL437" s="12"/>
      <c r="AM437" s="12"/>
      <c r="AN437" s="11"/>
      <c r="AO437" s="10"/>
      <c r="AP437" s="7"/>
      <c r="AQ437" s="7"/>
    </row>
    <row r="438" spans="1:60">
      <c r="A438" s="28"/>
      <c r="B438" s="28"/>
      <c r="C438" s="23">
        <f>Mü/TAN($C435)</f>
        <v>6.7803632591293521</v>
      </c>
      <c r="D438" s="42">
        <f>SQRT($J435*$J435+$K435*$K435)</f>
        <v>1.0527374495162611</v>
      </c>
      <c r="E438" s="20">
        <f>ATAN($J435/$K435)+PI()</f>
        <v>2.5208530672291234</v>
      </c>
      <c r="F438" s="23">
        <f>($E438-0.0001)/100</f>
        <v>2.5207530672291232E-2</v>
      </c>
      <c r="G438" s="23">
        <f>COS($E438)</f>
        <v>-0.81344850843104843</v>
      </c>
      <c r="H438" s="23">
        <f>SIN($E438)</f>
        <v>0.58163693497860214</v>
      </c>
      <c r="I438" s="23">
        <f>$C438+$G438</f>
        <v>5.9669147506983036</v>
      </c>
      <c r="J438" s="23">
        <f>POWER(TAN($E438/2),$C438)</f>
        <v>2231.0250228094751</v>
      </c>
      <c r="K438" s="23">
        <f>-$D438*$D438*SIN($E438)*SIN($E438)/(2*9.81*SIN($C435)*POWER(TAN($E438/2),2*$C438))</f>
        <v>-3.7188981024392429E-7</v>
      </c>
      <c r="L438" s="28"/>
      <c r="M438" s="28"/>
      <c r="N438" s="28"/>
      <c r="O438" s="28"/>
      <c r="P438" s="28"/>
      <c r="AI438" s="9"/>
      <c r="AJ438" s="11"/>
      <c r="AK438" s="12"/>
      <c r="AL438" s="12"/>
      <c r="AM438" s="12"/>
      <c r="AN438" s="11"/>
      <c r="AO438" s="10"/>
      <c r="AP438" s="7"/>
      <c r="AQ438" s="13"/>
    </row>
    <row r="439" spans="1:60">
      <c r="A439" s="88" t="s">
        <v>70</v>
      </c>
      <c r="B439" s="88"/>
      <c r="C439" s="28"/>
      <c r="D439" s="102" t="s">
        <v>75</v>
      </c>
      <c r="E439" s="102"/>
      <c r="F439" s="102"/>
      <c r="G439" s="102"/>
      <c r="H439" s="28"/>
      <c r="I439" s="28"/>
      <c r="J439" s="28"/>
      <c r="K439" s="28"/>
      <c r="L439" s="28"/>
      <c r="M439" s="45"/>
      <c r="N439" s="28"/>
      <c r="O439" s="28"/>
      <c r="P439" s="28"/>
      <c r="AI439" s="9"/>
      <c r="AJ439" s="11"/>
      <c r="AK439" s="12"/>
      <c r="AL439" s="12"/>
      <c r="AM439" s="12"/>
      <c r="AN439" s="11"/>
      <c r="AO439" s="10"/>
      <c r="AP439" s="7"/>
      <c r="AQ439" s="7"/>
    </row>
    <row r="440" spans="1:60">
      <c r="A440" s="26" t="s">
        <v>11</v>
      </c>
      <c r="B440" s="26" t="s">
        <v>13</v>
      </c>
      <c r="C440" s="26" t="s">
        <v>22</v>
      </c>
      <c r="D440" s="26" t="s">
        <v>18</v>
      </c>
      <c r="E440" s="26" t="s">
        <v>19</v>
      </c>
      <c r="F440" s="26" t="s">
        <v>20</v>
      </c>
      <c r="G440" s="26" t="s">
        <v>2</v>
      </c>
      <c r="H440" s="26" t="s">
        <v>65</v>
      </c>
      <c r="I440" s="26" t="s">
        <v>66</v>
      </c>
      <c r="J440" s="76" t="s">
        <v>3</v>
      </c>
      <c r="K440" s="76" t="s">
        <v>4</v>
      </c>
      <c r="L440" s="44" t="s">
        <v>7</v>
      </c>
      <c r="M440" s="93"/>
      <c r="N440" s="28"/>
      <c r="O440" s="28"/>
      <c r="P440" s="28"/>
      <c r="AI440" s="9"/>
      <c r="AJ440" s="11"/>
      <c r="AK440" s="12"/>
      <c r="AL440" s="12"/>
      <c r="AM440" s="12"/>
      <c r="AN440" s="11"/>
      <c r="AO440" s="10"/>
      <c r="AP440" s="7"/>
      <c r="AQ440" s="7"/>
    </row>
    <row r="441" spans="1:60">
      <c r="A441" s="88" t="s">
        <v>60</v>
      </c>
      <c r="B441" s="8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AI441" s="9"/>
      <c r="AJ441" s="10"/>
      <c r="AK441" s="10"/>
      <c r="AL441" s="10"/>
      <c r="AM441" s="10"/>
      <c r="AN441" s="10"/>
      <c r="AO441" s="10"/>
      <c r="AP441" s="7"/>
      <c r="AQ441" s="7"/>
    </row>
    <row r="442" spans="1:60">
      <c r="A442" s="26" t="s">
        <v>11</v>
      </c>
      <c r="B442" s="26" t="s">
        <v>13</v>
      </c>
      <c r="C442" s="26" t="s">
        <v>22</v>
      </c>
      <c r="D442" s="26" t="s">
        <v>18</v>
      </c>
      <c r="E442" s="26" t="s">
        <v>19</v>
      </c>
      <c r="F442" s="26" t="s">
        <v>20</v>
      </c>
      <c r="G442" s="26" t="s">
        <v>2</v>
      </c>
      <c r="H442" s="79" t="s">
        <v>1</v>
      </c>
      <c r="I442" s="79" t="s">
        <v>0</v>
      </c>
      <c r="J442" s="76" t="s">
        <v>3</v>
      </c>
      <c r="K442" s="76" t="s">
        <v>4</v>
      </c>
      <c r="L442" s="44" t="s">
        <v>7</v>
      </c>
      <c r="M442" s="28"/>
      <c r="N442" s="28"/>
      <c r="O442" s="28"/>
      <c r="P442" s="28"/>
      <c r="AI442" s="9"/>
      <c r="AJ442" s="10"/>
      <c r="AK442" s="10"/>
      <c r="AL442" s="10"/>
      <c r="AM442" s="10"/>
      <c r="AN442" s="10"/>
      <c r="AO442" s="10"/>
      <c r="AP442" s="7"/>
      <c r="AQ442" s="7"/>
    </row>
    <row r="443" spans="1:60">
      <c r="A443" s="19">
        <f>$E438</f>
        <v>2.5208530672291234</v>
      </c>
      <c r="B443" s="26">
        <f>COS(A443)</f>
        <v>-0.81344850843104843</v>
      </c>
      <c r="C443" s="26">
        <f>($C$438+B443)</f>
        <v>5.9669147506983036</v>
      </c>
      <c r="D443" s="26">
        <f>POWER(TAN(A443/2),$C$438)</f>
        <v>2231.0250228094751</v>
      </c>
      <c r="E443" s="26">
        <f>SIN(A443)</f>
        <v>0.58163693497860214</v>
      </c>
      <c r="F443" s="77">
        <f>(C443*$H$438*D443/E443/$I$438/$J$438)</f>
        <v>1</v>
      </c>
      <c r="G443" s="77">
        <f>$D$438*($C$438+$G$438)/9.81/SIN($C$435)/(1-$C$438*$C$438)*(F443-1)</f>
        <v>0</v>
      </c>
      <c r="H443" s="81">
        <f>-(-$H$435+$K$438*((POWER(TAN(A443/2),2*$C$438-1)/(2*$C$438-1))+(POWER(TAN(A443/2),2*$C$438+1)/(2*$C$438+1))-(POWER(TAN($E$438/2),2*$C$438-1)/(2*$C$438-1))-(POWER(TAN($E$438/2),2*$C$438+1)/(2*$C$438+1))))</f>
        <v>0.48612183295985489</v>
      </c>
      <c r="I443" s="81">
        <f>-(-$I$435+0.5*$K$438*((POWER(TAN(A443/2),2*$C$438-2)/(2*$C$438-2))-(POWER(TAN(A443/2),2*$C$438+2)/(2*$C$438+2))-(POWER(TAN($E$438/2),2*$C$438-2)/(2*$C$438-2))+(POWER(TAN($E$438/2),2*$C$438+2)/(2*$C$438+2))))</f>
        <v>1.4616059968409461</v>
      </c>
      <c r="J443" s="77">
        <f>-$D$438*SIN(A443)*($C$438+$G$438)/($C$438+B443)*F443</f>
        <v>-0.61231098347382906</v>
      </c>
      <c r="K443" s="77">
        <f>-$D$438*COS(A443)*($C$438+$G$438)/($C$438+B443)*F443</f>
        <v>0.8563477080785088</v>
      </c>
      <c r="L443" s="91">
        <f>SQRT(J443*J443+K443*K443)</f>
        <v>1.0527374495162614</v>
      </c>
      <c r="M443" s="28"/>
      <c r="N443" s="28"/>
      <c r="O443" s="28"/>
      <c r="P443" s="28"/>
      <c r="AI443" s="7"/>
      <c r="AJ443" s="7"/>
      <c r="AK443" s="7"/>
      <c r="AL443" s="7"/>
      <c r="AM443" s="7"/>
      <c r="AN443" s="7"/>
      <c r="AO443" s="7"/>
      <c r="AP443" s="7"/>
      <c r="AQ443" s="7"/>
    </row>
    <row r="444" spans="1:60">
      <c r="A444" s="20">
        <f t="shared" ref="A444:A506" si="435">A443-$F$438</f>
        <v>2.495645536556832</v>
      </c>
      <c r="B444" s="26">
        <f t="shared" ref="B444:B507" si="436">COS(A444)</f>
        <v>-0.79853000333829927</v>
      </c>
      <c r="C444" s="26">
        <f t="shared" ref="C444:C507" si="437">($C$438+B444)</f>
        <v>5.9818332557910532</v>
      </c>
      <c r="D444" s="26">
        <f t="shared" ref="D444:D507" si="438">POWER(TAN(A444/2),$C$438)</f>
        <v>1671.3617176099669</v>
      </c>
      <c r="E444" s="26">
        <f t="shared" ref="E444:E507" si="439">SIN(A444)</f>
        <v>0.60195500975449634</v>
      </c>
      <c r="F444" s="77">
        <f t="shared" ref="F444:F507" si="440">(C444*$H$438*D444/E444/$I$438/$J$438)</f>
        <v>0.72566875294581801</v>
      </c>
      <c r="G444" s="77">
        <f t="shared" ref="G444:G507" si="441">$D$438*($C$438+$G$438)/9.81/SIN($C$435)/(1-$C$438*$C$438)*(F444-1)</f>
        <v>0.37835478842046288</v>
      </c>
      <c r="H444" s="81">
        <f t="shared" ref="H444:H507" si="442">-(-$H$435+$K$438*((POWER(TAN(A444/2),2*$C$438-1)/(2*$C$438-1))+(POWER(TAN(A444/2),2*$C$438+1)/(2*$C$438+1))-(POWER(TAN($E$438/2),2*$C$438-1)/(2*$C$438-1))-(POWER(TAN($E$438/2),2*$C$438+1)/(2*$C$438+1))))</f>
        <v>0.28334308171972666</v>
      </c>
      <c r="I444" s="81">
        <f t="shared" ref="I444:I507" si="443">-(-$I$435+0.5*$K$438*((POWER(TAN(A444/2),2*$C$438-2)/(2*$C$438-2))-(POWER(TAN(A444/2),2*$C$438+2)/(2*$C$438+2))-(POWER(TAN($E$438/2),2*$C$438-2)/(2*$C$438-2))+(POWER(TAN($E$438/2),2*$C$438+2)/(2*$C$438+2))))</f>
        <v>1.7386016704410707</v>
      </c>
      <c r="J444" s="77">
        <f t="shared" ref="J444:J507" si="444">-$D$438*SIN(A444)*($C$438+$G$438)/($C$438+B444)*F444</f>
        <v>-0.45870984260030084</v>
      </c>
      <c r="K444" s="77">
        <f t="shared" ref="K444:K507" si="445">-$D$438*COS(A444)*($C$438+$G$438)/($C$438+B444)*F444</f>
        <v>0.60850655980472623</v>
      </c>
      <c r="L444" s="91">
        <f t="shared" ref="L444:L507" si="446">SQRT(J444*J444+K444*K444)</f>
        <v>0.76203343300919257</v>
      </c>
      <c r="M444" s="28"/>
      <c r="N444" s="28"/>
      <c r="O444" s="28"/>
      <c r="P444" s="28"/>
      <c r="AI444" s="7"/>
      <c r="AJ444" s="7"/>
      <c r="AK444" s="7"/>
      <c r="AL444" s="7"/>
      <c r="AM444" s="7"/>
      <c r="AN444" s="7"/>
      <c r="AO444" s="7"/>
      <c r="AP444" s="7"/>
      <c r="AQ444" s="7"/>
    </row>
    <row r="445" spans="1:60">
      <c r="A445" s="20">
        <f t="shared" si="435"/>
        <v>2.4704380058845405</v>
      </c>
      <c r="B445" s="26">
        <f t="shared" si="436"/>
        <v>-0.78310412349534453</v>
      </c>
      <c r="C445" s="26">
        <f t="shared" si="437"/>
        <v>5.9972591356340077</v>
      </c>
      <c r="D445" s="26">
        <f t="shared" si="438"/>
        <v>1264.0472649595865</v>
      </c>
      <c r="E445" s="26">
        <f t="shared" si="439"/>
        <v>0.62189061077056651</v>
      </c>
      <c r="F445" s="77">
        <f t="shared" si="440"/>
        <v>0.53259836736940636</v>
      </c>
      <c r="G445" s="77">
        <f t="shared" si="441"/>
        <v>0.64463544609046874</v>
      </c>
      <c r="H445" s="81">
        <f t="shared" si="442"/>
        <v>0.17600047963705701</v>
      </c>
      <c r="I445" s="81">
        <f t="shared" si="443"/>
        <v>1.8777190146083838</v>
      </c>
      <c r="J445" s="77">
        <f t="shared" si="444"/>
        <v>-0.34692126536086165</v>
      </c>
      <c r="K445" s="77">
        <f t="shared" si="445"/>
        <v>0.43685411666802337</v>
      </c>
      <c r="L445" s="91">
        <f t="shared" si="446"/>
        <v>0.55784933773320944</v>
      </c>
      <c r="M445" s="45"/>
      <c r="N445" s="28"/>
      <c r="O445" s="28"/>
      <c r="P445" s="31"/>
      <c r="AI445" s="7"/>
      <c r="AJ445" s="7"/>
      <c r="AK445" s="7"/>
      <c r="AL445" s="7"/>
      <c r="AM445" s="7"/>
      <c r="AN445" s="7"/>
      <c r="AO445" s="7"/>
      <c r="AP445" s="7"/>
      <c r="AQ445" s="7"/>
    </row>
    <row r="446" spans="1:60">
      <c r="A446" s="20">
        <f t="shared" si="435"/>
        <v>2.4452304752122491</v>
      </c>
      <c r="B446" s="26">
        <f t="shared" si="436"/>
        <v>-0.76718067028960768</v>
      </c>
      <c r="C446" s="26">
        <f t="shared" si="437"/>
        <v>6.0131825888397445</v>
      </c>
      <c r="D446" s="26">
        <f t="shared" si="438"/>
        <v>964.37908586383605</v>
      </c>
      <c r="E446" s="26">
        <f t="shared" si="439"/>
        <v>0.6414310712258865</v>
      </c>
      <c r="F446" s="77">
        <f t="shared" si="440"/>
        <v>0.39500253606487662</v>
      </c>
      <c r="G446" s="77">
        <f t="shared" si="441"/>
        <v>0.83440617837048825</v>
      </c>
      <c r="H446" s="81">
        <f t="shared" si="442"/>
        <v>0.11792865964710414</v>
      </c>
      <c r="I446" s="81">
        <f t="shared" si="443"/>
        <v>1.949174790706854</v>
      </c>
      <c r="J446" s="77">
        <f t="shared" si="444"/>
        <v>-0.2646765054043525</v>
      </c>
      <c r="K446" s="77">
        <f t="shared" si="445"/>
        <v>0.31656511188014202</v>
      </c>
      <c r="L446" s="91">
        <f t="shared" si="446"/>
        <v>0.41263436911234996</v>
      </c>
      <c r="M446" s="45"/>
      <c r="N446" s="28"/>
      <c r="O446" s="28"/>
      <c r="P446" s="31"/>
      <c r="AI446" s="7"/>
      <c r="AJ446" s="7"/>
      <c r="AK446" s="7"/>
      <c r="AL446" s="7"/>
      <c r="AM446" s="7"/>
      <c r="AN446" s="7"/>
      <c r="AO446" s="7"/>
      <c r="AP446" s="7"/>
      <c r="AQ446" s="7"/>
    </row>
    <row r="447" spans="1:60">
      <c r="A447" s="20">
        <f t="shared" si="435"/>
        <v>2.4200229445399577</v>
      </c>
      <c r="B447" s="26">
        <f t="shared" si="436"/>
        <v>-0.75076976125963957</v>
      </c>
      <c r="C447" s="26">
        <f t="shared" si="437"/>
        <v>6.0295934978697128</v>
      </c>
      <c r="D447" s="26">
        <f t="shared" si="438"/>
        <v>741.69221682359944</v>
      </c>
      <c r="E447" s="26">
        <f t="shared" si="439"/>
        <v>0.66056397538629352</v>
      </c>
      <c r="F447" s="77">
        <f t="shared" si="440"/>
        <v>0.29579755037573835</v>
      </c>
      <c r="G447" s="77">
        <f t="shared" si="441"/>
        <v>0.97122865766777222</v>
      </c>
      <c r="H447" s="81">
        <f t="shared" si="442"/>
        <v>8.587561939721039E-2</v>
      </c>
      <c r="I447" s="81">
        <f t="shared" si="443"/>
        <v>1.9866413281248199</v>
      </c>
      <c r="J447" s="77">
        <f t="shared" si="444"/>
        <v>-0.20355947874858318</v>
      </c>
      <c r="K447" s="77">
        <f t="shared" si="445"/>
        <v>0.23135730520702197</v>
      </c>
      <c r="L447" s="91">
        <f t="shared" si="446"/>
        <v>0.30816012730567527</v>
      </c>
      <c r="M447" s="45"/>
      <c r="N447" s="28"/>
      <c r="O447" s="28"/>
      <c r="P447" s="89"/>
      <c r="AI447" s="7"/>
      <c r="AJ447" s="7"/>
      <c r="AK447" s="7"/>
      <c r="AL447" s="7"/>
      <c r="AM447" s="7"/>
      <c r="AN447" s="7"/>
      <c r="AO447" s="7"/>
      <c r="AP447" s="7"/>
      <c r="AQ447" s="7"/>
    </row>
    <row r="448" spans="1:60">
      <c r="A448" s="20">
        <f t="shared" si="435"/>
        <v>2.3948154138676663</v>
      </c>
      <c r="B448" s="26">
        <f t="shared" si="436"/>
        <v>-0.73388182366657606</v>
      </c>
      <c r="C448" s="26">
        <f t="shared" si="437"/>
        <v>6.0464814354627761</v>
      </c>
      <c r="D448" s="26">
        <f t="shared" si="438"/>
        <v>574.67358458525325</v>
      </c>
      <c r="E448" s="26">
        <f t="shared" si="439"/>
        <v>0.67927716647317138</v>
      </c>
      <c r="F448" s="77">
        <f t="shared" si="440"/>
        <v>0.22349851668456716</v>
      </c>
      <c r="G448" s="77">
        <f t="shared" si="441"/>
        <v>1.070942729210721</v>
      </c>
      <c r="H448" s="81">
        <f t="shared" si="442"/>
        <v>6.7852639628824263E-2</v>
      </c>
      <c r="I448" s="81">
        <f t="shared" si="443"/>
        <v>2.006662149474904</v>
      </c>
      <c r="J448" s="77">
        <f t="shared" si="444"/>
        <v>-0.15772075353539269</v>
      </c>
      <c r="K448" s="77">
        <f t="shared" si="445"/>
        <v>0.17039935971289882</v>
      </c>
      <c r="L448" s="91">
        <f t="shared" si="446"/>
        <v>0.23218909941325405</v>
      </c>
      <c r="M448" s="45"/>
      <c r="N448" s="28"/>
      <c r="O448" s="28"/>
      <c r="P448" s="28"/>
      <c r="AI448" s="7"/>
      <c r="AJ448" s="7"/>
      <c r="AK448" s="7"/>
      <c r="AL448" s="7"/>
      <c r="AM448" s="7"/>
      <c r="AN448" s="7"/>
      <c r="AO448" s="7"/>
      <c r="AP448" s="7"/>
      <c r="AQ448" s="7"/>
    </row>
    <row r="449" spans="1:12">
      <c r="A449" s="20">
        <f t="shared" si="435"/>
        <v>2.3696078831953749</v>
      </c>
      <c r="B449" s="26">
        <f t="shared" si="436"/>
        <v>-0.71652758786880311</v>
      </c>
      <c r="C449" s="26">
        <f t="shared" si="437"/>
        <v>6.0638356712605486</v>
      </c>
      <c r="D449" s="26">
        <f t="shared" si="438"/>
        <v>448.32878205716855</v>
      </c>
      <c r="E449" s="26">
        <f t="shared" si="439"/>
        <v>0.69755875438769643</v>
      </c>
      <c r="F449" s="77">
        <f t="shared" si="440"/>
        <v>0.17027894612466568</v>
      </c>
      <c r="G449" s="77">
        <f t="shared" si="441"/>
        <v>1.1443426046359308</v>
      </c>
      <c r="H449" s="81">
        <f t="shared" si="442"/>
        <v>5.7542929386571962E-2</v>
      </c>
      <c r="I449" s="81">
        <f t="shared" si="443"/>
        <v>2.0175490066974624</v>
      </c>
      <c r="J449" s="77">
        <f t="shared" si="444"/>
        <v>-0.12304507329790357</v>
      </c>
      <c r="K449" s="77">
        <f t="shared" si="445"/>
        <v>0.12639105883873053</v>
      </c>
      <c r="L449" s="91">
        <f t="shared" si="446"/>
        <v>0.17639384858112797</v>
      </c>
    </row>
    <row r="450" spans="1:12">
      <c r="A450" s="20">
        <f t="shared" si="435"/>
        <v>2.3444003525230834</v>
      </c>
      <c r="B450" s="26">
        <f t="shared" si="436"/>
        <v>-0.69871808050403772</v>
      </c>
      <c r="C450" s="26">
        <f t="shared" si="437"/>
        <v>6.0816451786253145</v>
      </c>
      <c r="D450" s="26">
        <f t="shared" si="438"/>
        <v>351.98889594779718</v>
      </c>
      <c r="E450" s="26">
        <f t="shared" si="439"/>
        <v>0.71539712326563987</v>
      </c>
      <c r="F450" s="77">
        <f t="shared" si="440"/>
        <v>0.13073761409997431</v>
      </c>
      <c r="G450" s="77">
        <f t="shared" si="441"/>
        <v>1.1988775964486227</v>
      </c>
      <c r="H450" s="81">
        <f t="shared" si="442"/>
        <v>5.1550611592683815E-2</v>
      </c>
      <c r="I450" s="81">
        <f t="shared" si="443"/>
        <v>2.0235650970623724</v>
      </c>
      <c r="J450" s="77">
        <f t="shared" si="444"/>
        <v>-9.6604325297192539E-2</v>
      </c>
      <c r="K450" s="77">
        <f t="shared" si="445"/>
        <v>9.4352055026335854E-2</v>
      </c>
      <c r="L450" s="91">
        <f t="shared" si="446"/>
        <v>0.13503594319224235</v>
      </c>
    </row>
    <row r="451" spans="1:12">
      <c r="A451" s="20">
        <f t="shared" si="435"/>
        <v>2.319192821850792</v>
      </c>
      <c r="B451" s="26">
        <f t="shared" si="436"/>
        <v>-0.6804646174831569</v>
      </c>
      <c r="C451" s="26">
        <f t="shared" si="437"/>
        <v>6.0998986416461953</v>
      </c>
      <c r="D451" s="26">
        <f t="shared" si="438"/>
        <v>277.98237080307916</v>
      </c>
      <c r="E451" s="26">
        <f t="shared" si="439"/>
        <v>0.73278093885792428</v>
      </c>
      <c r="F451" s="77">
        <f t="shared" si="440"/>
        <v>0.10110285324155953</v>
      </c>
      <c r="G451" s="77">
        <f t="shared" si="441"/>
        <v>1.2397495488597237</v>
      </c>
      <c r="H451" s="81">
        <f t="shared" si="442"/>
        <v>4.8015627227383173E-2</v>
      </c>
      <c r="I451" s="81">
        <f t="shared" si="443"/>
        <v>2.0269393437948136</v>
      </c>
      <c r="J451" s="77">
        <f t="shared" si="444"/>
        <v>-7.6293029936740323E-2</v>
      </c>
      <c r="K451" s="77">
        <f t="shared" si="445"/>
        <v>7.0846148800549721E-2</v>
      </c>
      <c r="L451" s="91">
        <f t="shared" si="446"/>
        <v>0.10411437564908117</v>
      </c>
    </row>
    <row r="452" spans="1:12">
      <c r="A452" s="20">
        <f t="shared" si="435"/>
        <v>2.2939852911785006</v>
      </c>
      <c r="B452" s="26">
        <f t="shared" si="436"/>
        <v>-0.66177879680022722</v>
      </c>
      <c r="C452" s="26">
        <f t="shared" si="437"/>
        <v>6.1185844623291246</v>
      </c>
      <c r="D452" s="26">
        <f t="shared" si="438"/>
        <v>220.7384316893301</v>
      </c>
      <c r="E452" s="26">
        <f t="shared" si="439"/>
        <v>0.74969915573224677</v>
      </c>
      <c r="F452" s="77">
        <f t="shared" si="440"/>
        <v>7.8711754528130742E-2</v>
      </c>
      <c r="G452" s="77">
        <f t="shared" si="441"/>
        <v>1.2706311181566687</v>
      </c>
      <c r="H452" s="81">
        <f t="shared" si="442"/>
        <v>4.5901243776528933E-2</v>
      </c>
      <c r="I452" s="81">
        <f t="shared" si="443"/>
        <v>2.0288579821030499</v>
      </c>
      <c r="J452" s="77">
        <f t="shared" si="444"/>
        <v>-6.0582272639846939E-2</v>
      </c>
      <c r="K452" s="77">
        <f t="shared" si="445"/>
        <v>5.3477535873523142E-2</v>
      </c>
      <c r="L452" s="91">
        <f t="shared" si="446"/>
        <v>8.0808777996655173E-2</v>
      </c>
    </row>
    <row r="453" spans="1:12">
      <c r="A453" s="20">
        <f t="shared" si="435"/>
        <v>2.2687777605062092</v>
      </c>
      <c r="B453" s="26">
        <f t="shared" si="436"/>
        <v>-0.64267249116330183</v>
      </c>
      <c r="C453" s="26">
        <f t="shared" si="437"/>
        <v>6.13769076796605</v>
      </c>
      <c r="D453" s="26">
        <f t="shared" si="438"/>
        <v>176.17443715213184</v>
      </c>
      <c r="E453" s="26">
        <f t="shared" si="439"/>
        <v>0.76614102429119124</v>
      </c>
      <c r="F453" s="77">
        <f t="shared" si="440"/>
        <v>6.1664736676683686E-2</v>
      </c>
      <c r="G453" s="77">
        <f t="shared" si="441"/>
        <v>1.2941421869891236</v>
      </c>
      <c r="H453" s="81">
        <f t="shared" si="442"/>
        <v>4.4620149257383224E-2</v>
      </c>
      <c r="I453" s="81">
        <f t="shared" si="443"/>
        <v>2.0299628337162243</v>
      </c>
      <c r="J453" s="77">
        <f t="shared" si="444"/>
        <v>-4.8351561176004934E-2</v>
      </c>
      <c r="K453" s="77">
        <f t="shared" si="445"/>
        <v>4.0559397405153616E-2</v>
      </c>
      <c r="L453" s="91">
        <f t="shared" si="446"/>
        <v>6.3110523575915053E-2</v>
      </c>
    </row>
    <row r="454" spans="1:12">
      <c r="A454" s="20">
        <f t="shared" si="435"/>
        <v>2.2435702298339177</v>
      </c>
      <c r="B454" s="26">
        <f t="shared" si="436"/>
        <v>-0.62315784045066891</v>
      </c>
      <c r="C454" s="26">
        <f t="shared" si="437"/>
        <v>6.1572054186786831</v>
      </c>
      <c r="D454" s="26">
        <f t="shared" si="438"/>
        <v>141.27245586149604</v>
      </c>
      <c r="E454" s="26">
        <f t="shared" si="439"/>
        <v>0.78209609760237186</v>
      </c>
      <c r="F454" s="77">
        <f t="shared" si="440"/>
        <v>4.8593560533405404E-2</v>
      </c>
      <c r="G454" s="77">
        <f t="shared" si="441"/>
        <v>1.3121698164961624</v>
      </c>
      <c r="H454" s="81">
        <f t="shared" si="442"/>
        <v>4.383453187171632E-2</v>
      </c>
      <c r="I454" s="81">
        <f t="shared" si="443"/>
        <v>2.0306065322613764</v>
      </c>
      <c r="J454" s="77">
        <f t="shared" si="444"/>
        <v>-3.8772615950934092E-2</v>
      </c>
      <c r="K454" s="77">
        <f t="shared" si="445"/>
        <v>3.0893210819843853E-2</v>
      </c>
      <c r="L454" s="91">
        <f t="shared" si="446"/>
        <v>4.9575258168142164E-2</v>
      </c>
    </row>
    <row r="455" spans="1:12">
      <c r="A455" s="20">
        <f t="shared" si="435"/>
        <v>2.2183626991616263</v>
      </c>
      <c r="B455" s="26">
        <f t="shared" si="436"/>
        <v>-0.60324724399734297</v>
      </c>
      <c r="C455" s="26">
        <f t="shared" si="437"/>
        <v>6.1771160151320093</v>
      </c>
      <c r="D455" s="26">
        <f t="shared" si="438"/>
        <v>113.78348167387048</v>
      </c>
      <c r="E455" s="26">
        <f t="shared" si="439"/>
        <v>0.79755423803626679</v>
      </c>
      <c r="F455" s="77">
        <f t="shared" si="440"/>
        <v>3.8503698893408871E-2</v>
      </c>
      <c r="G455" s="77">
        <f t="shared" si="441"/>
        <v>1.3260856482032177</v>
      </c>
      <c r="H455" s="81">
        <f t="shared" si="442"/>
        <v>4.3347301136267335E-2</v>
      </c>
      <c r="I455" s="81">
        <f t="shared" si="443"/>
        <v>2.0309856112507978</v>
      </c>
      <c r="J455" s="77">
        <f t="shared" si="444"/>
        <v>-3.1228191012877667E-2</v>
      </c>
      <c r="K455" s="77">
        <f t="shared" si="445"/>
        <v>2.3620111667796592E-2</v>
      </c>
      <c r="L455" s="91">
        <f t="shared" si="446"/>
        <v>3.9154943355034423E-2</v>
      </c>
    </row>
    <row r="456" spans="1:12">
      <c r="A456" s="20">
        <f t="shared" si="435"/>
        <v>2.1931551684893349</v>
      </c>
      <c r="B456" s="26">
        <f t="shared" si="436"/>
        <v>-0.58295335271670212</v>
      </c>
      <c r="C456" s="26">
        <f t="shared" si="437"/>
        <v>6.1974099064126502</v>
      </c>
      <c r="D456" s="26">
        <f t="shared" si="438"/>
        <v>92.018727222542935</v>
      </c>
      <c r="E456" s="26">
        <f t="shared" si="439"/>
        <v>0.81250562370752621</v>
      </c>
      <c r="F456" s="77">
        <f t="shared" si="440"/>
        <v>3.0666045176461966E-2</v>
      </c>
      <c r="G456" s="77">
        <f t="shared" si="441"/>
        <v>1.3368952582845752</v>
      </c>
      <c r="H456" s="81">
        <f t="shared" si="442"/>
        <v>4.304192179894939E-2</v>
      </c>
      <c r="I456" s="81">
        <f t="shared" si="443"/>
        <v>2.0312110714605471</v>
      </c>
      <c r="J456" s="77">
        <f t="shared" si="444"/>
        <v>-2.5254794001679352E-2</v>
      </c>
      <c r="K456" s="77">
        <f t="shared" si="445"/>
        <v>1.8119710689840317E-2</v>
      </c>
      <c r="L456" s="91">
        <f t="shared" si="446"/>
        <v>3.1082608248838656E-2</v>
      </c>
    </row>
    <row r="457" spans="1:12">
      <c r="A457" s="20">
        <f t="shared" si="435"/>
        <v>2.1679476378170435</v>
      </c>
      <c r="B457" s="26">
        <f t="shared" si="436"/>
        <v>-0.56228906106227494</v>
      </c>
      <c r="C457" s="26">
        <f t="shared" si="437"/>
        <v>6.2180741980670771</v>
      </c>
      <c r="D457" s="26">
        <f t="shared" si="438"/>
        <v>74.700962101653687</v>
      </c>
      <c r="E457" s="26">
        <f t="shared" si="439"/>
        <v>0.82694075471565998</v>
      </c>
      <c r="F457" s="77">
        <f t="shared" si="440"/>
        <v>2.4541742893267555E-2</v>
      </c>
      <c r="G457" s="77">
        <f t="shared" si="441"/>
        <v>1.3453418319777402</v>
      </c>
      <c r="H457" s="81">
        <f t="shared" si="442"/>
        <v>4.2848619369695418E-2</v>
      </c>
      <c r="I457" s="81">
        <f t="shared" si="443"/>
        <v>2.0313463868350099</v>
      </c>
      <c r="J457" s="77">
        <f t="shared" si="444"/>
        <v>-2.0501885502523527E-2</v>
      </c>
      <c r="K457" s="77">
        <f t="shared" si="445"/>
        <v>1.3940522200026373E-2</v>
      </c>
      <c r="L457" s="91">
        <f t="shared" si="446"/>
        <v>2.479244780912148E-2</v>
      </c>
    </row>
    <row r="458" spans="1:12">
      <c r="A458" s="20">
        <f t="shared" si="435"/>
        <v>2.142740107144752</v>
      </c>
      <c r="B458" s="26">
        <f t="shared" si="436"/>
        <v>-0.54126749883478575</v>
      </c>
      <c r="C458" s="26">
        <f t="shared" si="437"/>
        <v>6.2390957602945667</v>
      </c>
      <c r="D458" s="26">
        <f t="shared" si="438"/>
        <v>60.857672961299272</v>
      </c>
      <c r="E458" s="26">
        <f t="shared" si="439"/>
        <v>0.84085045918114065</v>
      </c>
      <c r="F458" s="77">
        <f t="shared" si="440"/>
        <v>1.9729493249437541E-2</v>
      </c>
      <c r="G458" s="77">
        <f t="shared" si="441"/>
        <v>1.3519788363852554</v>
      </c>
      <c r="H458" s="81">
        <f t="shared" si="442"/>
        <v>4.2725121332701788E-2</v>
      </c>
      <c r="I458" s="81">
        <f t="shared" si="443"/>
        <v>2.0314282750645534</v>
      </c>
      <c r="J458" s="77">
        <f t="shared" si="444"/>
        <v>-1.6702556538759208E-2</v>
      </c>
      <c r="K458" s="77">
        <f t="shared" si="445"/>
        <v>1.0751675167882885E-2</v>
      </c>
      <c r="L458" s="91">
        <f t="shared" si="446"/>
        <v>1.9863884661518689E-2</v>
      </c>
    </row>
    <row r="459" spans="1:12">
      <c r="A459" s="20">
        <f t="shared" si="435"/>
        <v>2.1175325764724606</v>
      </c>
      <c r="B459" s="26">
        <f t="shared" si="436"/>
        <v>-0.51990202283966414</v>
      </c>
      <c r="C459" s="26">
        <f t="shared" si="437"/>
        <v>6.2604612362896876</v>
      </c>
      <c r="D459" s="26">
        <f t="shared" si="438"/>
        <v>49.743631015160055</v>
      </c>
      <c r="E459" s="26">
        <f t="shared" si="439"/>
        <v>0.85422589907308788</v>
      </c>
      <c r="F459" s="77">
        <f t="shared" si="440"/>
        <v>1.5928276362071614E-2</v>
      </c>
      <c r="G459" s="77">
        <f t="shared" si="441"/>
        <v>1.3572214349831306</v>
      </c>
      <c r="H459" s="81">
        <f t="shared" si="442"/>
        <v>4.2645531219024924E-2</v>
      </c>
      <c r="I459" s="81">
        <f t="shared" si="443"/>
        <v>2.0314782055166662</v>
      </c>
      <c r="J459" s="77">
        <f t="shared" si="444"/>
        <v>-1.3652277010365477E-2</v>
      </c>
      <c r="K459" s="77">
        <f t="shared" si="445"/>
        <v>8.3090976775092602E-3</v>
      </c>
      <c r="L459" s="91">
        <f t="shared" si="446"/>
        <v>1.5982045294083716E-2</v>
      </c>
    </row>
    <row r="460" spans="1:12">
      <c r="A460" s="20">
        <f t="shared" si="435"/>
        <v>2.0923250458001692</v>
      </c>
      <c r="B460" s="26">
        <f t="shared" si="436"/>
        <v>-0.4982062084003176</v>
      </c>
      <c r="C460" s="26">
        <f t="shared" si="437"/>
        <v>6.282157050729035</v>
      </c>
      <c r="D460" s="26">
        <f t="shared" si="438"/>
        <v>40.784324052430939</v>
      </c>
      <c r="E460" s="26">
        <f t="shared" si="439"/>
        <v>0.86705857582482815</v>
      </c>
      <c r="F460" s="77">
        <f t="shared" si="440"/>
        <v>1.2910745577352974E-2</v>
      </c>
      <c r="G460" s="77">
        <f t="shared" si="441"/>
        <v>1.3613831818999118</v>
      </c>
      <c r="H460" s="81">
        <f t="shared" si="442"/>
        <v>4.2593817867076611E-2</v>
      </c>
      <c r="I460" s="81">
        <f t="shared" si="443"/>
        <v>2.0315088576582783</v>
      </c>
      <c r="J460" s="77">
        <f t="shared" si="444"/>
        <v>-1.1193370453286907E-2</v>
      </c>
      <c r="K460" s="77">
        <f t="shared" si="445"/>
        <v>6.4316377327185981E-3</v>
      </c>
      <c r="L460" s="91">
        <f t="shared" si="446"/>
        <v>1.2909589692528804E-2</v>
      </c>
    </row>
    <row r="461" spans="1:12">
      <c r="A461" s="20">
        <f t="shared" si="435"/>
        <v>2.0671175151278778</v>
      </c>
      <c r="B461" s="26">
        <f t="shared" si="436"/>
        <v>-0.47619384073256232</v>
      </c>
      <c r="C461" s="26">
        <f t="shared" si="437"/>
        <v>6.30416941839679</v>
      </c>
      <c r="D461" s="26">
        <f t="shared" si="438"/>
        <v>33.534318127955622</v>
      </c>
      <c r="E461" s="26">
        <f t="shared" si="439"/>
        <v>0.87934033573376524</v>
      </c>
      <c r="F461" s="77">
        <f t="shared" si="440"/>
        <v>1.0504081041562557E-2</v>
      </c>
      <c r="G461" s="77">
        <f t="shared" si="441"/>
        <v>1.3647024284714049</v>
      </c>
      <c r="H461" s="81">
        <f t="shared" si="442"/>
        <v>4.255995886818531E-2</v>
      </c>
      <c r="I461" s="81">
        <f t="shared" si="443"/>
        <v>2.0315277895743402</v>
      </c>
      <c r="J461" s="77">
        <f t="shared" si="444"/>
        <v>-9.2035862902135942E-3</v>
      </c>
      <c r="K461" s="77">
        <f t="shared" si="445"/>
        <v>4.9840669487693076E-3</v>
      </c>
      <c r="L461" s="91">
        <f t="shared" si="446"/>
        <v>1.0466466641193781E-2</v>
      </c>
    </row>
    <row r="462" spans="1:12">
      <c r="A462" s="20">
        <f t="shared" si="435"/>
        <v>2.0419099844555864</v>
      </c>
      <c r="B462" s="26">
        <f t="shared" si="436"/>
        <v>-0.45387890618569032</v>
      </c>
      <c r="C462" s="26">
        <f t="shared" si="437"/>
        <v>6.3264843529436616</v>
      </c>
      <c r="D462" s="26">
        <f t="shared" si="438"/>
        <v>27.646388674835819</v>
      </c>
      <c r="E462" s="26">
        <f t="shared" si="439"/>
        <v>0.8910633751421283</v>
      </c>
      <c r="F462" s="77">
        <f t="shared" si="440"/>
        <v>8.5761023806023469E-3</v>
      </c>
      <c r="G462" s="77">
        <f t="shared" si="441"/>
        <v>1.3673614764879172</v>
      </c>
      <c r="H462" s="81">
        <f t="shared" si="442"/>
        <v>4.2537629807665456E-2</v>
      </c>
      <c r="I462" s="81">
        <f t="shared" si="443"/>
        <v>2.0315395454651144</v>
      </c>
      <c r="J462" s="77">
        <f t="shared" si="444"/>
        <v>-7.5876277791233366E-3</v>
      </c>
      <c r="K462" s="77">
        <f t="shared" si="445"/>
        <v>3.864892546372864E-3</v>
      </c>
      <c r="L462" s="91">
        <f t="shared" si="446"/>
        <v>8.5152504196607543E-3</v>
      </c>
    </row>
    <row r="463" spans="1:12">
      <c r="A463" s="20">
        <f t="shared" si="435"/>
        <v>2.0167024537832949</v>
      </c>
      <c r="B463" s="26">
        <f t="shared" si="436"/>
        <v>-0.43127558335573968</v>
      </c>
      <c r="C463" s="26">
        <f t="shared" si="437"/>
        <v>6.3490876757736121</v>
      </c>
      <c r="D463" s="26">
        <f t="shared" si="438"/>
        <v>22.848479720500762</v>
      </c>
      <c r="E463" s="26">
        <f t="shared" si="439"/>
        <v>0.9022202453953061</v>
      </c>
      <c r="F463" s="77">
        <f t="shared" si="440"/>
        <v>7.0251203296592245E-3</v>
      </c>
      <c r="G463" s="77">
        <f t="shared" si="441"/>
        <v>1.3695005747205462</v>
      </c>
      <c r="H463" s="81">
        <f t="shared" si="442"/>
        <v>4.2522804589551322E-2</v>
      </c>
      <c r="I463" s="81">
        <f t="shared" si="443"/>
        <v>2.0315468792814602</v>
      </c>
      <c r="J463" s="77">
        <f t="shared" si="444"/>
        <v>-6.2708284064532478E-3</v>
      </c>
      <c r="K463" s="77">
        <f t="shared" si="445"/>
        <v>2.997555411685443E-3</v>
      </c>
      <c r="L463" s="91">
        <f t="shared" si="446"/>
        <v>6.9504408025178998E-3</v>
      </c>
    </row>
    <row r="464" spans="1:12">
      <c r="A464" s="20">
        <f t="shared" si="435"/>
        <v>1.9914949231110037</v>
      </c>
      <c r="B464" s="26">
        <f t="shared" si="436"/>
        <v>-0.40839823407661374</v>
      </c>
      <c r="C464" s="26">
        <f t="shared" si="437"/>
        <v>6.371965025052738</v>
      </c>
      <c r="D464" s="26">
        <f t="shared" si="438"/>
        <v>18.926394733432488</v>
      </c>
      <c r="E464" s="26">
        <f t="shared" si="439"/>
        <v>0.91280385757461791</v>
      </c>
      <c r="F464" s="77">
        <f t="shared" si="440"/>
        <v>5.7724677195303267E-3</v>
      </c>
      <c r="G464" s="77">
        <f t="shared" si="441"/>
        <v>1.371228220106768</v>
      </c>
      <c r="H464" s="81">
        <f t="shared" si="442"/>
        <v>4.2512898857821613E-2</v>
      </c>
      <c r="I464" s="81">
        <f t="shared" si="443"/>
        <v>2.0315514722871622</v>
      </c>
      <c r="J464" s="77">
        <f t="shared" si="444"/>
        <v>-5.1944013421455952E-3</v>
      </c>
      <c r="K464" s="77">
        <f t="shared" si="445"/>
        <v>2.3240308611908326E-3</v>
      </c>
      <c r="L464" s="91">
        <f t="shared" si="446"/>
        <v>5.6905996825511599E-3</v>
      </c>
    </row>
    <row r="465" spans="1:12">
      <c r="A465" s="20">
        <f t="shared" si="435"/>
        <v>1.9662873924387125</v>
      </c>
      <c r="B465" s="26">
        <f t="shared" si="436"/>
        <v>-0.38526139429477307</v>
      </c>
      <c r="C465" s="26">
        <f t="shared" si="437"/>
        <v>6.3951018648345794</v>
      </c>
      <c r="D465" s="26">
        <f t="shared" si="438"/>
        <v>15.710713223631874</v>
      </c>
      <c r="E465" s="26">
        <f t="shared" si="439"/>
        <v>0.92280748700151294</v>
      </c>
      <c r="F465" s="77">
        <f t="shared" si="440"/>
        <v>4.7569650564260827E-3</v>
      </c>
      <c r="G465" s="77">
        <f t="shared" si="441"/>
        <v>1.3726287907649233</v>
      </c>
      <c r="H465" s="81">
        <f t="shared" si="442"/>
        <v>4.2506240648394811E-2</v>
      </c>
      <c r="I465" s="81">
        <f t="shared" si="443"/>
        <v>2.0315543577950104</v>
      </c>
      <c r="J465" s="77">
        <f t="shared" si="444"/>
        <v>-4.3118486644866463E-3</v>
      </c>
      <c r="K465" s="77">
        <f t="shared" si="445"/>
        <v>1.8001466740001177E-3</v>
      </c>
      <c r="L465" s="91">
        <f t="shared" si="446"/>
        <v>4.672533247966135E-3</v>
      </c>
    </row>
    <row r="466" spans="1:12">
      <c r="A466" s="20">
        <f t="shared" si="435"/>
        <v>1.9410798617664213</v>
      </c>
      <c r="B466" s="26">
        <f t="shared" si="436"/>
        <v>-0.36187976483329992</v>
      </c>
      <c r="C466" s="26">
        <f t="shared" si="437"/>
        <v>6.4184834942960522</v>
      </c>
      <c r="D466" s="26">
        <f t="shared" si="438"/>
        <v>13.066843457003701</v>
      </c>
      <c r="E466" s="26">
        <f t="shared" si="439"/>
        <v>0.93222477751033606</v>
      </c>
      <c r="F466" s="77">
        <f t="shared" si="440"/>
        <v>3.9307930353627346E-3</v>
      </c>
      <c r="G466" s="77">
        <f t="shared" si="441"/>
        <v>1.3737682385806023</v>
      </c>
      <c r="H466" s="81">
        <f t="shared" si="442"/>
        <v>4.2501740224249407E-2</v>
      </c>
      <c r="I466" s="81">
        <f t="shared" si="443"/>
        <v>2.031556174780679</v>
      </c>
      <c r="J466" s="77">
        <f t="shared" si="444"/>
        <v>-3.5862313000779682E-3</v>
      </c>
      <c r="K466" s="77">
        <f t="shared" si="445"/>
        <v>1.3921369296533695E-3</v>
      </c>
      <c r="L466" s="91">
        <f t="shared" si="446"/>
        <v>3.8469598605345005E-3</v>
      </c>
    </row>
    <row r="467" spans="1:12">
      <c r="A467" s="20">
        <f t="shared" si="435"/>
        <v>1.9158723310941301</v>
      </c>
      <c r="B467" s="26">
        <f t="shared" ref="B467:B506" si="447">COS(A467)</f>
        <v>-0.33826820205120112</v>
      </c>
      <c r="C467" s="26">
        <f t="shared" ref="C467:C506" si="448">($C$438+B467)</f>
        <v>6.4420950570781512</v>
      </c>
      <c r="D467" s="26">
        <f t="shared" ref="D467:D506" si="449">POWER(TAN(A467/2),$C$438)</f>
        <v>10.88741728332235</v>
      </c>
      <c r="E467" s="26">
        <f t="shared" ref="E467:E506" si="450">SIN(A467)</f>
        <v>0.94104974548694698</v>
      </c>
      <c r="F467" s="77">
        <f t="shared" ref="F467:F506" si="451">(C467*$H$438*D467/E467/$I$438/$J$438)</f>
        <v>3.2563952945268218E-3</v>
      </c>
      <c r="G467" s="77">
        <f t="shared" ref="G467:G506" si="452">$D$438*($C$438+$G$438)/9.81/SIN($C$435)/(1-$C$438*$C$438)*(F467-1)</f>
        <v>1.3746983608954504</v>
      </c>
      <c r="H467" s="81">
        <f t="shared" ref="H467:H506" si="453">-(-$H$435+$K$438*((POWER(TAN(A467/2),2*$C$438-1)/(2*$C$438-1))+(POWER(TAN(A467/2),2*$C$438+1)/(2*$C$438+1))-(POWER(TAN($E$438/2),2*$C$438-1)/(2*$C$438-1))-(POWER(TAN($E$438/2),2*$C$438+1)/(2*$C$438+1))))</f>
        <v>4.249868232999876E-2</v>
      </c>
      <c r="I467" s="81">
        <f t="shared" ref="I467:I506" si="454">-(-$I$435+0.5*$K$438*((POWER(TAN(A467/2),2*$C$438-2)/(2*$C$438-2))-(POWER(TAN(A467/2),2*$C$438+2)/(2*$C$438+2))-(POWER(TAN($E$438/2),2*$C$438-2)/(2*$C$438-2))+(POWER(TAN($E$438/2),2*$C$438+2)/(2*$C$438+2))))</f>
        <v>2.0315573205602266</v>
      </c>
      <c r="J467" s="77">
        <f t="shared" ref="J467:J506" si="455">-$D$438*SIN(A467)*($C$438+$G$438)/($C$438+B467)*F467</f>
        <v>-2.9880817633529413E-3</v>
      </c>
      <c r="K467" s="77">
        <f t="shared" ref="K467:K506" si="456">-$D$438*COS(A467)*($C$438+$G$438)/($C$438+B467)*F467</f>
        <v>1.074090982457422E-3</v>
      </c>
      <c r="L467" s="91">
        <f t="shared" ref="L467:L506" si="457">SQRT(J467*J467+K467*K467)</f>
        <v>3.1752644083727537E-3</v>
      </c>
    </row>
    <row r="468" spans="1:12">
      <c r="A468" s="20">
        <f t="shared" si="435"/>
        <v>1.8906648004218389</v>
      </c>
      <c r="B468" s="26">
        <f t="shared" si="447"/>
        <v>-0.31444170840388663</v>
      </c>
      <c r="C468" s="26">
        <f t="shared" si="448"/>
        <v>6.465921550725465</v>
      </c>
      <c r="D468" s="26">
        <f t="shared" si="449"/>
        <v>9.0864446212624692</v>
      </c>
      <c r="E468" s="26">
        <f t="shared" si="450"/>
        <v>0.94927678367062429</v>
      </c>
      <c r="F468" s="77">
        <f t="shared" si="451"/>
        <v>2.7041405361117655E-3</v>
      </c>
      <c r="G468" s="77">
        <f t="shared" si="452"/>
        <v>1.3754600248856739</v>
      </c>
      <c r="H468" s="81">
        <f t="shared" si="453"/>
        <v>4.2496594381127573E-2</v>
      </c>
      <c r="I468" s="81">
        <f t="shared" si="454"/>
        <v>2.0315580434066551</v>
      </c>
      <c r="J468" s="77">
        <f t="shared" si="455"/>
        <v>-2.493799838837951E-3</v>
      </c>
      <c r="K468" s="77">
        <f t="shared" si="456"/>
        <v>8.2605484009564149E-4</v>
      </c>
      <c r="L468" s="91">
        <f t="shared" si="457"/>
        <v>2.6270523852853843E-3</v>
      </c>
    </row>
    <row r="469" spans="1:12">
      <c r="A469" s="20">
        <f t="shared" si="435"/>
        <v>1.8654572697495477</v>
      </c>
      <c r="B469" s="26">
        <f t="shared" si="447"/>
        <v>-0.29041542291081968</v>
      </c>
      <c r="C469" s="26">
        <f t="shared" si="448"/>
        <v>6.4899478362185326</v>
      </c>
      <c r="D469" s="26">
        <f t="shared" si="449"/>
        <v>7.5947975877546918</v>
      </c>
      <c r="E469" s="26">
        <f t="shared" si="450"/>
        <v>0.95690066471683977</v>
      </c>
      <c r="F469" s="77">
        <f t="shared" si="451"/>
        <v>2.2505478774606691E-3</v>
      </c>
      <c r="G469" s="77">
        <f t="shared" si="452"/>
        <v>1.3760856151391936</v>
      </c>
      <c r="H469" s="81">
        <f t="shared" si="453"/>
        <v>4.2495162167744682E-2</v>
      </c>
      <c r="I469" s="81">
        <f t="shared" si="454"/>
        <v>2.0315584991328093</v>
      </c>
      <c r="J469" s="77">
        <f t="shared" si="455"/>
        <v>-2.0844131879734066E-3</v>
      </c>
      <c r="K469" s="77">
        <f t="shared" si="456"/>
        <v>6.3261084439241865E-4</v>
      </c>
      <c r="L469" s="91">
        <f t="shared" si="457"/>
        <v>2.1782963110284948E-3</v>
      </c>
    </row>
    <row r="470" spans="1:12">
      <c r="A470" s="20">
        <f t="shared" si="435"/>
        <v>1.8402497390772565</v>
      </c>
      <c r="B470" s="26">
        <f t="shared" si="447"/>
        <v>-0.26620461153639674</v>
      </c>
      <c r="C470" s="26">
        <f t="shared" si="448"/>
        <v>6.5141586475929554</v>
      </c>
      <c r="D470" s="26">
        <f t="shared" si="449"/>
        <v>6.3567048588985147</v>
      </c>
      <c r="E470" s="26">
        <f t="shared" si="450"/>
        <v>0.96391654451864039</v>
      </c>
      <c r="F470" s="77">
        <f t="shared" si="451"/>
        <v>1.8769324689967113E-3</v>
      </c>
      <c r="G470" s="77">
        <f t="shared" si="452"/>
        <v>1.3766009016052378</v>
      </c>
      <c r="H470" s="81">
        <f t="shared" si="453"/>
        <v>4.2494175537927448E-2</v>
      </c>
      <c r="I470" s="81">
        <f t="shared" si="454"/>
        <v>2.0315587858884054</v>
      </c>
      <c r="J470" s="77">
        <f t="shared" si="455"/>
        <v>-1.7446152167776062E-3</v>
      </c>
      <c r="K470" s="77">
        <f t="shared" si="456"/>
        <v>4.8180998521473985E-4</v>
      </c>
      <c r="L470" s="91">
        <f t="shared" si="457"/>
        <v>1.8099235112193559E-3</v>
      </c>
    </row>
    <row r="471" spans="1:12">
      <c r="A471" s="20">
        <f t="shared" si="435"/>
        <v>1.8150422084049653</v>
      </c>
      <c r="B471" s="26">
        <f t="shared" si="447"/>
        <v>-0.24182465749016788</v>
      </c>
      <c r="C471" s="26">
        <f t="shared" si="448"/>
        <v>6.5385386016391847</v>
      </c>
      <c r="D471" s="26">
        <f t="shared" si="449"/>
        <v>5.3270176120987207</v>
      </c>
      <c r="E471" s="26">
        <f t="shared" si="450"/>
        <v>0.97031996528452558</v>
      </c>
      <c r="F471" s="77">
        <f t="shared" si="451"/>
        <v>1.5683665096486825E-3</v>
      </c>
      <c r="G471" s="77">
        <f t="shared" si="452"/>
        <v>1.3770264725510069</v>
      </c>
      <c r="H471" s="81">
        <f t="shared" si="453"/>
        <v>4.2493493147316819E-2</v>
      </c>
      <c r="I471" s="81">
        <f t="shared" si="454"/>
        <v>2.0315589656899196</v>
      </c>
      <c r="J471" s="77">
        <f t="shared" si="455"/>
        <v>-1.4620147061098769E-3</v>
      </c>
      <c r="K471" s="77">
        <f t="shared" si="456"/>
        <v>3.6436558887762154E-4</v>
      </c>
      <c r="L471" s="91">
        <f t="shared" si="457"/>
        <v>1.5067346426095359E-3</v>
      </c>
    </row>
    <row r="472" spans="1:12">
      <c r="A472" s="20">
        <f t="shared" si="435"/>
        <v>1.7898346777326741</v>
      </c>
      <c r="B472" s="26">
        <f t="shared" si="447"/>
        <v>-0.21729105145256147</v>
      </c>
      <c r="C472" s="26">
        <f t="shared" si="448"/>
        <v>6.5630722076767904</v>
      </c>
      <c r="D472" s="26">
        <f t="shared" si="449"/>
        <v>4.4690677399404821</v>
      </c>
      <c r="E472" s="26">
        <f t="shared" si="450"/>
        <v>0.97610685837086519</v>
      </c>
      <c r="F472" s="77">
        <f t="shared" si="451"/>
        <v>1.3128782649235718E-3</v>
      </c>
      <c r="G472" s="77">
        <f t="shared" si="452"/>
        <v>1.3773788392675763</v>
      </c>
      <c r="H472" s="81">
        <f t="shared" si="453"/>
        <v>4.2493019426201817E-2</v>
      </c>
      <c r="I472" s="81">
        <f t="shared" si="454"/>
        <v>2.0315590778163797</v>
      </c>
      <c r="J472" s="77">
        <f t="shared" si="455"/>
        <v>-1.2265479925492558E-3</v>
      </c>
      <c r="K472" s="77">
        <f t="shared" si="456"/>
        <v>2.7304172762690975E-4</v>
      </c>
      <c r="L472" s="91">
        <f t="shared" si="457"/>
        <v>1.2565714317348206E-3</v>
      </c>
    </row>
    <row r="473" spans="1:12">
      <c r="A473" s="20">
        <f t="shared" si="435"/>
        <v>1.7646271470603829</v>
      </c>
      <c r="B473" s="26">
        <f t="shared" si="447"/>
        <v>-0.19261938173232354</v>
      </c>
      <c r="C473" s="26">
        <f t="shared" si="448"/>
        <v>6.5877438773970285</v>
      </c>
      <c r="D473" s="26">
        <f t="shared" si="449"/>
        <v>3.752982887081751</v>
      </c>
      <c r="E473" s="26">
        <f t="shared" si="450"/>
        <v>0.98127354686705859</v>
      </c>
      <c r="F473" s="77">
        <f t="shared" si="451"/>
        <v>1.1008316352134199E-3</v>
      </c>
      <c r="G473" s="77">
        <f t="shared" si="452"/>
        <v>1.3776712917628016</v>
      </c>
      <c r="H473" s="81">
        <f t="shared" si="453"/>
        <v>4.2492689431953001E-2</v>
      </c>
      <c r="I473" s="81">
        <f t="shared" si="454"/>
        <v>2.0315591471867438</v>
      </c>
      <c r="J473" s="77">
        <f t="shared" si="455"/>
        <v>-1.0300165256128195E-3</v>
      </c>
      <c r="K473" s="77">
        <f t="shared" si="456"/>
        <v>2.0218739919267012E-4</v>
      </c>
      <c r="L473" s="91">
        <f t="shared" si="457"/>
        <v>1.0496731812463344E-3</v>
      </c>
    </row>
    <row r="474" spans="1:12">
      <c r="A474" s="20">
        <f t="shared" si="435"/>
        <v>1.7394196163880917</v>
      </c>
      <c r="B474" s="26">
        <f t="shared" si="447"/>
        <v>-0.16782532436192518</v>
      </c>
      <c r="C474" s="26">
        <f t="shared" si="448"/>
        <v>6.6125379347674267</v>
      </c>
      <c r="D474" s="26">
        <f t="shared" si="449"/>
        <v>3.1543554654832091</v>
      </c>
      <c r="E474" s="26">
        <f t="shared" si="450"/>
        <v>0.98581674793179219</v>
      </c>
      <c r="F474" s="77">
        <f t="shared" si="451"/>
        <v>9.2444338639346871E-4</v>
      </c>
      <c r="G474" s="77">
        <f t="shared" si="452"/>
        <v>1.3779145645918314</v>
      </c>
      <c r="H474" s="81">
        <f t="shared" si="453"/>
        <v>4.2492458825779178E-2</v>
      </c>
      <c r="I474" s="81">
        <f t="shared" si="454"/>
        <v>2.0315591896230378</v>
      </c>
      <c r="J474" s="77">
        <f t="shared" si="455"/>
        <v>-8.657215753070525E-4</v>
      </c>
      <c r="K474" s="77">
        <f t="shared" si="456"/>
        <v>1.4738033664759306E-4</v>
      </c>
      <c r="L474" s="91">
        <f t="shared" si="457"/>
        <v>8.7817698078603858E-4</v>
      </c>
    </row>
    <row r="475" spans="1:12">
      <c r="A475" s="20">
        <f t="shared" si="435"/>
        <v>1.7142120857158005</v>
      </c>
      <c r="B475" s="26">
        <f t="shared" ref="B475:B501" si="458">COS(A475)</f>
        <v>-0.14292463313723164</v>
      </c>
      <c r="C475" s="26">
        <f t="shared" ref="C475:C501" si="459">($C$438+B475)</f>
        <v>6.6374386259921208</v>
      </c>
      <c r="D475" s="26">
        <f t="shared" ref="D475:D501" si="460">POWER(TAN(A475/2),$C$438)</f>
        <v>2.6531871724423142</v>
      </c>
      <c r="E475" s="26">
        <f t="shared" ref="E475:E501" si="461">SIN(A475)</f>
        <v>0.98973357487891045</v>
      </c>
      <c r="F475" s="77">
        <f t="shared" ref="F475:F501" si="462">(C475*$H$438*D475/E475/$I$438/$J$438)</f>
        <v>7.7740585449377066E-4</v>
      </c>
      <c r="G475" s="77">
        <f t="shared" ref="G475:G501" si="463">$D$438*($C$438+$G$438)/9.81/SIN($C$435)/(1-$C$438*$C$438)*(F475-1)</f>
        <v>1.3781173572188805</v>
      </c>
      <c r="H475" s="81">
        <f t="shared" ref="H475:H501" si="464">-(-$H$435+$K$438*((POWER(TAN(A475/2),2*$C$438-1)/(2*$C$438-1))+(POWER(TAN(A475/2),2*$C$438+1)/(2*$C$438+1))-(POWER(TAN($E$438/2),2*$C$438-1)/(2*$C$438-1))-(POWER(TAN($E$438/2),2*$C$438+1)/(2*$C$438+1))))</f>
        <v>4.2492297201366769E-2</v>
      </c>
      <c r="I475" s="81">
        <f t="shared" ref="I475:I501" si="465">-(-$I$435+0.5*$K$438*((POWER(TAN(A475/2),2*$C$438-2)/(2*$C$438-2))-(POWER(TAN(A475/2),2*$C$438+2)/(2*$C$438+2))-(POWER(TAN($E$438/2),2*$C$438-2)/(2*$C$438-2))+(POWER(TAN($E$438/2),2*$C$438+2)/(2*$C$438+2))))</f>
        <v>2.0315592151705175</v>
      </c>
      <c r="J475" s="77">
        <f t="shared" ref="J475:J501" si="466">-$D$438*SIN(A475)*($C$438+$G$438)/($C$438+B475)*F475</f>
        <v>-7.2817455218521612E-4</v>
      </c>
      <c r="K475" s="77">
        <f t="shared" ref="K475:K501" si="467">-$D$438*COS(A475)*($C$438+$G$438)/($C$438+B475)*F475</f>
        <v>1.0515363262651056E-4</v>
      </c>
      <c r="L475" s="91">
        <f t="shared" ref="L475:L501" si="468">SQRT(J475*J475+K475*K475)</f>
        <v>7.3572784703631493E-4</v>
      </c>
    </row>
    <row r="476" spans="1:12">
      <c r="A476" s="20">
        <f t="shared" si="435"/>
        <v>1.6890045550435093</v>
      </c>
      <c r="B476" s="26">
        <f t="shared" si="458"/>
        <v>-0.11793312960776174</v>
      </c>
      <c r="C476" s="26">
        <f t="shared" si="459"/>
        <v>6.6624301295215904</v>
      </c>
      <c r="D476" s="26">
        <f t="shared" si="460"/>
        <v>2.2330488459364579</v>
      </c>
      <c r="E476" s="26">
        <f t="shared" si="461"/>
        <v>0.99302153901157597</v>
      </c>
      <c r="F476" s="77">
        <f t="shared" si="462"/>
        <v>6.5459084141578821E-4</v>
      </c>
      <c r="G476" s="77">
        <f t="shared" si="463"/>
        <v>1.3782867424011627</v>
      </c>
      <c r="H476" s="81">
        <f t="shared" si="464"/>
        <v>4.2492183619729507E-2</v>
      </c>
      <c r="I476" s="81">
        <f t="shared" si="465"/>
        <v>2.0315592301996301</v>
      </c>
      <c r="J476" s="77">
        <f t="shared" si="466"/>
        <v>-6.1286642732434214E-4</v>
      </c>
      <c r="K476" s="77">
        <f t="shared" si="467"/>
        <v>7.2785184375587811E-5</v>
      </c>
      <c r="L476" s="91">
        <f t="shared" si="468"/>
        <v>6.171733474526354E-4</v>
      </c>
    </row>
    <row r="477" spans="1:12">
      <c r="A477" s="20">
        <f t="shared" si="435"/>
        <v>1.6637970243712181</v>
      </c>
      <c r="B477" s="26">
        <f t="shared" si="458"/>
        <v>-9.286669302389744E-2</v>
      </c>
      <c r="C477" s="26">
        <f t="shared" si="459"/>
        <v>6.6874965661054544</v>
      </c>
      <c r="D477" s="26">
        <f t="shared" si="460"/>
        <v>1.8804093188433451</v>
      </c>
      <c r="E477" s="26">
        <f t="shared" si="461"/>
        <v>0.99567855120355242</v>
      </c>
      <c r="F477" s="77">
        <f t="shared" si="462"/>
        <v>5.5181629111819043E-4</v>
      </c>
      <c r="G477" s="77">
        <f t="shared" si="463"/>
        <v>1.3784284879866562</v>
      </c>
      <c r="H477" s="81">
        <f t="shared" si="464"/>
        <v>4.2492103604834741E-2</v>
      </c>
      <c r="I477" s="81">
        <f t="shared" si="465"/>
        <v>2.0315592387407913</v>
      </c>
      <c r="J477" s="77">
        <f t="shared" si="466"/>
        <v>-5.1608353451114484E-4</v>
      </c>
      <c r="K477" s="77">
        <f t="shared" si="467"/>
        <v>4.8134984042994093E-5</v>
      </c>
      <c r="L477" s="91">
        <f t="shared" si="468"/>
        <v>5.1832344272889619E-4</v>
      </c>
    </row>
    <row r="478" spans="1:12">
      <c r="A478" s="20">
        <f t="shared" si="435"/>
        <v>1.6385894936989269</v>
      </c>
      <c r="B478" s="26">
        <f t="shared" si="458"/>
        <v>-6.7741250247431203E-2</v>
      </c>
      <c r="C478" s="26">
        <f t="shared" si="459"/>
        <v>6.7126220088819206</v>
      </c>
      <c r="D478" s="26">
        <f t="shared" si="460"/>
        <v>1.5840974261016207</v>
      </c>
      <c r="E478" s="26">
        <f t="shared" si="461"/>
        <v>0.99770292322660603</v>
      </c>
      <c r="F478" s="77">
        <f t="shared" si="462"/>
        <v>4.6566172105680273E-4</v>
      </c>
      <c r="G478" s="77">
        <f t="shared" si="463"/>
        <v>1.3785473114691325</v>
      </c>
      <c r="H478" s="81">
        <f t="shared" si="464"/>
        <v>4.249204711193133E-2</v>
      </c>
      <c r="I478" s="81">
        <f t="shared" si="465"/>
        <v>2.0315592433340699</v>
      </c>
      <c r="J478" s="77">
        <f t="shared" si="466"/>
        <v>-4.3475991662038713E-4</v>
      </c>
      <c r="K478" s="77">
        <f t="shared" si="467"/>
        <v>2.9518987690331531E-5</v>
      </c>
      <c r="L478" s="91">
        <f t="shared" si="468"/>
        <v>4.3576089284609734E-4</v>
      </c>
    </row>
    <row r="479" spans="1:12">
      <c r="A479" s="20">
        <f t="shared" si="435"/>
        <v>1.6133819630266357</v>
      </c>
      <c r="B479" s="26">
        <f t="shared" si="458"/>
        <v>-4.2572765631861582E-2</v>
      </c>
      <c r="C479" s="26">
        <f t="shared" si="459"/>
        <v>6.7377904934974904</v>
      </c>
      <c r="D479" s="26">
        <f t="shared" si="460"/>
        <v>1.3348693182619724</v>
      </c>
      <c r="E479" s="26">
        <f t="shared" si="461"/>
        <v>0.99909336882318189</v>
      </c>
      <c r="F479" s="77">
        <f t="shared" si="462"/>
        <v>3.9332167510048151E-4</v>
      </c>
      <c r="G479" s="77">
        <f t="shared" si="463"/>
        <v>1.3786470821043628</v>
      </c>
      <c r="H479" s="81">
        <f t="shared" si="464"/>
        <v>4.2492007147086619E-2</v>
      </c>
      <c r="I479" s="81">
        <f t="shared" si="465"/>
        <v>2.0315592455710743</v>
      </c>
      <c r="J479" s="77">
        <f t="shared" si="466"/>
        <v>-3.6635857362314693E-4</v>
      </c>
      <c r="K479" s="77">
        <f t="shared" si="467"/>
        <v>1.5611051157763874E-5</v>
      </c>
      <c r="L479" s="91">
        <f t="shared" si="468"/>
        <v>3.6669102714061207E-4</v>
      </c>
    </row>
    <row r="480" spans="1:12">
      <c r="A480" s="20">
        <f t="shared" si="435"/>
        <v>1.5881744323543445</v>
      </c>
      <c r="B480" s="26">
        <f t="shared" si="458"/>
        <v>-1.7377230878867292E-2</v>
      </c>
      <c r="C480" s="26">
        <f t="shared" si="459"/>
        <v>6.7629860282504852</v>
      </c>
      <c r="D480" s="26">
        <f t="shared" si="460"/>
        <v>1.1250593610453516</v>
      </c>
      <c r="E480" s="26">
        <f t="shared" si="461"/>
        <v>0.99984900452367431</v>
      </c>
      <c r="F480" s="77">
        <f t="shared" si="462"/>
        <v>3.3248894659355618E-4</v>
      </c>
      <c r="G480" s="77">
        <f t="shared" si="463"/>
        <v>1.3787309819676501</v>
      </c>
      <c r="H480" s="81">
        <f t="shared" si="464"/>
        <v>4.2491978824945764E-2</v>
      </c>
      <c r="I480" s="81">
        <f t="shared" si="465"/>
        <v>2.0315592464409411</v>
      </c>
      <c r="J480" s="77">
        <f t="shared" si="466"/>
        <v>-3.0877565100575143E-4</v>
      </c>
      <c r="K480" s="77">
        <f t="shared" si="467"/>
        <v>5.3664760909130326E-6</v>
      </c>
      <c r="L480" s="91">
        <f t="shared" si="468"/>
        <v>3.0882228177328775E-4</v>
      </c>
    </row>
    <row r="481" spans="1:12">
      <c r="A481" s="20">
        <f t="shared" si="435"/>
        <v>1.5629669016820533</v>
      </c>
      <c r="B481" s="26">
        <f t="shared" si="458"/>
        <v>7.829345122595522E-3</v>
      </c>
      <c r="C481" s="26">
        <f t="shared" si="459"/>
        <v>6.7881926042519476</v>
      </c>
      <c r="D481" s="26">
        <f t="shared" si="460"/>
        <v>0.94829761251012068</v>
      </c>
      <c r="E481" s="26">
        <f t="shared" si="461"/>
        <v>0.99996935020777078</v>
      </c>
      <c r="F481" s="77">
        <f t="shared" si="462"/>
        <v>2.8126120134496494E-4</v>
      </c>
      <c r="G481" s="77">
        <f t="shared" si="463"/>
        <v>1.378801634738426</v>
      </c>
      <c r="H481" s="81">
        <f t="shared" si="464"/>
        <v>4.2491958722834677E-2</v>
      </c>
      <c r="I481" s="81">
        <f t="shared" si="465"/>
        <v>2.0315592465513399</v>
      </c>
      <c r="J481" s="77">
        <f t="shared" si="466"/>
        <v>-2.6026290059748134E-4</v>
      </c>
      <c r="K481" s="77">
        <f t="shared" si="467"/>
        <v>-2.037750528015753E-6</v>
      </c>
      <c r="L481" s="91">
        <f t="shared" si="468"/>
        <v>2.6027087784581064E-4</v>
      </c>
    </row>
    <row r="482" spans="1:12">
      <c r="A482" s="20">
        <f t="shared" si="435"/>
        <v>1.5377593710097621</v>
      </c>
      <c r="B482" s="26">
        <f t="shared" si="458"/>
        <v>3.3030946468116489E-2</v>
      </c>
      <c r="C482" s="26">
        <f t="shared" si="459"/>
        <v>6.8133942055974686</v>
      </c>
      <c r="D482" s="26">
        <f t="shared" si="460"/>
        <v>0.79928050887017543</v>
      </c>
      <c r="E482" s="26">
        <f t="shared" si="461"/>
        <v>0.99945432940951351</v>
      </c>
      <c r="F482" s="77">
        <f t="shared" si="462"/>
        <v>2.3806606223196491E-4</v>
      </c>
      <c r="G482" s="77">
        <f t="shared" si="463"/>
        <v>1.3788612090227825</v>
      </c>
      <c r="H482" s="81">
        <f t="shared" si="464"/>
        <v>4.2491944436201246E-2</v>
      </c>
      <c r="I482" s="81">
        <f t="shared" si="465"/>
        <v>2.0315592462695777</v>
      </c>
      <c r="J482" s="77">
        <f t="shared" si="466"/>
        <v>-2.1936474465959142E-4</v>
      </c>
      <c r="K482" s="77">
        <f t="shared" si="467"/>
        <v>-7.2497811301932179E-6</v>
      </c>
      <c r="L482" s="91">
        <f t="shared" si="468"/>
        <v>2.1948451090225807E-4</v>
      </c>
    </row>
    <row r="483" spans="1:12">
      <c r="A483" s="20">
        <f t="shared" si="435"/>
        <v>1.5125518403374709</v>
      </c>
      <c r="B483" s="26">
        <f t="shared" si="458"/>
        <v>5.8211560414111768E-2</v>
      </c>
      <c r="C483" s="26">
        <f t="shared" si="459"/>
        <v>6.8385748195434637</v>
      </c>
      <c r="D483" s="26">
        <f t="shared" si="460"/>
        <v>0.67358421239314337</v>
      </c>
      <c r="E483" s="26">
        <f t="shared" si="461"/>
        <v>0.99830426936588534</v>
      </c>
      <c r="F483" s="77">
        <f t="shared" si="462"/>
        <v>2.0160081185625713E-4</v>
      </c>
      <c r="G483" s="77">
        <f t="shared" si="463"/>
        <v>1.3789115015149385</v>
      </c>
      <c r="H483" s="81">
        <f t="shared" si="464"/>
        <v>4.249193427145459E-2</v>
      </c>
      <c r="I483" s="81">
        <f t="shared" si="465"/>
        <v>2.0315592458125633</v>
      </c>
      <c r="J483" s="77">
        <f t="shared" si="466"/>
        <v>-1.8486704870011311E-4</v>
      </c>
      <c r="K483" s="77">
        <f t="shared" si="467"/>
        <v>-1.0779678805561683E-5</v>
      </c>
      <c r="L483" s="91">
        <f t="shared" si="468"/>
        <v>1.8518106590642862E-4</v>
      </c>
    </row>
    <row r="484" spans="1:12">
      <c r="A484" s="20">
        <f t="shared" si="435"/>
        <v>1.4873443096651797</v>
      </c>
      <c r="B484" s="26">
        <f t="shared" si="458"/>
        <v>8.3355187552096435E-2</v>
      </c>
      <c r="C484" s="26">
        <f t="shared" si="459"/>
        <v>6.8637184466814487</v>
      </c>
      <c r="D484" s="26">
        <f t="shared" si="460"/>
        <v>0.56751227210542765</v>
      </c>
      <c r="E484" s="26">
        <f t="shared" si="461"/>
        <v>0.99651990080888742</v>
      </c>
      <c r="F484" s="77">
        <f t="shared" si="462"/>
        <v>1.707837102122144E-4</v>
      </c>
      <c r="G484" s="77">
        <f t="shared" si="463"/>
        <v>1.3789540041394024</v>
      </c>
      <c r="H484" s="81">
        <f t="shared" si="464"/>
        <v>4.2491927032966226E-2</v>
      </c>
      <c r="I484" s="81">
        <f t="shared" si="465"/>
        <v>2.0315592453040145</v>
      </c>
      <c r="J484" s="77">
        <f t="shared" si="466"/>
        <v>-1.5575531153332877E-4</v>
      </c>
      <c r="K484" s="77">
        <f t="shared" si="467"/>
        <v>-1.3028353166411786E-5</v>
      </c>
      <c r="L484" s="91">
        <f t="shared" si="468"/>
        <v>1.5629924842133135E-4</v>
      </c>
    </row>
    <row r="485" spans="1:12">
      <c r="A485" s="20">
        <f t="shared" si="435"/>
        <v>1.4621367789928885</v>
      </c>
      <c r="B485" s="26">
        <f t="shared" si="458"/>
        <v>0.10844585197448396</v>
      </c>
      <c r="C485" s="26">
        <f t="shared" si="459"/>
        <v>6.8888091111038356</v>
      </c>
      <c r="D485" s="26">
        <f t="shared" si="460"/>
        <v>0.47797096512168069</v>
      </c>
      <c r="E485" s="26">
        <f t="shared" si="461"/>
        <v>0.99410235750124254</v>
      </c>
      <c r="F485" s="77">
        <f t="shared" si="462"/>
        <v>1.4471457229761752E-4</v>
      </c>
      <c r="G485" s="77">
        <f t="shared" si="463"/>
        <v>1.3789899584219201</v>
      </c>
      <c r="H485" s="81">
        <f t="shared" si="464"/>
        <v>4.2491921874859728E-2</v>
      </c>
      <c r="I485" s="81">
        <f t="shared" si="465"/>
        <v>2.0315592448106878</v>
      </c>
      <c r="J485" s="77">
        <f t="shared" si="466"/>
        <v>-1.3118045236312198E-4</v>
      </c>
      <c r="K485" s="77">
        <f t="shared" si="467"/>
        <v>-1.4310373385166417E-5</v>
      </c>
      <c r="L485" s="91">
        <f t="shared" si="468"/>
        <v>1.3195869758608636E-4</v>
      </c>
    </row>
    <row r="486" spans="1:12">
      <c r="A486" s="20">
        <f t="shared" si="435"/>
        <v>1.4369292483205973</v>
      </c>
      <c r="B486" s="26">
        <f t="shared" si="458"/>
        <v>0.13346761142545358</v>
      </c>
      <c r="C486" s="26">
        <f t="shared" si="459"/>
        <v>6.9138308705548059</v>
      </c>
      <c r="D486" s="26">
        <f t="shared" si="460"/>
        <v>0.40236703312707783</v>
      </c>
      <c r="E486" s="26">
        <f t="shared" si="461"/>
        <v>0.99105317551601846</v>
      </c>
      <c r="F486" s="77">
        <f t="shared" si="462"/>
        <v>1.2264275210239532E-4</v>
      </c>
      <c r="G486" s="77">
        <f t="shared" si="463"/>
        <v>1.3790203996456218</v>
      </c>
      <c r="H486" s="81">
        <f t="shared" si="464"/>
        <v>4.2491918197550715E-2</v>
      </c>
      <c r="I486" s="81">
        <f t="shared" si="465"/>
        <v>2.0315592443651891</v>
      </c>
      <c r="J486" s="77">
        <f t="shared" si="466"/>
        <v>-1.1043074427790835E-4</v>
      </c>
      <c r="K486" s="77">
        <f t="shared" si="467"/>
        <v>-1.487198470357888E-5</v>
      </c>
      <c r="L486" s="91">
        <f t="shared" si="468"/>
        <v>1.1142766806676101E-4</v>
      </c>
    </row>
    <row r="487" spans="1:12">
      <c r="A487" s="20">
        <f t="shared" si="435"/>
        <v>1.4117217176483061</v>
      </c>
      <c r="B487" s="26">
        <f t="shared" si="458"/>
        <v>0.15840456743043563</v>
      </c>
      <c r="C487" s="26">
        <f t="shared" si="459"/>
        <v>6.9387678265597881</v>
      </c>
      <c r="D487" s="26">
        <f t="shared" si="460"/>
        <v>0.33852358847554009</v>
      </c>
      <c r="E487" s="26">
        <f t="shared" si="461"/>
        <v>0.98737429226062823</v>
      </c>
      <c r="F487" s="77">
        <f t="shared" si="462"/>
        <v>1.0394106904118552E-4</v>
      </c>
      <c r="G487" s="77">
        <f t="shared" si="463"/>
        <v>1.3790461928114159</v>
      </c>
      <c r="H487" s="81">
        <f t="shared" si="464"/>
        <v>4.2491915575306016E-2</v>
      </c>
      <c r="I487" s="81">
        <f t="shared" si="465"/>
        <v>2.0315592439802144</v>
      </c>
      <c r="J487" s="77">
        <f t="shared" si="466"/>
        <v>-9.2908734446879018E-5</v>
      </c>
      <c r="K487" s="77">
        <f t="shared" si="467"/>
        <v>-1.4905358591898932E-5</v>
      </c>
      <c r="L487" s="91">
        <f t="shared" si="468"/>
        <v>9.4096772799463096E-5</v>
      </c>
    </row>
    <row r="488" spans="1:12">
      <c r="A488" s="20">
        <f t="shared" si="435"/>
        <v>1.3865141869760149</v>
      </c>
      <c r="B488" s="26">
        <f t="shared" si="458"/>
        <v>0.18324087539777922</v>
      </c>
      <c r="C488" s="26">
        <f t="shared" si="459"/>
        <v>6.9636041345271309</v>
      </c>
      <c r="D488" s="26">
        <f t="shared" si="460"/>
        <v>0.28461080142812772</v>
      </c>
      <c r="E488" s="26">
        <f t="shared" si="461"/>
        <v>0.98306804524582914</v>
      </c>
      <c r="F488" s="77">
        <f t="shared" si="462"/>
        <v>8.8084516727925401E-5</v>
      </c>
      <c r="G488" s="77">
        <f t="shared" si="463"/>
        <v>1.3790680620026217</v>
      </c>
      <c r="H488" s="81">
        <f t="shared" si="464"/>
        <v>4.2491913705378637E-2</v>
      </c>
      <c r="I488" s="81">
        <f t="shared" si="465"/>
        <v>2.0315592436573446</v>
      </c>
      <c r="J488" s="77">
        <f t="shared" si="466"/>
        <v>-7.8112221041016003E-5</v>
      </c>
      <c r="K488" s="77">
        <f t="shared" si="467"/>
        <v>-1.4559878974848949E-5</v>
      </c>
      <c r="L488" s="91">
        <f t="shared" si="468"/>
        <v>7.9457593417638767E-5</v>
      </c>
    </row>
    <row r="489" spans="1:12">
      <c r="A489" s="20">
        <f t="shared" si="435"/>
        <v>1.3613066563037237</v>
      </c>
      <c r="B489" s="26">
        <f t="shared" si="458"/>
        <v>0.20796075468618314</v>
      </c>
      <c r="C489" s="26">
        <f t="shared" si="459"/>
        <v>6.9883240138155349</v>
      </c>
      <c r="D489" s="26">
        <f t="shared" si="460"/>
        <v>0.23908864327959081</v>
      </c>
      <c r="E489" s="26">
        <f t="shared" si="461"/>
        <v>0.97813717060050076</v>
      </c>
      <c r="F489" s="77">
        <f t="shared" si="462"/>
        <v>7.4632831766789762E-5</v>
      </c>
      <c r="G489" s="77">
        <f t="shared" si="463"/>
        <v>1.3790866144259131</v>
      </c>
      <c r="H489" s="81">
        <f t="shared" si="464"/>
        <v>4.2491912372198681E-2</v>
      </c>
      <c r="I489" s="81">
        <f t="shared" si="465"/>
        <v>2.0315592433923846</v>
      </c>
      <c r="J489" s="77">
        <f t="shared" si="466"/>
        <v>-6.561853892593103E-5</v>
      </c>
      <c r="K489" s="77">
        <f t="shared" si="467"/>
        <v>-1.3951091203357157E-5</v>
      </c>
      <c r="L489" s="91">
        <f t="shared" si="468"/>
        <v>6.7085211459294925E-5</v>
      </c>
    </row>
    <row r="490" spans="1:12">
      <c r="A490" s="20">
        <f t="shared" si="435"/>
        <v>1.3360991256314325</v>
      </c>
      <c r="B490" s="26">
        <f t="shared" ref="B490:B500" si="469">COS(A490)</f>
        <v>0.23254849863149366</v>
      </c>
      <c r="C490" s="26">
        <f t="shared" ref="C490:C500" si="470">($C$438+B490)</f>
        <v>7.012911757760846</v>
      </c>
      <c r="D490" s="26">
        <f t="shared" ref="D490:D500" si="471">POWER(TAN(A490/2),$C$438)</f>
        <v>0.20065948728010685</v>
      </c>
      <c r="E490" s="26">
        <f t="shared" ref="E490:E500" si="472">SIN(A490)</f>
        <v>0.97258480133314762</v>
      </c>
      <c r="F490" s="77">
        <f t="shared" ref="F490:F500" si="473">(C490*$H$438*D490/E490/$I$438/$J$438)</f>
        <v>6.3216186960428529E-5</v>
      </c>
      <c r="G490" s="77">
        <f t="shared" ref="G490:G500" si="474">$D$438*($C$438+$G$438)/9.81/SIN($C$435)/(1-$C$438*$C$438)*(F490-1)</f>
        <v>1.3791023601430945</v>
      </c>
      <c r="H490" s="81">
        <f t="shared" ref="H490:H500" si="475">-(-$H$435+$K$438*((POWER(TAN(A490/2),2*$C$438-1)/(2*$C$438-1))+(POWER(TAN(A490/2),2*$C$438+1)/(2*$C$438+1))-(POWER(TAN($E$438/2),2*$C$438-1)/(2*$C$438-1))-(POWER(TAN($E$438/2),2*$C$438+1)/(2*$C$438+1))))</f>
        <v>4.2491911422101292E-2</v>
      </c>
      <c r="I490" s="81">
        <f t="shared" ref="I490:I500" si="476">-(-$I$435+0.5*$K$438*((POWER(TAN(A490/2),2*$C$438-2)/(2*$C$438-2))-(POWER(TAN(A490/2),2*$C$438+2)/(2*$C$438+2))-(POWER(TAN($E$438/2),2*$C$438-2)/(2*$C$438-2))+(POWER(TAN($E$438/2),2*$C$438+2)/(2*$C$438+2))))</f>
        <v>2.031559243178533</v>
      </c>
      <c r="J490" s="77">
        <f t="shared" ref="J490:J500" si="477">-$D$438*SIN(A490)*($C$438+$G$438)/($C$438+B490)*F490</f>
        <v>-5.5071550853837725E-5</v>
      </c>
      <c r="K490" s="77">
        <f t="shared" ref="K490:K500" si="478">-$D$438*COS(A490)*($C$438+$G$438)/($C$438+B490)*F490</f>
        <v>-1.3167804443184069E-5</v>
      </c>
      <c r="L490" s="91">
        <f t="shared" ref="L490:L500" si="479">SQRT(J490*J490+K490*K490)</f>
        <v>5.6623906499823668E-5</v>
      </c>
    </row>
    <row r="491" spans="1:12">
      <c r="A491" s="20">
        <f t="shared" si="435"/>
        <v>1.3108915949591413</v>
      </c>
      <c r="B491" s="26">
        <f t="shared" si="469"/>
        <v>0.25698848452649853</v>
      </c>
      <c r="C491" s="26">
        <f t="shared" si="470"/>
        <v>7.0373517436558508</v>
      </c>
      <c r="D491" s="26">
        <f t="shared" si="471"/>
        <v>0.16822878955761469</v>
      </c>
      <c r="E491" s="26">
        <f t="shared" si="472"/>
        <v>0.9664144653412291</v>
      </c>
      <c r="F491" s="77">
        <f t="shared" si="473"/>
        <v>5.3523420466557001E-5</v>
      </c>
      <c r="G491" s="77">
        <f t="shared" si="474"/>
        <v>1.3791157283053268</v>
      </c>
      <c r="H491" s="81">
        <f t="shared" si="475"/>
        <v>4.2491910745451722E-2</v>
      </c>
      <c r="I491" s="81">
        <f t="shared" si="476"/>
        <v>2.031559243008203</v>
      </c>
      <c r="J491" s="77">
        <f t="shared" si="477"/>
        <v>-4.6170856234018834E-5</v>
      </c>
      <c r="K491" s="77">
        <f t="shared" si="478"/>
        <v>-1.2277732586175453E-5</v>
      </c>
      <c r="L491" s="91">
        <f t="shared" si="479"/>
        <v>4.7775419232488903E-5</v>
      </c>
    </row>
    <row r="492" spans="1:12">
      <c r="A492" s="20">
        <f t="shared" si="435"/>
        <v>1.2856840642868501</v>
      </c>
      <c r="B492" s="26">
        <f t="shared" si="469"/>
        <v>0.28126518354737562</v>
      </c>
      <c r="C492" s="26">
        <f t="shared" si="470"/>
        <v>7.061628442676728</v>
      </c>
      <c r="D492" s="26">
        <f t="shared" si="471"/>
        <v>0.14087240834401796</v>
      </c>
      <c r="E492" s="26">
        <f t="shared" si="472"/>
        <v>0.9596300831695832</v>
      </c>
      <c r="F492" s="77">
        <f t="shared" si="473"/>
        <v>4.5292328741841033E-5</v>
      </c>
      <c r="G492" s="77">
        <f t="shared" si="474"/>
        <v>1.3791270805409959</v>
      </c>
      <c r="H492" s="81">
        <f t="shared" si="475"/>
        <v>4.2491910263975696E-2</v>
      </c>
      <c r="I492" s="81">
        <f t="shared" si="476"/>
        <v>2.031559242874013</v>
      </c>
      <c r="J492" s="77">
        <f t="shared" si="477"/>
        <v>-3.8662821804136586E-5</v>
      </c>
      <c r="K492" s="77">
        <f t="shared" si="478"/>
        <v>-1.1331976625078606E-5</v>
      </c>
      <c r="L492" s="91">
        <f t="shared" si="479"/>
        <v>4.0289297388881668E-5</v>
      </c>
    </row>
    <row r="493" spans="1:12">
      <c r="A493" s="20">
        <f t="shared" si="435"/>
        <v>1.2604765336145589</v>
      </c>
      <c r="B493" s="26">
        <f t="shared" si="469"/>
        <v>0.30536317062048957</v>
      </c>
      <c r="C493" s="26">
        <f t="shared" si="470"/>
        <v>7.0857264297498421</v>
      </c>
      <c r="D493" s="26">
        <f t="shared" si="471"/>
        <v>0.11780938934973299</v>
      </c>
      <c r="E493" s="26">
        <f t="shared" si="472"/>
        <v>0.9522359655193674</v>
      </c>
      <c r="F493" s="77">
        <f t="shared" si="473"/>
        <v>3.8301643345034945E-5</v>
      </c>
      <c r="G493" s="77">
        <f t="shared" si="474"/>
        <v>1.3791367220212234</v>
      </c>
      <c r="H493" s="81">
        <f t="shared" si="475"/>
        <v>4.2491909921762105E-2</v>
      </c>
      <c r="I493" s="81">
        <f t="shared" si="476"/>
        <v>2.0315592427692719</v>
      </c>
      <c r="J493" s="77">
        <f t="shared" si="477"/>
        <v>-3.2333112501063373E-5</v>
      </c>
      <c r="K493" s="77">
        <f t="shared" si="478"/>
        <v>-1.0368587311201372E-5</v>
      </c>
      <c r="L493" s="91">
        <f t="shared" si="479"/>
        <v>3.3954937296900237E-5</v>
      </c>
    </row>
    <row r="494" spans="1:12">
      <c r="A494" s="20">
        <f t="shared" si="435"/>
        <v>1.2352690029422677</v>
      </c>
      <c r="B494" s="26">
        <f t="shared" si="469"/>
        <v>0.32926713422326703</v>
      </c>
      <c r="C494" s="26">
        <f t="shared" si="470"/>
        <v>7.109630393352619</v>
      </c>
      <c r="D494" s="26">
        <f t="shared" si="471"/>
        <v>9.8379261899885412E-2</v>
      </c>
      <c r="E494" s="26">
        <f t="shared" si="472"/>
        <v>0.94423681050909947</v>
      </c>
      <c r="F494" s="77">
        <f t="shared" si="473"/>
        <v>3.2364385036851277E-5</v>
      </c>
      <c r="G494" s="77">
        <f t="shared" si="474"/>
        <v>1.3791449106258213</v>
      </c>
      <c r="H494" s="81">
        <f t="shared" si="475"/>
        <v>4.2491909678863127E-2</v>
      </c>
      <c r="I494" s="81">
        <f t="shared" si="476"/>
        <v>2.0315592426881786</v>
      </c>
      <c r="J494" s="77">
        <f t="shared" si="477"/>
        <v>-2.7000460322713509E-5</v>
      </c>
      <c r="K494" s="77">
        <f t="shared" si="478"/>
        <v>-9.4153967460509519E-6</v>
      </c>
      <c r="L494" s="91">
        <f t="shared" si="479"/>
        <v>2.8595009241543765E-5</v>
      </c>
    </row>
    <row r="495" spans="1:12">
      <c r="A495" s="20">
        <f t="shared" si="435"/>
        <v>1.2100614722699765</v>
      </c>
      <c r="B495" s="26">
        <f t="shared" si="469"/>
        <v>0.35296188611292284</v>
      </c>
      <c r="C495" s="26">
        <f t="shared" si="470"/>
        <v>7.1333251452422752</v>
      </c>
      <c r="D495" s="26">
        <f t="shared" si="471"/>
        <v>8.2023065246217622E-2</v>
      </c>
      <c r="E495" s="26">
        <f t="shared" si="472"/>
        <v>0.93563770068953944</v>
      </c>
      <c r="F495" s="77">
        <f t="shared" si="473"/>
        <v>2.7322347145132254E-5</v>
      </c>
      <c r="G495" s="77">
        <f t="shared" si="474"/>
        <v>1.3791518645517784</v>
      </c>
      <c r="H495" s="81">
        <f t="shared" si="475"/>
        <v>4.2491909506735814E-2</v>
      </c>
      <c r="I495" s="81">
        <f t="shared" si="476"/>
        <v>2.0315592426258489</v>
      </c>
      <c r="J495" s="77">
        <f t="shared" si="477"/>
        <v>-2.2511456946907828E-5</v>
      </c>
      <c r="K495" s="77">
        <f t="shared" si="478"/>
        <v>-8.4922682115894765E-6</v>
      </c>
      <c r="L495" s="91">
        <f t="shared" si="479"/>
        <v>2.406001482231584E-5</v>
      </c>
    </row>
    <row r="496" spans="1:12">
      <c r="A496" s="20">
        <f t="shared" si="435"/>
        <v>1.1848539415976853</v>
      </c>
      <c r="B496" s="26">
        <f t="shared" si="469"/>
        <v>0.37643237097685639</v>
      </c>
      <c r="C496" s="26">
        <f t="shared" si="470"/>
        <v>7.1567956301062088</v>
      </c>
      <c r="D496" s="26">
        <f t="shared" si="471"/>
        <v>6.8267465796849558E-2</v>
      </c>
      <c r="E496" s="26">
        <f t="shared" si="472"/>
        <v>0.92644409981430742</v>
      </c>
      <c r="F496" s="77">
        <f t="shared" si="473"/>
        <v>2.3041506994770234E-5</v>
      </c>
      <c r="G496" s="77">
        <f t="shared" si="474"/>
        <v>1.3791577686417673</v>
      </c>
      <c r="H496" s="81">
        <f t="shared" si="475"/>
        <v>4.2491909384989146E-2</v>
      </c>
      <c r="I496" s="81">
        <f t="shared" si="476"/>
        <v>2.0315592425782589</v>
      </c>
      <c r="J496" s="77">
        <f t="shared" si="477"/>
        <v>-1.873619466118585E-5</v>
      </c>
      <c r="K496" s="77">
        <f t="shared" si="478"/>
        <v>-7.6128826130014356E-6</v>
      </c>
      <c r="L496" s="91">
        <f t="shared" si="479"/>
        <v>2.0223772448808574E-5</v>
      </c>
    </row>
    <row r="497" spans="1:16">
      <c r="A497" s="20">
        <f t="shared" si="435"/>
        <v>1.1596464109253941</v>
      </c>
      <c r="B497" s="26">
        <f t="shared" si="469"/>
        <v>0.39966367599858588</v>
      </c>
      <c r="C497" s="26">
        <f t="shared" si="470"/>
        <v>7.1800269351279375</v>
      </c>
      <c r="D497" s="26">
        <f t="shared" si="471"/>
        <v>5.6711440561982449E-2</v>
      </c>
      <c r="E497" s="26">
        <f t="shared" si="472"/>
        <v>0.91666184936829209</v>
      </c>
      <c r="F497" s="77">
        <f t="shared" si="473"/>
        <v>1.9408201776276854E-5</v>
      </c>
      <c r="G497" s="77">
        <f t="shared" si="474"/>
        <v>1.3791627796583465</v>
      </c>
      <c r="H497" s="81">
        <f t="shared" si="475"/>
        <v>4.2491909299062269E-2</v>
      </c>
      <c r="I497" s="81">
        <f t="shared" si="476"/>
        <v>2.0315592425421487</v>
      </c>
      <c r="J497" s="77">
        <f t="shared" si="477"/>
        <v>-1.5564611597675711E-5</v>
      </c>
      <c r="K497" s="77">
        <f t="shared" si="478"/>
        <v>-6.786155539149105E-6</v>
      </c>
      <c r="L497" s="91">
        <f t="shared" si="479"/>
        <v>1.697966552049908E-5</v>
      </c>
    </row>
    <row r="498" spans="1:16">
      <c r="A498" s="20">
        <f t="shared" si="435"/>
        <v>1.1344388802531029</v>
      </c>
      <c r="B498" s="26">
        <f t="shared" si="469"/>
        <v>0.42264104033314237</v>
      </c>
      <c r="C498" s="26">
        <f t="shared" si="470"/>
        <v>7.2030042994624948</v>
      </c>
      <c r="D498" s="26">
        <f t="shared" si="471"/>
        <v>4.7015095198135369E-2</v>
      </c>
      <c r="E498" s="26">
        <f t="shared" si="472"/>
        <v>0.90629716485605272</v>
      </c>
      <c r="F498" s="77">
        <f t="shared" si="473"/>
        <v>1.6325935456523784E-5</v>
      </c>
      <c r="G498" s="77">
        <f t="shared" si="474"/>
        <v>1.3791670306878365</v>
      </c>
      <c r="H498" s="81">
        <f t="shared" si="475"/>
        <v>4.2491909238563719E-2</v>
      </c>
      <c r="I498" s="81">
        <f t="shared" si="476"/>
        <v>2.0315592425149109</v>
      </c>
      <c r="J498" s="77">
        <f t="shared" si="477"/>
        <v>-1.2903422814430881E-5</v>
      </c>
      <c r="K498" s="77">
        <f t="shared" si="478"/>
        <v>-6.0173597067531973E-6</v>
      </c>
      <c r="L498" s="91">
        <f t="shared" si="479"/>
        <v>1.4237518680178519E-5</v>
      </c>
    </row>
    <row r="499" spans="1:16">
      <c r="A499" s="20">
        <f t="shared" si="435"/>
        <v>1.1092313495808117</v>
      </c>
      <c r="B499" s="26">
        <f t="shared" si="469"/>
        <v>0.4453498644859033</v>
      </c>
      <c r="C499" s="26">
        <f t="shared" si="470"/>
        <v>7.2257131236152556</v>
      </c>
      <c r="D499" s="26">
        <f t="shared" si="471"/>
        <v>3.8890260852049469E-2</v>
      </c>
      <c r="E499" s="26">
        <f t="shared" si="472"/>
        <v>0.89535663185257508</v>
      </c>
      <c r="F499" s="77">
        <f t="shared" si="473"/>
        <v>1.3712707719955048E-5</v>
      </c>
      <c r="G499" s="77">
        <f t="shared" si="474"/>
        <v>1.3791706348242154</v>
      </c>
      <c r="H499" s="81">
        <f t="shared" si="475"/>
        <v>4.2491909196084587E-2</v>
      </c>
      <c r="I499" s="81">
        <f t="shared" si="476"/>
        <v>2.0315592424944833</v>
      </c>
      <c r="J499" s="77">
        <f t="shared" si="477"/>
        <v>-1.0673539573251904E-5</v>
      </c>
      <c r="K499" s="77">
        <f t="shared" si="478"/>
        <v>-5.3090123347802956E-6</v>
      </c>
      <c r="L499" s="91">
        <f t="shared" si="479"/>
        <v>1.1920992366100391E-5</v>
      </c>
    </row>
    <row r="500" spans="1:16">
      <c r="A500" s="20">
        <f t="shared" si="435"/>
        <v>1.0840238189085205</v>
      </c>
      <c r="B500" s="26">
        <f t="shared" si="469"/>
        <v>0.46777571958890657</v>
      </c>
      <c r="C500" s="26">
        <f t="shared" si="470"/>
        <v>7.2481389787182584</v>
      </c>
      <c r="D500" s="26">
        <f t="shared" si="471"/>
        <v>3.2092575903993018E-2</v>
      </c>
      <c r="E500" s="26">
        <f t="shared" si="472"/>
        <v>0.88384720181888943</v>
      </c>
      <c r="F500" s="77">
        <f t="shared" si="473"/>
        <v>1.1498775649094955E-5</v>
      </c>
      <c r="G500" s="77">
        <f t="shared" si="474"/>
        <v>1.3791736882561858</v>
      </c>
      <c r="H500" s="81">
        <f t="shared" si="475"/>
        <v>4.2491909166348041E-2</v>
      </c>
      <c r="I500" s="81">
        <f t="shared" si="476"/>
        <v>2.0315592424792488</v>
      </c>
      <c r="J500" s="77">
        <f t="shared" si="477"/>
        <v>-8.8078961522524306E-6</v>
      </c>
      <c r="K500" s="77">
        <f t="shared" si="478"/>
        <v>-4.6615749330940384E-6</v>
      </c>
      <c r="L500" s="91">
        <f t="shared" si="479"/>
        <v>9.9654059368253462E-6</v>
      </c>
    </row>
    <row r="501" spans="1:16">
      <c r="A501" s="20">
        <f t="shared" si="435"/>
        <v>1.0588162882362293</v>
      </c>
      <c r="B501" s="26">
        <f t="shared" si="458"/>
        <v>0.48990435656875042</v>
      </c>
      <c r="C501" s="26">
        <f t="shared" si="459"/>
        <v>7.2702676156981028</v>
      </c>
      <c r="D501" s="26">
        <f t="shared" si="460"/>
        <v>2.64148093583347E-2</v>
      </c>
      <c r="E501" s="26">
        <f t="shared" si="461"/>
        <v>0.87177618768521004</v>
      </c>
      <c r="F501" s="77">
        <f t="shared" si="462"/>
        <v>9.6247748414088927E-6</v>
      </c>
      <c r="G501" s="77">
        <f t="shared" si="463"/>
        <v>1.3791762728585113</v>
      </c>
      <c r="H501" s="81">
        <f t="shared" si="464"/>
        <v>4.2491909145601525E-2</v>
      </c>
      <c r="I501" s="81">
        <f t="shared" si="465"/>
        <v>2.0315592424679516</v>
      </c>
      <c r="J501" s="77">
        <f t="shared" si="466"/>
        <v>-7.2496174319497317E-6</v>
      </c>
      <c r="K501" s="77">
        <f t="shared" si="467"/>
        <v>-4.07400341227419E-6</v>
      </c>
      <c r="L501" s="91">
        <f t="shared" si="468"/>
        <v>8.3159158673504611E-6</v>
      </c>
    </row>
    <row r="502" spans="1:16">
      <c r="A502" s="20">
        <f t="shared" si="435"/>
        <v>1.0336087575639381</v>
      </c>
      <c r="B502" s="26">
        <f t="shared" si="447"/>
        <v>0.51172171520025489</v>
      </c>
      <c r="C502" s="26">
        <f t="shared" si="448"/>
        <v>7.2920849743296072</v>
      </c>
      <c r="D502" s="26">
        <f t="shared" si="449"/>
        <v>2.1681224162354223E-2</v>
      </c>
      <c r="E502" s="26">
        <f t="shared" si="450"/>
        <v>0.85915125920440183</v>
      </c>
      <c r="F502" s="77">
        <f t="shared" si="451"/>
        <v>8.0401396533290918E-6</v>
      </c>
      <c r="G502" s="77">
        <f t="shared" si="452"/>
        <v>1.3791784583707989</v>
      </c>
      <c r="H502" s="81">
        <f t="shared" si="453"/>
        <v>4.2491909131180505E-2</v>
      </c>
      <c r="I502" s="81">
        <f t="shared" si="454"/>
        <v>2.0315592424596209</v>
      </c>
      <c r="J502" s="77">
        <f t="shared" si="455"/>
        <v>-5.9504718925339324E-6</v>
      </c>
      <c r="K502" s="77">
        <f t="shared" si="456"/>
        <v>-3.5441788049267524E-6</v>
      </c>
      <c r="L502" s="91">
        <f t="shared" si="457"/>
        <v>6.9259886763644353E-6</v>
      </c>
    </row>
    <row r="503" spans="1:16">
      <c r="A503" s="20">
        <f t="shared" si="435"/>
        <v>1.0084012268916469</v>
      </c>
      <c r="B503" s="26">
        <f t="shared" si="447"/>
        <v>0.53321393304013076</v>
      </c>
      <c r="C503" s="26">
        <f t="shared" si="448"/>
        <v>7.3135771921694825</v>
      </c>
      <c r="D503" s="26">
        <f t="shared" si="449"/>
        <v>1.77428128649872E-2</v>
      </c>
      <c r="E503" s="26">
        <f t="shared" si="450"/>
        <v>0.84598043807872703</v>
      </c>
      <c r="F503" s="77">
        <f t="shared" si="451"/>
        <v>6.7017728472870614E-6</v>
      </c>
      <c r="G503" s="77">
        <f t="shared" si="452"/>
        <v>1.3791803042323081</v>
      </c>
      <c r="H503" s="81">
        <f t="shared" si="453"/>
        <v>4.2491909121196936E-2</v>
      </c>
      <c r="I503" s="81">
        <f t="shared" si="454"/>
        <v>2.0315592424535129</v>
      </c>
      <c r="J503" s="77">
        <f t="shared" si="455"/>
        <v>-4.8695640272431823E-6</v>
      </c>
      <c r="K503" s="77">
        <f t="shared" si="456"/>
        <v>-3.0692428220372668E-6</v>
      </c>
      <c r="L503" s="91">
        <f t="shared" si="457"/>
        <v>5.7561189456132784E-6</v>
      </c>
    </row>
    <row r="504" spans="1:16">
      <c r="A504" s="20">
        <f t="shared" si="435"/>
        <v>0.98319369621935571</v>
      </c>
      <c r="B504" s="26">
        <f t="shared" si="447"/>
        <v>0.55436735423498229</v>
      </c>
      <c r="C504" s="26">
        <f t="shared" si="448"/>
        <v>7.334730613364334</v>
      </c>
      <c r="D504" s="26">
        <f t="shared" si="449"/>
        <v>1.447326613260866E-2</v>
      </c>
      <c r="E504" s="26">
        <f t="shared" si="450"/>
        <v>0.83227209286296855</v>
      </c>
      <c r="F504" s="77">
        <f t="shared" si="451"/>
        <v>5.5729235601972312E-6</v>
      </c>
      <c r="G504" s="77">
        <f t="shared" si="452"/>
        <v>1.3791818611294453</v>
      </c>
      <c r="H504" s="81">
        <f t="shared" si="453"/>
        <v>4.2491909114315995E-2</v>
      </c>
      <c r="I504" s="81">
        <f t="shared" si="454"/>
        <v>2.0315592424490609</v>
      </c>
      <c r="J504" s="77">
        <f t="shared" si="455"/>
        <v>-3.9722278903784738E-6</v>
      </c>
      <c r="K504" s="77">
        <f t="shared" si="456"/>
        <v>-2.6458576286422305E-6</v>
      </c>
      <c r="L504" s="91">
        <f t="shared" si="457"/>
        <v>4.7727515129267842E-6</v>
      </c>
    </row>
    <row r="505" spans="1:16">
      <c r="A505" s="20">
        <f t="shared" si="435"/>
        <v>0.95798616554706451</v>
      </c>
      <c r="B505" s="26">
        <f t="shared" si="447"/>
        <v>0.57516853819804381</v>
      </c>
      <c r="C505" s="26">
        <f t="shared" si="448"/>
        <v>7.3555317973273961</v>
      </c>
      <c r="D505" s="26">
        <f t="shared" si="449"/>
        <v>1.1765557828977209E-2</v>
      </c>
      <c r="E505" s="26">
        <f t="shared" si="450"/>
        <v>0.81803493364716728</v>
      </c>
      <c r="F505" s="77">
        <f t="shared" si="451"/>
        <v>4.6222395842076493E-6</v>
      </c>
      <c r="G505" s="77">
        <f t="shared" si="452"/>
        <v>1.3791831723028478</v>
      </c>
      <c r="H505" s="81">
        <f t="shared" si="453"/>
        <v>4.2491909109596271E-2</v>
      </c>
      <c r="I505" s="81">
        <f t="shared" si="454"/>
        <v>2.031559242445836</v>
      </c>
      <c r="J505" s="77">
        <f t="shared" si="455"/>
        <v>-3.2290898630563966E-6</v>
      </c>
      <c r="K505" s="77">
        <f t="shared" si="456"/>
        <v>-2.2704053578295504E-6</v>
      </c>
      <c r="L505" s="91">
        <f t="shared" si="457"/>
        <v>3.9473740426459085E-6</v>
      </c>
    </row>
    <row r="506" spans="1:16">
      <c r="A506" s="20">
        <f t="shared" si="435"/>
        <v>0.9327786348747733</v>
      </c>
      <c r="B506" s="26">
        <f t="shared" si="447"/>
        <v>0.59560426814914036</v>
      </c>
      <c r="C506" s="26">
        <f t="shared" si="448"/>
        <v>7.3759675272784921</v>
      </c>
      <c r="D506" s="26">
        <f t="shared" si="449"/>
        <v>9.5290495378549077E-3</v>
      </c>
      <c r="E506" s="26">
        <f t="shared" si="450"/>
        <v>0.80327800652235393</v>
      </c>
      <c r="F506" s="77">
        <f t="shared" si="451"/>
        <v>3.822965750524549E-6</v>
      </c>
      <c r="G506" s="77">
        <f t="shared" si="452"/>
        <v>1.3791842746529646</v>
      </c>
      <c r="H506" s="81">
        <f t="shared" si="453"/>
        <v>4.2491909106376013E-2</v>
      </c>
      <c r="I506" s="81">
        <f t="shared" si="454"/>
        <v>2.0315592424435143</v>
      </c>
      <c r="J506" s="77">
        <f t="shared" si="455"/>
        <v>-2.615273981439808E-6</v>
      </c>
      <c r="K506" s="77">
        <f t="shared" si="456"/>
        <v>-1.9391397910526488E-6</v>
      </c>
      <c r="L506" s="91">
        <f t="shared" si="457"/>
        <v>3.2557520064095387E-6</v>
      </c>
    </row>
    <row r="507" spans="1:16">
      <c r="A507" s="20">
        <v>0.01</v>
      </c>
      <c r="B507" s="26">
        <f t="shared" si="436"/>
        <v>0.99995000041666526</v>
      </c>
      <c r="C507" s="26">
        <f t="shared" si="437"/>
        <v>7.7803132595460172</v>
      </c>
      <c r="D507" s="26">
        <f t="shared" si="438"/>
        <v>2.5015275966153728E-16</v>
      </c>
      <c r="E507" s="26">
        <f t="shared" si="439"/>
        <v>9.9998333341666645E-3</v>
      </c>
      <c r="F507" s="77">
        <f t="shared" si="440"/>
        <v>8.5036881022097201E-18</v>
      </c>
      <c r="G507" s="77">
        <f t="shared" si="441"/>
        <v>1.3791895472473672</v>
      </c>
      <c r="H507" s="113">
        <f t="shared" si="442"/>
        <v>4.2491909099868275E-2</v>
      </c>
      <c r="I507" s="113">
        <f t="shared" si="443"/>
        <v>2.0315592424380267</v>
      </c>
      <c r="J507" s="77">
        <f t="shared" si="444"/>
        <v>-6.8655116245251002E-20</v>
      </c>
      <c r="K507" s="77">
        <f t="shared" si="445"/>
        <v>-6.8652827726119332E-18</v>
      </c>
      <c r="L507" s="91">
        <f t="shared" si="446"/>
        <v>6.8656260510538178E-18</v>
      </c>
    </row>
    <row r="508" spans="1:16">
      <c r="G508" s="124" t="s">
        <v>67</v>
      </c>
      <c r="H508" s="365">
        <f>SQRT(H507*H507+POWER((I507-Yloch),2))</f>
        <v>5.2929652579755439E-2</v>
      </c>
      <c r="I508" s="365"/>
    </row>
    <row r="509" spans="1:16">
      <c r="A509" s="94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</row>
  </sheetData>
  <mergeCells count="2">
    <mergeCell ref="A1:C1"/>
    <mergeCell ref="H508:I508"/>
  </mergeCells>
  <conditionalFormatting sqref="AB36:AQ36">
    <cfRule type="cellIs" dxfId="1" priority="1" operator="greaterThan">
      <formula>0.01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G80"/>
  <sheetViews>
    <sheetView workbookViewId="0">
      <selection activeCell="AJ53" sqref="AJ53:AW55"/>
    </sheetView>
  </sheetViews>
  <sheetFormatPr baseColWidth="10" defaultRowHeight="15"/>
  <cols>
    <col min="1" max="51" width="5.7109375" customWidth="1"/>
    <col min="52" max="52" width="11.42578125" customWidth="1"/>
  </cols>
  <sheetData>
    <row r="1" spans="1:51">
      <c r="A1" s="369" t="s">
        <v>90</v>
      </c>
      <c r="B1" s="369"/>
      <c r="C1" s="369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29"/>
      <c r="AJ1" s="29"/>
      <c r="AK1" s="29"/>
      <c r="AL1" s="29"/>
      <c r="AM1" s="29"/>
      <c r="AN1" s="29"/>
      <c r="AO1" s="29"/>
      <c r="AP1" s="94"/>
      <c r="AQ1" s="94"/>
      <c r="AR1" s="94"/>
      <c r="AS1" s="94"/>
      <c r="AT1" s="94"/>
      <c r="AU1" s="94"/>
      <c r="AV1" s="94"/>
      <c r="AW1" s="94"/>
      <c r="AX1" s="94"/>
      <c r="AY1" s="94"/>
    </row>
    <row r="2" spans="1:51">
      <c r="H2" s="3" t="s">
        <v>57</v>
      </c>
      <c r="I2" s="3" t="s">
        <v>51</v>
      </c>
      <c r="J2" s="3" t="s">
        <v>58</v>
      </c>
      <c r="K2" s="3" t="s">
        <v>59</v>
      </c>
    </row>
    <row r="3" spans="1:51">
      <c r="A3" s="88" t="s">
        <v>69</v>
      </c>
      <c r="B3" s="88"/>
      <c r="C3" s="146">
        <v>0.01</v>
      </c>
      <c r="H3" s="146">
        <v>2</v>
      </c>
      <c r="I3" s="146">
        <v>-2</v>
      </c>
      <c r="J3" s="146">
        <v>-1</v>
      </c>
      <c r="K3" s="146">
        <v>3</v>
      </c>
    </row>
    <row r="4" spans="1:51">
      <c r="H4" s="1" t="s">
        <v>8</v>
      </c>
      <c r="I4" s="1" t="s">
        <v>8</v>
      </c>
      <c r="J4" s="1" t="s">
        <v>9</v>
      </c>
      <c r="K4" s="1" t="s">
        <v>9</v>
      </c>
    </row>
    <row r="5" spans="1:51">
      <c r="A5" s="86" t="s">
        <v>68</v>
      </c>
      <c r="B5" s="86"/>
      <c r="C5" s="26" t="s">
        <v>15</v>
      </c>
      <c r="D5" s="26" t="s">
        <v>55</v>
      </c>
      <c r="E5" s="26" t="s">
        <v>12</v>
      </c>
      <c r="F5" s="26" t="s">
        <v>10</v>
      </c>
      <c r="G5" s="26" t="s">
        <v>14</v>
      </c>
      <c r="H5" s="26" t="s">
        <v>21</v>
      </c>
      <c r="I5" s="26" t="s">
        <v>16</v>
      </c>
      <c r="J5" s="26" t="s">
        <v>17</v>
      </c>
      <c r="K5" s="26" t="s">
        <v>23</v>
      </c>
    </row>
    <row r="6" spans="1:51">
      <c r="C6" s="23">
        <f>Mü/TAN($C$3)</f>
        <v>6.9997666651110961</v>
      </c>
      <c r="D6" s="42">
        <f>SQRT($J$3*$J$3+$K$3*$K$3)</f>
        <v>3.1622776601683795</v>
      </c>
      <c r="E6" s="20">
        <f>ATAN($J$3/$K$3)+PI()</f>
        <v>2.819842099193151</v>
      </c>
      <c r="F6" s="23">
        <f>($E$6-0.0001)/20</f>
        <v>0.14098710495965755</v>
      </c>
      <c r="G6" s="23">
        <f>COS($E$6)</f>
        <v>-0.94868329805051377</v>
      </c>
      <c r="H6" s="23">
        <f>SIN($E$6)</f>
        <v>0.316227766016838</v>
      </c>
      <c r="I6" s="23">
        <f>$C$6+$G$6</f>
        <v>6.0510833670605821</v>
      </c>
      <c r="J6" s="23">
        <f>POWER(TAN($E$6/2),$C$6)</f>
        <v>337290.85476477706</v>
      </c>
      <c r="K6" s="23">
        <f>-$D$6*$D$6*SIN($E$6)*SIN($E$6)/(2*9.81*SIN($C$3)*POWER(TAN($E$6/2),2*$C$6))</f>
        <v>-4.4802175533512572E-11</v>
      </c>
      <c r="W6" s="3" t="s">
        <v>57</v>
      </c>
      <c r="X6" s="3" t="s">
        <v>51</v>
      </c>
      <c r="Y6" s="3" t="s">
        <v>58</v>
      </c>
      <c r="Z6" s="3" t="s">
        <v>59</v>
      </c>
    </row>
    <row r="7" spans="1:51">
      <c r="N7" s="371" t="s">
        <v>5</v>
      </c>
      <c r="O7" s="366"/>
      <c r="P7" s="372"/>
      <c r="W7" s="146">
        <v>2</v>
      </c>
      <c r="X7" s="146">
        <v>-2</v>
      </c>
      <c r="Y7" s="146">
        <v>-1</v>
      </c>
      <c r="Z7" s="146">
        <v>1</v>
      </c>
    </row>
    <row r="8" spans="1:51">
      <c r="A8" s="26" t="s">
        <v>11</v>
      </c>
      <c r="B8" s="26" t="s">
        <v>13</v>
      </c>
      <c r="C8" s="26" t="s">
        <v>22</v>
      </c>
      <c r="D8" s="26" t="s">
        <v>18</v>
      </c>
      <c r="E8" s="26" t="s">
        <v>19</v>
      </c>
      <c r="F8" s="26" t="s">
        <v>20</v>
      </c>
      <c r="G8" s="26" t="s">
        <v>2</v>
      </c>
      <c r="H8" s="26" t="s">
        <v>65</v>
      </c>
      <c r="I8" s="26" t="s">
        <v>66</v>
      </c>
      <c r="J8" s="76" t="s">
        <v>3</v>
      </c>
      <c r="K8" s="76" t="s">
        <v>4</v>
      </c>
      <c r="L8" s="44" t="s">
        <v>7</v>
      </c>
      <c r="N8" s="201" t="s">
        <v>74</v>
      </c>
      <c r="O8" s="202"/>
      <c r="P8" s="203"/>
    </row>
    <row r="9" spans="1:51">
      <c r="A9" s="86" t="s">
        <v>60</v>
      </c>
      <c r="B9" s="86"/>
      <c r="O9" s="370">
        <v>0.01</v>
      </c>
      <c r="P9" s="370"/>
      <c r="Q9" s="368">
        <v>0.02</v>
      </c>
      <c r="R9" s="368"/>
      <c r="S9" s="370">
        <v>0.03</v>
      </c>
      <c r="T9" s="370"/>
      <c r="U9" s="368">
        <v>0.04</v>
      </c>
      <c r="V9" s="368"/>
      <c r="W9" s="370">
        <v>0.05</v>
      </c>
      <c r="X9" s="370"/>
      <c r="Y9" s="368">
        <v>0.06</v>
      </c>
      <c r="Z9" s="368"/>
      <c r="AA9" s="370">
        <v>0.08</v>
      </c>
      <c r="AB9" s="370"/>
      <c r="AC9" s="368">
        <v>0.1</v>
      </c>
      <c r="AD9" s="368"/>
      <c r="AE9" s="370">
        <v>0.15</v>
      </c>
      <c r="AF9" s="370"/>
      <c r="AG9" s="368">
        <v>0.2</v>
      </c>
      <c r="AH9" s="368"/>
    </row>
    <row r="10" spans="1:51">
      <c r="A10" s="26" t="s">
        <v>11</v>
      </c>
      <c r="B10" s="26" t="s">
        <v>13</v>
      </c>
      <c r="C10" s="26" t="s">
        <v>22</v>
      </c>
      <c r="D10" s="26" t="s">
        <v>18</v>
      </c>
      <c r="E10" s="26" t="s">
        <v>19</v>
      </c>
      <c r="F10" s="26" t="s">
        <v>20</v>
      </c>
      <c r="G10" s="26" t="s">
        <v>2</v>
      </c>
      <c r="H10" s="26" t="s">
        <v>1</v>
      </c>
      <c r="I10" s="26" t="s">
        <v>0</v>
      </c>
      <c r="J10" s="76" t="s">
        <v>3</v>
      </c>
      <c r="K10" s="76" t="s">
        <v>4</v>
      </c>
      <c r="L10" s="44" t="s">
        <v>7</v>
      </c>
      <c r="N10" s="26" t="s">
        <v>11</v>
      </c>
      <c r="O10" s="26">
        <f>O9</f>
        <v>0.01</v>
      </c>
      <c r="P10" s="26">
        <f>O9</f>
        <v>0.01</v>
      </c>
      <c r="Q10" s="192">
        <f>Q9</f>
        <v>0.02</v>
      </c>
      <c r="R10" s="192">
        <f>Q9</f>
        <v>0.02</v>
      </c>
      <c r="S10" s="26">
        <f>S9</f>
        <v>0.03</v>
      </c>
      <c r="T10" s="26">
        <f>S9</f>
        <v>0.03</v>
      </c>
      <c r="U10" s="192">
        <f>U9</f>
        <v>0.04</v>
      </c>
      <c r="V10" s="192">
        <f>U9</f>
        <v>0.04</v>
      </c>
      <c r="W10" s="26">
        <f>W9</f>
        <v>0.05</v>
      </c>
      <c r="X10" s="26">
        <f>W9</f>
        <v>0.05</v>
      </c>
      <c r="Y10" s="192">
        <f>Y9</f>
        <v>0.06</v>
      </c>
      <c r="Z10" s="192">
        <f>Y9</f>
        <v>0.06</v>
      </c>
      <c r="AA10" s="26">
        <f>AA9</f>
        <v>0.08</v>
      </c>
      <c r="AB10" s="26">
        <f>AA9</f>
        <v>0.08</v>
      </c>
      <c r="AC10" s="192">
        <f>AC9</f>
        <v>0.1</v>
      </c>
      <c r="AD10" s="192">
        <f>AC9</f>
        <v>0.1</v>
      </c>
      <c r="AE10" s="26">
        <f>AE9</f>
        <v>0.15</v>
      </c>
      <c r="AF10" s="26">
        <f>AE9</f>
        <v>0.15</v>
      </c>
      <c r="AG10" s="192">
        <f>AG9</f>
        <v>0.2</v>
      </c>
      <c r="AH10" s="192">
        <f>AG9</f>
        <v>0.2</v>
      </c>
    </row>
    <row r="11" spans="1:51">
      <c r="A11" s="20">
        <f t="shared" ref="A11:A46" si="0">N11</f>
        <v>3.1414926535897929</v>
      </c>
      <c r="B11" s="23">
        <f>COS(A11)</f>
        <v>-0.99999999500000003</v>
      </c>
      <c r="C11" s="23">
        <f>($C$6+B11)</f>
        <v>5.9997666701110965</v>
      </c>
      <c r="D11" s="23">
        <f>POWER(TAN(A11/2),$C$6)</f>
        <v>1.2770455461113584E+30</v>
      </c>
      <c r="E11" s="23">
        <f>SIN(A11)</f>
        <v>9.9999999833666885E-5</v>
      </c>
      <c r="F11" s="71">
        <f>(C11*$H$6*D11/E11/$I$6/$J$6)</f>
        <v>1.1871430278699634E+28</v>
      </c>
      <c r="G11" s="71">
        <f>$D$6*($C$6+$G$6)/9.81/SIN($C$3)/(1-$C$6*$C$6)*(F11-1)</f>
        <v>-4.8246157797770741E+28</v>
      </c>
      <c r="H11" s="98">
        <f>-(-$H$3+$K$6*((POWER(TAN(A11/2),2*$C$6-1)/(2*$C$6-1))+(POWER(TAN(A11/2),2*$C$6+1)/(2*$C$6+1))-(POWER(TAN($E$6/2),2*$C$6-1)/(2*$C$6-1))-(POWER(TAN($E$6/2),2*$C$6+1)/(2*$C$6+1))))</f>
        <v>9.7423589310796198E+52</v>
      </c>
      <c r="I11" s="98">
        <f>-(-$I$3+0.5*$K$6*((POWER(TAN(A11/2),2*$C$6-2)/(2*$C$6-2))-(POWER(TAN(A11/2),2*$C$6+2)/(2*$C$6+2))-(POWER(TAN($E$6/2),2*$C$6-2)/(2*$C$6-2))+(POWER(TAN($E$6/2),2*$C$6+2)/(2*$C$6+2))))</f>
        <v>-9.1334437037538427E+56</v>
      </c>
      <c r="J11" s="71">
        <f>-$D$6*SIN(A11)*($C$6+$G$6)/($C$6+B11)*F11</f>
        <v>-3.7861849145063728E+24</v>
      </c>
      <c r="K11" s="71">
        <f>-$D$6*COS(A11)*($C$6+$G$6)/($C$6+B11)*F11</f>
        <v>3.786184901873127E+28</v>
      </c>
      <c r="L11" s="72">
        <f>SQRT(J11*J11+K11*K11)</f>
        <v>3.7861849208040516E+28</v>
      </c>
      <c r="N11" s="2">
        <f>PI()-0.0001</f>
        <v>3.1414926535897929</v>
      </c>
      <c r="O11" s="2">
        <v>4.8527988831292952E+58</v>
      </c>
      <c r="P11" s="2">
        <v>-4.54949008943866E+62</v>
      </c>
      <c r="Q11" s="193">
        <v>1.6920518661524797E+31</v>
      </c>
      <c r="R11" s="193">
        <v>-1.5040265975385904E+35</v>
      </c>
      <c r="S11" s="191">
        <v>1.1422349099158737E+22</v>
      </c>
      <c r="T11" s="191">
        <v>-9.7086367874758602E+25</v>
      </c>
      <c r="U11" s="194">
        <v>2.8835649992119808E+17</v>
      </c>
      <c r="V11" s="194">
        <v>-2.3591024229023844E+21</v>
      </c>
      <c r="W11" s="3">
        <v>492031733629581.87</v>
      </c>
      <c r="X11" s="3">
        <v>-3.8947525792176804E+18</v>
      </c>
      <c r="Y11" s="194">
        <v>6911086035216.0928</v>
      </c>
      <c r="Z11" s="194">
        <v>-5.3151885465317248E+16</v>
      </c>
      <c r="AA11" s="3">
        <v>32305208615.186153</v>
      </c>
      <c r="AB11" s="3">
        <v>-236818974290373.72</v>
      </c>
      <c r="AC11" s="194">
        <v>1250110251.497633</v>
      </c>
      <c r="AD11" s="194">
        <v>-8819250615717.9609</v>
      </c>
      <c r="AE11" s="3">
        <v>15090683.515864303</v>
      </c>
      <c r="AF11" s="3">
        <v>-99338059810.492264</v>
      </c>
      <c r="AG11" s="194">
        <v>1542619.763991798</v>
      </c>
      <c r="AH11" s="194">
        <v>-9692907017.3424625</v>
      </c>
    </row>
    <row r="12" spans="1:51">
      <c r="A12" s="20">
        <f t="shared" si="0"/>
        <v>3.0630528372500483</v>
      </c>
      <c r="B12" s="23">
        <f>COS(A12)</f>
        <v>-0.99691733373312796</v>
      </c>
      <c r="C12" s="23">
        <f>($C$6+B12)</f>
        <v>6.0028493313779681</v>
      </c>
      <c r="D12" s="23">
        <f>POWER(TAN(A12/2),$C$6)</f>
        <v>6913365465.178977</v>
      </c>
      <c r="E12" s="23">
        <f>SIN(A12)</f>
        <v>7.8459095727845068E-2</v>
      </c>
      <c r="F12" s="71">
        <f>(C12*$H$6*D12/E12/$I$6/$J$6)</f>
        <v>81953.207932927427</v>
      </c>
      <c r="G12" s="71">
        <f>$D$6*($C$6+$G$6)/9.81/SIN($C$3)/(1-$C$6*$C$6)*(F12-1)</f>
        <v>-333058.36474497948</v>
      </c>
      <c r="H12" s="99">
        <f>-(-$H$3+$K$6*((POWER(TAN(A12/2),2*$C$6-1)/(2*$C$6-1))+(POWER(TAN(A12/2),2*$C$6+1)/(2*$C$6+1))-(POWER(TAN($E$6/2),2*$C$6-1)/(2*$C$6-1))-(POWER(TAN($E$6/2),2*$C$6+1)/(2*$C$6+1))))</f>
        <v>3639905091.1848621</v>
      </c>
      <c r="I12" s="99">
        <f>-(-$I$3+0.5*$K$6*((POWER(TAN(A12/2),2*$C$6-2)/(2*$C$6-2))-(POWER(TAN(A12/2),2*$C$6+2)/(2*$C$6+2))-(POWER(TAN($E$6/2),2*$C$6-2)/(2*$C$6-2))+(POWER(TAN($E$6/2),2*$C$6+2)/(2*$C$6+2))))</f>
        <v>-43348394849.954559</v>
      </c>
      <c r="J12" s="71">
        <f>-$D$6*SIN(A12)*($C$6+$G$6)/($C$6+B12)*F12</f>
        <v>-20496.747443687091</v>
      </c>
      <c r="K12" s="71">
        <f>-$D$6*COS(A12)*($C$6+$G$6)/($C$6+B12)*F12</f>
        <v>260435.86944515331</v>
      </c>
      <c r="L12" s="42">
        <f>SQRT(J12*J12+K12*K12)</f>
        <v>261241.18884552494</v>
      </c>
      <c r="N12" s="2">
        <f>N11-PI()/40+0.0001</f>
        <v>3.0630528372500483</v>
      </c>
      <c r="O12" s="2">
        <v>1813085258603372</v>
      </c>
      <c r="P12" s="2">
        <v>-2.1592413461779064E+16</v>
      </c>
      <c r="Q12" s="193">
        <v>117355486.94104557</v>
      </c>
      <c r="R12" s="193">
        <v>-1324759845.6075308</v>
      </c>
      <c r="S12" s="191">
        <v>452970.92559690273</v>
      </c>
      <c r="T12" s="191">
        <v>-4887889.9331689151</v>
      </c>
      <c r="U12" s="194">
        <v>27393.560185816794</v>
      </c>
      <c r="V12" s="194">
        <v>-284398.73182736832</v>
      </c>
      <c r="W12" s="3">
        <v>4989.6605098792952</v>
      </c>
      <c r="X12" s="3">
        <v>-50088.731553472477</v>
      </c>
      <c r="Y12" s="194">
        <v>1579.769950143067</v>
      </c>
      <c r="Z12" s="194">
        <v>-15392.289629132534</v>
      </c>
      <c r="AA12" s="3">
        <v>364.52740425900066</v>
      </c>
      <c r="AB12" s="3">
        <v>-3372.7717004849142</v>
      </c>
      <c r="AC12" s="194">
        <v>147.42445970302904</v>
      </c>
      <c r="AD12" s="194">
        <v>-1304.3353343106769</v>
      </c>
      <c r="AE12" s="3">
        <v>41.81738254457283</v>
      </c>
      <c r="AF12" s="3">
        <v>-336.2111177104976</v>
      </c>
      <c r="AG12" s="194">
        <v>21.459523873820423</v>
      </c>
      <c r="AH12" s="194">
        <v>-158.81602925569541</v>
      </c>
    </row>
    <row r="13" spans="1:51">
      <c r="A13" s="20">
        <f t="shared" si="0"/>
        <v>2.9845130209103035</v>
      </c>
      <c r="B13" s="23">
        <f>COS(A13)</f>
        <v>-0.98768834059513766</v>
      </c>
      <c r="C13" s="23">
        <f>($C$6+B13)</f>
        <v>6.0120783245159588</v>
      </c>
      <c r="D13" s="23">
        <f>POWER(TAN(A13/2),$C$6)</f>
        <v>53438386.501981437</v>
      </c>
      <c r="E13" s="23">
        <f>SIN(A13)</f>
        <v>0.15643446504023098</v>
      </c>
      <c r="F13" s="71">
        <f>(C13*$H$6*D13/E13/$I$6/$J$6)</f>
        <v>318.2056033414583</v>
      </c>
      <c r="G13" s="71">
        <f>$D$6*($C$6+$G$6)/9.81/SIN($C$3)/(1-$C$6*$C$6)*(F13-1)</f>
        <v>-1289.1413447129664</v>
      </c>
      <c r="H13" s="99">
        <f>-(-$H$3+$K$6*((POWER(TAN(A13/2),2*$C$6-1)/(2*$C$6-1))+(POWER(TAN(A13/2),2*$C$6+1)/(2*$C$6+1))-(POWER(TAN($E$6/2),2*$C$6-1)/(2*$C$6-1))-(POWER(TAN($E$6/2),2*$C$6+1)/(2*$C$6+1))))</f>
        <v>109153.10031564429</v>
      </c>
      <c r="I13" s="99">
        <f>-(-$I$3+0.5*$K$6*((POWER(TAN(A13/2),2*$C$6-2)/(2*$C$6-2))-(POWER(TAN(A13/2),2*$C$6+2)/(2*$C$6+2))-(POWER(TAN($E$6/2),2*$C$6-2)/(2*$C$6-2))+(POWER(TAN($E$6/2),2*$C$6+2)/(2*$C$6+2))))</f>
        <v>-645468.75843149109</v>
      </c>
      <c r="J13" s="77">
        <f>-$D$6*SIN(A13)*($C$6+$G$6)/($C$6+B13)*F13</f>
        <v>-158.43413999246673</v>
      </c>
      <c r="K13" s="77">
        <f>-$D$6*COS(A13)*($C$6+$G$6)/($C$6+B13)*F13</f>
        <v>1000.3137913536739</v>
      </c>
      <c r="L13" s="42">
        <f>SQRT(J13*J13+K13*K13)</f>
        <v>1012.7828285903715</v>
      </c>
      <c r="N13" s="2">
        <f t="shared" ref="N13:N46" si="1">N12-PI()/40</f>
        <v>2.9845130209103035</v>
      </c>
      <c r="O13" s="2">
        <v>54370693163.15313</v>
      </c>
      <c r="P13" s="2">
        <v>-321518608787.27777</v>
      </c>
      <c r="Q13" s="193">
        <v>455887.34958273289</v>
      </c>
      <c r="R13" s="193">
        <v>-2553185.5080488743</v>
      </c>
      <c r="S13" s="191">
        <v>8912.6919590274483</v>
      </c>
      <c r="T13" s="191">
        <v>-47662.518041262811</v>
      </c>
      <c r="U13" s="194">
        <v>1214.916194101698</v>
      </c>
      <c r="V13" s="194">
        <v>-6239.840764034695</v>
      </c>
      <c r="W13" s="3">
        <v>361.23587685981948</v>
      </c>
      <c r="X13" s="3">
        <v>-1788.6883053274405</v>
      </c>
      <c r="Y13" s="194">
        <v>159.05051686068848</v>
      </c>
      <c r="Z13" s="194">
        <v>-761.14575398330328</v>
      </c>
      <c r="AA13" s="3">
        <v>55.939840975557466</v>
      </c>
      <c r="AB13" s="3">
        <v>-251.20765055602428</v>
      </c>
      <c r="AC13" s="194">
        <v>29.46360456172194</v>
      </c>
      <c r="AD13" s="194">
        <v>-124.68818038805368</v>
      </c>
      <c r="AE13" s="3">
        <v>12.2701542594583</v>
      </c>
      <c r="AF13" s="3">
        <v>-45.452415962869004</v>
      </c>
      <c r="AG13" s="194">
        <v>7.8425550880859918</v>
      </c>
      <c r="AH13" s="194">
        <v>-25.941761567845298</v>
      </c>
    </row>
    <row r="14" spans="1:51">
      <c r="A14" s="20">
        <f t="shared" si="0"/>
        <v>2.9059732045705586</v>
      </c>
      <c r="B14" s="23">
        <f>COS(A14)</f>
        <v>-0.97236992039767656</v>
      </c>
      <c r="C14" s="23">
        <f>($C$6+B14)</f>
        <v>6.0273967447134194</v>
      </c>
      <c r="D14" s="23">
        <f>POWER(TAN(A14/2),$C$6)</f>
        <v>3071889.330688036</v>
      </c>
      <c r="E14" s="23">
        <f>SIN(A14)</f>
        <v>0.23344536385590553</v>
      </c>
      <c r="F14" s="71">
        <f>(C14*$H$6*D14/E14/$I$6/$J$6)</f>
        <v>12.288882423278128</v>
      </c>
      <c r="G14" s="71">
        <f>$D$6*($C$6+$G$6)/9.81/SIN($C$3)/(1-$C$6*$C$6)*(F14-1)</f>
        <v>-45.878650673726248</v>
      </c>
      <c r="H14" s="99">
        <f>-(-$H$3+$K$6*((POWER(TAN(A14/2),2*$C$6-1)/(2*$C$6-1))+(POWER(TAN(A14/2),2*$C$6+1)/(2*$C$6+1))-(POWER(TAN($E$6/2),2*$C$6-1)/(2*$C$6-1))-(POWER(TAN($E$6/2),2*$C$6+1)/(2*$C$6+1))))</f>
        <v>241.83346061052771</v>
      </c>
      <c r="I14" s="99">
        <f>-(-$I$3+0.5*$K$6*((POWER(TAN(A14/2),2*$C$6-2)/(2*$C$6-2))-(POWER(TAN(A14/2),2*$C$6+2)/(2*$C$6+2))-(POWER(TAN($E$6/2),2*$C$6-2)/(2*$C$6-2))+(POWER(TAN($E$6/2),2*$C$6+2)/(2*$C$6+2))))</f>
        <v>-938.85673356875918</v>
      </c>
      <c r="J14" s="71">
        <f>-$D$6*SIN(A14)*($C$6+$G$6)/($C$6+B14)*F14</f>
        <v>-9.1075381596999971</v>
      </c>
      <c r="K14" s="71">
        <f>-$D$6*COS(A14)*($C$6+$G$6)/($C$6+B14)*F14</f>
        <v>37.935626602688082</v>
      </c>
      <c r="L14" s="42">
        <f>SQRT(J14*J14+K14*K14)</f>
        <v>39.013574779414505</v>
      </c>
      <c r="N14" s="2">
        <f t="shared" si="1"/>
        <v>2.9059732045705586</v>
      </c>
      <c r="O14" s="2">
        <v>120538976.34419712</v>
      </c>
      <c r="P14" s="2">
        <v>-469670924.28924716</v>
      </c>
      <c r="Q14" s="193">
        <v>17612.106205952929</v>
      </c>
      <c r="R14" s="193">
        <v>-64895.963417562947</v>
      </c>
      <c r="S14" s="191">
        <v>894.72647491076827</v>
      </c>
      <c r="T14" s="191">
        <v>-3140.5437930041635</v>
      </c>
      <c r="U14" s="194">
        <v>197.45269707079271</v>
      </c>
      <c r="V14" s="194">
        <v>-662.82958218725923</v>
      </c>
      <c r="W14" s="3">
        <v>78.82574824449101</v>
      </c>
      <c r="X14" s="3">
        <v>-253.57839789190623</v>
      </c>
      <c r="Y14" s="194">
        <v>42.475529098090043</v>
      </c>
      <c r="Z14" s="194">
        <v>-131.12808793659079</v>
      </c>
      <c r="AA14" s="3">
        <v>19.475329017660851</v>
      </c>
      <c r="AB14" s="3">
        <v>-55.603850167316345</v>
      </c>
      <c r="AC14" s="194">
        <v>12.169204213907705</v>
      </c>
      <c r="AD14" s="194">
        <v>-32.34224153554544</v>
      </c>
      <c r="AE14" s="3">
        <v>6.5153370280795642</v>
      </c>
      <c r="AF14" s="3">
        <v>-14.915317752532824</v>
      </c>
      <c r="AG14" s="194">
        <v>4.7894452696366709</v>
      </c>
      <c r="AH14" s="194">
        <v>-9.7924410478714954</v>
      </c>
    </row>
    <row r="15" spans="1:51">
      <c r="A15" s="20">
        <f t="shared" si="0"/>
        <v>2.8274333882308138</v>
      </c>
      <c r="B15" s="23">
        <f>COS(A15)</f>
        <v>-0.95105651629515353</v>
      </c>
      <c r="C15" s="23">
        <f>($C$6+B15)</f>
        <v>6.0487101488159425</v>
      </c>
      <c r="D15" s="23">
        <f>POWER(TAN(A15/2),$C$6)</f>
        <v>399784.2356576462</v>
      </c>
      <c r="E15" s="23">
        <f>SIN(A15)</f>
        <v>0.30901699437494751</v>
      </c>
      <c r="F15" s="71">
        <f>(C15*$H$6*D15/E15/$I$6/$J$6)</f>
        <v>1.2124626594469818</v>
      </c>
      <c r="G15" s="71">
        <f>$D$6*($C$6+$G$6)/9.81/SIN($C$3)/(1-$C$6*$C$6)*(F15-1)</f>
        <v>-0.8634601520766314</v>
      </c>
      <c r="H15" s="99">
        <f>-(-$H$3+$K$6*((POWER(TAN(A15/2),2*$C$6-1)/(2*$C$6-1))+(POWER(TAN(A15/2),2*$C$6+1)/(2*$C$6+1))-(POWER(TAN($E$6/2),2*$C$6-1)/(2*$C$6-1))-(POWER(TAN($E$6/2),2*$C$6+1)/(2*$C$6+1))))</f>
        <v>2.9437584563066963</v>
      </c>
      <c r="I15" s="99">
        <f>-(-$I$3+0.5*$K$6*((POWER(TAN(A15/2),2*$C$6-2)/(2*$C$6-2))-(POWER(TAN(A15/2),2*$C$6+2)/(2*$C$6+2))-(POWER(TAN($E$6/2),2*$C$6-2)/(2*$C$6-2))+(POWER(TAN($E$6/2),2*$C$6+2)/(2*$C$6+2))))</f>
        <v>-4.8700050441972893</v>
      </c>
      <c r="J15" s="71">
        <f>-$D$6*SIN(A15)*($C$6+$G$6)/($C$6+B15)*F15</f>
        <v>-1.1852803893436468</v>
      </c>
      <c r="K15" s="71">
        <f>-$D$6*COS(A15)*($C$6+$G$6)/($C$6+B15)*F15</f>
        <v>3.6479179412196152</v>
      </c>
      <c r="L15" s="42">
        <f>SQRT(J15*J15+K15*K15)</f>
        <v>3.835647912313457</v>
      </c>
      <c r="N15" s="2">
        <f t="shared" si="1"/>
        <v>2.8274333882308138</v>
      </c>
      <c r="O15" s="2">
        <v>1544830.4698544047</v>
      </c>
      <c r="P15" s="2">
        <v>-4439681.5167838093</v>
      </c>
      <c r="Q15" s="193">
        <v>1738.9757460594039</v>
      </c>
      <c r="R15" s="193">
        <v>-4714.7684655781095</v>
      </c>
      <c r="S15" s="191">
        <v>175.52018913711697</v>
      </c>
      <c r="T15" s="191">
        <v>-451.187107581259</v>
      </c>
      <c r="U15" s="194">
        <v>55.094239680728435</v>
      </c>
      <c r="V15" s="194">
        <v>-134.5023897192869</v>
      </c>
      <c r="W15" s="3">
        <v>27.405334472831555</v>
      </c>
      <c r="X15" s="3">
        <v>-63.639880296599017</v>
      </c>
      <c r="Y15" s="194">
        <v>17.213029774739802</v>
      </c>
      <c r="Z15" s="194">
        <v>-38.110857560019085</v>
      </c>
      <c r="AA15" s="3">
        <v>9.6686168184645016</v>
      </c>
      <c r="AB15" s="3">
        <v>-19.641933245789584</v>
      </c>
      <c r="AC15" s="194">
        <v>6.8792918363169226</v>
      </c>
      <c r="AD15" s="194">
        <v>-12.991731592298837</v>
      </c>
      <c r="AE15" s="3">
        <v>4.4272996473787263</v>
      </c>
      <c r="AF15" s="3">
        <v>-7.3027563736200047</v>
      </c>
      <c r="AG15" s="194">
        <v>3.5830663134469649</v>
      </c>
      <c r="AH15" s="194">
        <v>-5.4016623950547338</v>
      </c>
    </row>
    <row r="16" spans="1:51">
      <c r="A16" s="20">
        <f t="shared" si="0"/>
        <v>2.748893571891069</v>
      </c>
      <c r="B16" s="23">
        <f t="shared" ref="B16:B54" si="2">COS(A16)</f>
        <v>-0.92387953251128674</v>
      </c>
      <c r="C16" s="23">
        <f t="shared" ref="C16:C54" si="3">($C$6+B16)</f>
        <v>6.0758871325998092</v>
      </c>
      <c r="D16" s="23">
        <f t="shared" ref="D16:D54" si="4">POWER(TAN(A16/2),$C$6)</f>
        <v>81134.179716762024</v>
      </c>
      <c r="E16" s="23">
        <f t="shared" ref="E16:E54" si="5">SIN(A16)</f>
        <v>0.38268343236508989</v>
      </c>
      <c r="F16" s="71">
        <f t="shared" ref="F16:F54" si="6">(C16*$H$6*D16/E16/$I$6/$J$6)</f>
        <v>0.19958880802524417</v>
      </c>
      <c r="G16" s="71">
        <f t="shared" ref="G16:G54" si="7">$D$6*($C$6+$G$6)/9.81/SIN($C$3)/(1-$C$6*$C$6)*(F16-1)</f>
        <v>3.2529159304758872</v>
      </c>
      <c r="H16" s="99">
        <f t="shared" ref="H16:H54" si="8">-(-$H$3+$K$6*((POWER(TAN(A16/2),2*$C$6-1)/(2*$C$6-1))+(POWER(TAN(A16/2),2*$C$6+1)/(2*$C$6+1))-(POWER(TAN($E$6/2),2*$C$6-1)/(2*$C$6-1))-(POWER(TAN($E$6/2),2*$C$6+1)/(2*$C$6+1))))</f>
        <v>-5.4242313486023708E-2</v>
      </c>
      <c r="I16" s="99">
        <f t="shared" ref="I16:I54" si="9">-(-$I$3+0.5*$K$6*((POWER(TAN(A16/2),2*$C$6-2)/(2*$C$6-2))-(POWER(TAN(A16/2),2*$C$6+2)/(2*$C$6+2))-(POWER(TAN($E$6/2),2*$C$6-2)/(2*$C$6-2))+(POWER(TAN($E$6/2),2*$C$6+2)/(2*$C$6+2))))</f>
        <v>3.8105326947291411</v>
      </c>
      <c r="J16" s="71">
        <f t="shared" ref="J16:J54" si="10">-$D$6*SIN(A16)*($C$6+$G$6)/($C$6+B16)*F16</f>
        <v>-0.24054663377500735</v>
      </c>
      <c r="K16" s="71">
        <f t="shared" ref="K16:K54" si="11">-$D$6*COS(A16)*($C$6+$G$6)/($C$6+B16)*F16</f>
        <v>0.58073094564281669</v>
      </c>
      <c r="L16" s="42">
        <f t="shared" ref="L16:L54" si="12">SQRT(J16*J16+K16*K16)</f>
        <v>0.62857864603221103</v>
      </c>
      <c r="N16" s="2">
        <f t="shared" si="1"/>
        <v>2.748893571891069</v>
      </c>
      <c r="O16" s="2">
        <v>51486.312634091759</v>
      </c>
      <c r="P16" s="2">
        <v>-115789.92723879844</v>
      </c>
      <c r="Q16" s="193">
        <v>287.18741565309142</v>
      </c>
      <c r="R16" s="193">
        <v>-606.78746623473444</v>
      </c>
      <c r="S16" s="191">
        <v>50.097973007253835</v>
      </c>
      <c r="T16" s="191">
        <v>-99.610815983657034</v>
      </c>
      <c r="U16" s="194">
        <v>20.962106051587437</v>
      </c>
      <c r="V16" s="194">
        <v>-39.29922167772677</v>
      </c>
      <c r="W16" s="3">
        <v>12.504225644391894</v>
      </c>
      <c r="X16" s="3">
        <v>-22.203630604512462</v>
      </c>
      <c r="Y16" s="194">
        <v>8.911615360206838</v>
      </c>
      <c r="Z16" s="194">
        <v>-15.074272966196796</v>
      </c>
      <c r="AA16" s="3">
        <v>5.9003600793769166</v>
      </c>
      <c r="AB16" s="3">
        <v>-9.2121676980516884</v>
      </c>
      <c r="AC16" s="194">
        <v>4.6473221043690751</v>
      </c>
      <c r="AD16" s="194">
        <v>-6.8238355860239031</v>
      </c>
      <c r="AE16" s="3">
        <v>3.42949048793119</v>
      </c>
      <c r="AF16" s="3">
        <v>-4.5512229482533488</v>
      </c>
      <c r="AG16" s="194">
        <v>2.969492263952374</v>
      </c>
      <c r="AH16" s="194">
        <v>-3.7114972394110906</v>
      </c>
    </row>
    <row r="17" spans="1:34">
      <c r="A17" s="20">
        <f t="shared" si="0"/>
        <v>2.6703537555513241</v>
      </c>
      <c r="B17" s="23">
        <f t="shared" si="2"/>
        <v>-0.89100652418836779</v>
      </c>
      <c r="C17" s="23">
        <f t="shared" si="3"/>
        <v>6.1087601409227279</v>
      </c>
      <c r="D17" s="23">
        <f t="shared" si="4"/>
        <v>21745.993377150298</v>
      </c>
      <c r="E17" s="23">
        <f t="shared" si="5"/>
        <v>0.45399049973954686</v>
      </c>
      <c r="F17" s="71">
        <f t="shared" si="6"/>
        <v>4.533648621129234E-2</v>
      </c>
      <c r="G17" s="71">
        <f t="shared" si="7"/>
        <v>3.8798060089411095</v>
      </c>
      <c r="H17" s="99">
        <f t="shared" si="8"/>
        <v>-0.15132827249360803</v>
      </c>
      <c r="I17" s="99">
        <f t="shared" si="9"/>
        <v>4.0315511811427696</v>
      </c>
      <c r="J17" s="71">
        <f t="shared" si="10"/>
        <v>-6.4472525922221413E-2</v>
      </c>
      <c r="K17" s="71">
        <f t="shared" si="11"/>
        <v>0.12653445669140484</v>
      </c>
      <c r="L17" s="42">
        <f t="shared" si="12"/>
        <v>0.14201294070957238</v>
      </c>
      <c r="N17" s="2">
        <f t="shared" si="1"/>
        <v>2.6703537555513241</v>
      </c>
      <c r="O17" s="2">
        <v>3126.5019586158242</v>
      </c>
      <c r="P17" s="2">
        <v>-5697.6722103614884</v>
      </c>
      <c r="Q17" s="193">
        <v>66.058289516162574</v>
      </c>
      <c r="R17" s="193">
        <v>-112.29766719476314</v>
      </c>
      <c r="S17" s="191">
        <v>18.413863509732746</v>
      </c>
      <c r="T17" s="191">
        <v>-29.245631852529396</v>
      </c>
      <c r="U17" s="194">
        <v>9.8838825456363164</v>
      </c>
      <c r="V17" s="194">
        <v>-14.784367469662032</v>
      </c>
      <c r="W17" s="3">
        <v>6.887414467340542</v>
      </c>
      <c r="X17" s="3">
        <v>-9.8014279635697683</v>
      </c>
      <c r="Y17" s="194">
        <v>5.4554504203062111</v>
      </c>
      <c r="Z17" s="194">
        <v>-7.454112470133043</v>
      </c>
      <c r="AA17" s="3">
        <v>4.1245206192390054</v>
      </c>
      <c r="AB17" s="3">
        <v>-5.3040458510716206</v>
      </c>
      <c r="AC17" s="194">
        <v>3.5144428810187529</v>
      </c>
      <c r="AD17" s="194">
        <v>-4.3334781954496684</v>
      </c>
      <c r="AE17" s="3">
        <v>2.8703678604170197</v>
      </c>
      <c r="AF17" s="3">
        <v>-3.3239745264754901</v>
      </c>
      <c r="AG17" s="194">
        <v>2.6081924692489054</v>
      </c>
      <c r="AH17" s="194">
        <v>-2.9190613490048909</v>
      </c>
    </row>
    <row r="18" spans="1:34">
      <c r="A18" s="20">
        <f t="shared" si="0"/>
        <v>2.5918139392115793</v>
      </c>
      <c r="B18" s="23">
        <f t="shared" si="2"/>
        <v>-0.85264016435409218</v>
      </c>
      <c r="C18" s="23">
        <f t="shared" si="3"/>
        <v>6.147126500757004</v>
      </c>
      <c r="D18" s="23">
        <f t="shared" si="4"/>
        <v>7043.9059339795394</v>
      </c>
      <c r="E18" s="23">
        <f t="shared" si="5"/>
        <v>0.52249856471594891</v>
      </c>
      <c r="F18" s="71">
        <f t="shared" si="6"/>
        <v>1.283993703536737E-2</v>
      </c>
      <c r="G18" s="71">
        <f t="shared" si="7"/>
        <v>4.0118738055433258</v>
      </c>
      <c r="H18" s="99">
        <f t="shared" si="8"/>
        <v>-0.15702921317105467</v>
      </c>
      <c r="I18" s="99">
        <f t="shared" si="9"/>
        <v>4.0421214546682149</v>
      </c>
      <c r="J18" s="71">
        <f t="shared" si="10"/>
        <v>-2.0883773854146991E-2</v>
      </c>
      <c r="K18" s="71">
        <f t="shared" si="11"/>
        <v>3.4079221597505871E-2</v>
      </c>
      <c r="L18" s="42">
        <f t="shared" si="12"/>
        <v>3.9969054968601196E-2</v>
      </c>
      <c r="M18" s="84"/>
      <c r="N18" s="2">
        <f t="shared" si="1"/>
        <v>2.5918139392115793</v>
      </c>
      <c r="O18" s="2">
        <v>286.78739379496773</v>
      </c>
      <c r="P18" s="2">
        <v>-432.47802879499449</v>
      </c>
      <c r="Q18" s="193">
        <v>19.466825195655822</v>
      </c>
      <c r="R18" s="193">
        <v>-27.152208624412275</v>
      </c>
      <c r="S18" s="191">
        <v>8.259538844929887</v>
      </c>
      <c r="T18" s="191">
        <v>-10.788466215197829</v>
      </c>
      <c r="U18" s="194">
        <v>5.5112104231853776</v>
      </c>
      <c r="V18" s="194">
        <v>-6.8583368383172827</v>
      </c>
      <c r="W18" s="3">
        <v>4.3763849014254017</v>
      </c>
      <c r="X18" s="3">
        <v>-5.2575315003336236</v>
      </c>
      <c r="Y18" s="194">
        <v>3.7768933234331765</v>
      </c>
      <c r="Z18" s="194">
        <v>-4.4200733460259798</v>
      </c>
      <c r="AA18" s="3">
        <v>3.1681081623037688</v>
      </c>
      <c r="AB18" s="3">
        <v>-3.577761622879513</v>
      </c>
      <c r="AC18" s="194">
        <v>2.8653019283266765</v>
      </c>
      <c r="AD18" s="194">
        <v>-3.1628111288876228</v>
      </c>
      <c r="AE18" s="3">
        <v>2.5223777819689359</v>
      </c>
      <c r="AF18" s="3">
        <v>-2.6971273813191101</v>
      </c>
      <c r="AG18" s="194">
        <v>2.3738010136358758</v>
      </c>
      <c r="AH18" s="194">
        <v>-2.4970880894226095</v>
      </c>
    </row>
    <row r="19" spans="1:34">
      <c r="A19" s="20">
        <f t="shared" si="0"/>
        <v>2.5132741228718345</v>
      </c>
      <c r="B19" s="23">
        <f t="shared" si="2"/>
        <v>-0.80901699437494734</v>
      </c>
      <c r="C19" s="23">
        <f t="shared" si="3"/>
        <v>6.1907496707361487</v>
      </c>
      <c r="D19" s="23">
        <f t="shared" si="4"/>
        <v>2614.8923259850967</v>
      </c>
      <c r="E19" s="23">
        <f t="shared" si="5"/>
        <v>0.58778525229247325</v>
      </c>
      <c r="F19" s="71">
        <f t="shared" si="6"/>
        <v>4.2671770848046629E-3</v>
      </c>
      <c r="G19" s="71">
        <f t="shared" si="7"/>
        <v>4.0467139823061347</v>
      </c>
      <c r="H19" s="99">
        <f t="shared" si="8"/>
        <v>-0.15753240444672034</v>
      </c>
      <c r="I19" s="99">
        <f t="shared" si="9"/>
        <v>4.042898128723408</v>
      </c>
      <c r="J19" s="71">
        <f t="shared" si="10"/>
        <v>-7.7526333401737044E-3</v>
      </c>
      <c r="K19" s="71">
        <f t="shared" si="11"/>
        <v>1.067058436545713E-2</v>
      </c>
      <c r="L19" s="42">
        <f t="shared" si="12"/>
        <v>1.3189567635351472E-2</v>
      </c>
      <c r="M19" s="84"/>
      <c r="N19" s="2">
        <f t="shared" si="1"/>
        <v>2.5132741228718345</v>
      </c>
      <c r="O19" s="2">
        <v>36.14111009460094</v>
      </c>
      <c r="P19" s="2">
        <v>-45.606326134616609</v>
      </c>
      <c r="Q19" s="193">
        <v>7.1744185387011949</v>
      </c>
      <c r="R19" s="193">
        <v>-8.408889809731221</v>
      </c>
      <c r="S19" s="191">
        <v>4.4169035428926318</v>
      </c>
      <c r="T19" s="191">
        <v>-4.9552094237951039</v>
      </c>
      <c r="U19" s="194">
        <v>3.5312191992244255</v>
      </c>
      <c r="V19" s="194">
        <v>-3.8594562744012562</v>
      </c>
      <c r="W19" s="3">
        <v>3.1104521174691508</v>
      </c>
      <c r="X19" s="3">
        <v>-3.3427947480447022</v>
      </c>
      <c r="Y19" s="194">
        <v>2.8679349043244216</v>
      </c>
      <c r="Z19" s="194">
        <v>-3.046531346836491</v>
      </c>
      <c r="AA19" s="3">
        <v>2.6018378495568699</v>
      </c>
      <c r="AB19" s="3">
        <v>-2.7230516373264111</v>
      </c>
      <c r="AC19" s="194">
        <v>2.4598210121487321</v>
      </c>
      <c r="AD19" s="194">
        <v>-2.5512183305613059</v>
      </c>
      <c r="AE19" s="3">
        <v>2.2889061935094328</v>
      </c>
      <c r="AF19" s="3">
        <v>-2.3453077917031422</v>
      </c>
      <c r="AG19" s="194">
        <v>2.2108011707109063</v>
      </c>
      <c r="AH19" s="194">
        <v>-2.2515783097909212</v>
      </c>
    </row>
    <row r="20" spans="1:34">
      <c r="A20" s="20">
        <f t="shared" si="0"/>
        <v>2.4347343065320897</v>
      </c>
      <c r="B20" s="23">
        <f t="shared" si="2"/>
        <v>-0.76040596560003093</v>
      </c>
      <c r="C20" s="23">
        <f t="shared" si="3"/>
        <v>6.2393606995110655</v>
      </c>
      <c r="D20" s="23">
        <f t="shared" si="4"/>
        <v>1074.9242464177009</v>
      </c>
      <c r="E20" s="23">
        <f t="shared" si="5"/>
        <v>0.64944804833018377</v>
      </c>
      <c r="F20" s="71">
        <f t="shared" si="6"/>
        <v>1.6000583989481813E-3</v>
      </c>
      <c r="G20" s="71">
        <f t="shared" si="7"/>
        <v>4.0575533020816215</v>
      </c>
      <c r="H20" s="99">
        <f t="shared" si="8"/>
        <v>-0.15759209411830977</v>
      </c>
      <c r="I20" s="99">
        <f t="shared" si="9"/>
        <v>4.0429758693974955</v>
      </c>
      <c r="J20" s="71">
        <f t="shared" si="10"/>
        <v>-3.1869356409539823E-3</v>
      </c>
      <c r="K20" s="71">
        <f t="shared" si="11"/>
        <v>3.7314222124395567E-3</v>
      </c>
      <c r="L20" s="42">
        <f t="shared" si="12"/>
        <v>4.9071448426829716E-3</v>
      </c>
      <c r="M20" s="84"/>
      <c r="N20" s="2">
        <f t="shared" si="1"/>
        <v>2.4347343065320897</v>
      </c>
      <c r="O20" s="2">
        <v>6.4088888048048833</v>
      </c>
      <c r="P20" s="2">
        <v>-6.8826598178466156</v>
      </c>
      <c r="Q20" s="193">
        <v>3.3496937603408448</v>
      </c>
      <c r="R20" s="193">
        <v>-3.4803614382310162</v>
      </c>
      <c r="S20" s="191">
        <v>2.7729062914292721</v>
      </c>
      <c r="T20" s="191">
        <v>-2.8448382050723744</v>
      </c>
      <c r="U20" s="194">
        <v>2.538486789440189</v>
      </c>
      <c r="V20" s="194">
        <v>-2.5875802196538809</v>
      </c>
      <c r="W20" s="3">
        <v>2.4124774975986405</v>
      </c>
      <c r="X20" s="3">
        <v>-2.4496105873263145</v>
      </c>
      <c r="Y20" s="194">
        <v>2.3340455722670894</v>
      </c>
      <c r="Z20" s="194">
        <v>-2.3638621864881695</v>
      </c>
      <c r="AA20" s="3">
        <v>2.2418757711882082</v>
      </c>
      <c r="AB20" s="3">
        <v>-2.2632333832068361</v>
      </c>
      <c r="AC20" s="194">
        <v>2.1895509887315634</v>
      </c>
      <c r="AD20" s="194">
        <v>-2.2061789616933876</v>
      </c>
      <c r="AE20" s="3">
        <v>2.1231162908894996</v>
      </c>
      <c r="AF20" s="3">
        <v>-2.1338213859264026</v>
      </c>
      <c r="AG20" s="194">
        <v>2.0913152152899248</v>
      </c>
      <c r="AH20" s="194">
        <v>-2.0992197286026837</v>
      </c>
    </row>
    <row r="21" spans="1:34">
      <c r="A21" s="20">
        <f t="shared" si="0"/>
        <v>2.3561944901923448</v>
      </c>
      <c r="B21" s="23">
        <f t="shared" si="2"/>
        <v>-0.70710678118654746</v>
      </c>
      <c r="C21" s="23">
        <f t="shared" si="3"/>
        <v>6.2926598839245482</v>
      </c>
      <c r="D21" s="23">
        <f t="shared" si="4"/>
        <v>477.90379852901759</v>
      </c>
      <c r="E21" s="23">
        <f t="shared" si="5"/>
        <v>0.70710678118654757</v>
      </c>
      <c r="F21" s="71">
        <f t="shared" si="6"/>
        <v>6.5894935447338482E-4</v>
      </c>
      <c r="G21" s="71">
        <f t="shared" si="7"/>
        <v>4.0613780219678262</v>
      </c>
      <c r="H21" s="99">
        <f t="shared" si="8"/>
        <v>-0.15760094529435431</v>
      </c>
      <c r="I21" s="99">
        <f t="shared" si="9"/>
        <v>4.0429856717045007</v>
      </c>
      <c r="J21" s="71">
        <f t="shared" si="10"/>
        <v>-1.4168892864358941E-3</v>
      </c>
      <c r="K21" s="71">
        <f t="shared" si="11"/>
        <v>1.4168892864358941E-3</v>
      </c>
      <c r="L21" s="42">
        <f t="shared" si="12"/>
        <v>2.0037840452587783E-3</v>
      </c>
      <c r="M21" s="84"/>
      <c r="N21" s="2">
        <f t="shared" si="1"/>
        <v>2.3561944901923448</v>
      </c>
      <c r="O21" s="146">
        <v>2</v>
      </c>
      <c r="P21" s="146">
        <v>-2</v>
      </c>
      <c r="Q21" s="146">
        <v>2</v>
      </c>
      <c r="R21" s="146">
        <v>-2</v>
      </c>
      <c r="S21" s="199">
        <v>2</v>
      </c>
      <c r="T21" s="199">
        <v>-2</v>
      </c>
      <c r="U21" s="200">
        <v>2</v>
      </c>
      <c r="V21" s="200">
        <v>-2</v>
      </c>
      <c r="W21" s="200">
        <v>2</v>
      </c>
      <c r="X21" s="200">
        <v>-2</v>
      </c>
      <c r="Y21" s="200">
        <v>2</v>
      </c>
      <c r="Z21" s="200">
        <v>-2</v>
      </c>
      <c r="AA21" s="200">
        <v>2</v>
      </c>
      <c r="AB21" s="200">
        <v>-2</v>
      </c>
      <c r="AC21" s="200">
        <v>2</v>
      </c>
      <c r="AD21" s="200">
        <v>-2</v>
      </c>
      <c r="AE21" s="200">
        <v>2</v>
      </c>
      <c r="AF21" s="200">
        <v>-2</v>
      </c>
      <c r="AG21" s="200">
        <v>2</v>
      </c>
      <c r="AH21" s="200">
        <v>-2</v>
      </c>
    </row>
    <row r="22" spans="1:34">
      <c r="A22" s="20">
        <f t="shared" si="0"/>
        <v>2.2776546738526</v>
      </c>
      <c r="B22" s="23">
        <f t="shared" si="2"/>
        <v>-0.64944804833018355</v>
      </c>
      <c r="C22" s="23">
        <f t="shared" si="3"/>
        <v>6.3503186167809123</v>
      </c>
      <c r="D22" s="23">
        <f t="shared" si="4"/>
        <v>225.92974554308515</v>
      </c>
      <c r="E22" s="23">
        <f t="shared" si="5"/>
        <v>0.76040596560003104</v>
      </c>
      <c r="F22" s="71">
        <f t="shared" si="6"/>
        <v>2.9233829610827712E-4</v>
      </c>
      <c r="G22" s="71">
        <f t="shared" si="7"/>
        <v>4.0628679498498963</v>
      </c>
      <c r="H22" s="99">
        <f t="shared" si="8"/>
        <v>-0.15760250645809926</v>
      </c>
      <c r="I22" s="99">
        <f t="shared" si="9"/>
        <v>4.0429871463055553</v>
      </c>
      <c r="J22" s="71">
        <f t="shared" si="10"/>
        <v>-6.698365590156487E-4</v>
      </c>
      <c r="K22" s="71">
        <f t="shared" si="11"/>
        <v>5.7209446747257496E-4</v>
      </c>
      <c r="L22" s="42">
        <f t="shared" si="12"/>
        <v>8.8089335081305601E-4</v>
      </c>
      <c r="M22" s="84"/>
      <c r="N22" s="2">
        <f t="shared" si="1"/>
        <v>2.2776546738526</v>
      </c>
      <c r="O22" s="2">
        <v>1.2223635230027048</v>
      </c>
      <c r="P22" s="2">
        <v>-1.2654815529196717</v>
      </c>
      <c r="Q22" s="193">
        <v>1.4741824035291953</v>
      </c>
      <c r="R22" s="193">
        <v>-1.507809136657257</v>
      </c>
      <c r="S22" s="191">
        <v>1.6084644367328558</v>
      </c>
      <c r="T22" s="191">
        <v>-1.6346662655475983</v>
      </c>
      <c r="U22" s="194">
        <v>1.6890326712178492</v>
      </c>
      <c r="V22" s="194">
        <v>-1.7103096603115642</v>
      </c>
      <c r="W22" s="3">
        <v>1.7423434635029478</v>
      </c>
      <c r="X22" s="3">
        <v>-1.7602059867426758</v>
      </c>
      <c r="Y22" s="194">
        <v>1.7801282815999775</v>
      </c>
      <c r="Z22" s="194">
        <v>-1.7955042862485646</v>
      </c>
      <c r="AA22" s="3">
        <v>1.8300367449018029</v>
      </c>
      <c r="AB22" s="3">
        <v>-1.8420513531578551</v>
      </c>
      <c r="AC22" s="194">
        <v>1.8614728732769887</v>
      </c>
      <c r="AD22" s="194">
        <v>-1.8713284034525595</v>
      </c>
      <c r="AE22" s="3">
        <v>1.9051817233517589</v>
      </c>
      <c r="AF22" s="3">
        <v>-1.9119853749138462</v>
      </c>
      <c r="AG22" s="194">
        <v>1.9277970619632603</v>
      </c>
      <c r="AH22" s="194">
        <v>-1.9330000858360776</v>
      </c>
    </row>
    <row r="23" spans="1:34">
      <c r="A23" s="20">
        <f t="shared" si="0"/>
        <v>2.1991148575128552</v>
      </c>
      <c r="B23" s="23">
        <f t="shared" si="2"/>
        <v>-0.58778525229247303</v>
      </c>
      <c r="C23" s="23">
        <f t="shared" si="3"/>
        <v>6.4119814128186228</v>
      </c>
      <c r="D23" s="23">
        <f t="shared" si="4"/>
        <v>112.14257035658979</v>
      </c>
      <c r="E23" s="23">
        <f t="shared" si="5"/>
        <v>0.80901699437494745</v>
      </c>
      <c r="F23" s="71">
        <f t="shared" si="6"/>
        <v>1.3771061377270584E-4</v>
      </c>
      <c r="G23" s="71">
        <f t="shared" si="7"/>
        <v>4.0634963654145535</v>
      </c>
      <c r="H23" s="99">
        <f t="shared" si="8"/>
        <v>-0.15760282247360813</v>
      </c>
      <c r="I23" s="99">
        <f t="shared" si="9"/>
        <v>4.0429874006018833</v>
      </c>
      <c r="J23" s="71">
        <f t="shared" si="10"/>
        <v>-3.3248031712806682E-4</v>
      </c>
      <c r="K23" s="71">
        <f t="shared" si="11"/>
        <v>2.4156109011824967E-4</v>
      </c>
      <c r="L23" s="42">
        <f t="shared" si="12"/>
        <v>4.1096827315097818E-4</v>
      </c>
      <c r="M23" s="84"/>
      <c r="N23" s="2">
        <f t="shared" si="1"/>
        <v>2.1991148575128552</v>
      </c>
      <c r="O23" s="2">
        <v>1.0649519844949271</v>
      </c>
      <c r="P23" s="2">
        <v>-1.1388131612522314</v>
      </c>
      <c r="Q23" s="193">
        <v>1.2523890275961544</v>
      </c>
      <c r="R23" s="193">
        <v>-1.3308879888163194</v>
      </c>
      <c r="S23" s="191">
        <v>1.3977628233905164</v>
      </c>
      <c r="T23" s="191">
        <v>-1.4671056978055064</v>
      </c>
      <c r="U23" s="194">
        <v>1.5000548055019247</v>
      </c>
      <c r="V23" s="194">
        <v>-1.5602571395161262</v>
      </c>
      <c r="W23" s="3">
        <v>1.573924063131289</v>
      </c>
      <c r="X23" s="3">
        <v>-1.6266020138546167</v>
      </c>
      <c r="Y23" s="194">
        <v>1.6292535456655881</v>
      </c>
      <c r="Z23" s="194">
        <v>-1.675892798179287</v>
      </c>
      <c r="AA23" s="3">
        <v>1.7061078962081537</v>
      </c>
      <c r="AB23" s="3">
        <v>-1.7438789877123182</v>
      </c>
      <c r="AC23" s="194">
        <v>1.7567159509701462</v>
      </c>
      <c r="AD23" s="194">
        <v>-1.788382432730329</v>
      </c>
      <c r="AE23" s="3">
        <v>1.8299004920097308</v>
      </c>
      <c r="AF23" s="3">
        <v>-1.8524156049505496</v>
      </c>
      <c r="AG23" s="194">
        <v>1.8690519585443515</v>
      </c>
      <c r="AH23" s="194">
        <v>-1.8865300096476316</v>
      </c>
    </row>
    <row r="24" spans="1:34">
      <c r="A24" s="20">
        <f t="shared" si="0"/>
        <v>2.1205750411731104</v>
      </c>
      <c r="B24" s="23">
        <f t="shared" si="2"/>
        <v>-0.5224985647159488</v>
      </c>
      <c r="C24" s="23">
        <f t="shared" si="3"/>
        <v>6.4772681003951469</v>
      </c>
      <c r="D24" s="23">
        <f t="shared" si="4"/>
        <v>57.873398380531739</v>
      </c>
      <c r="E24" s="23">
        <f t="shared" si="5"/>
        <v>0.85264016435409229</v>
      </c>
      <c r="F24" s="71">
        <f t="shared" si="6"/>
        <v>6.8118859752687284E-5</v>
      </c>
      <c r="G24" s="71">
        <f t="shared" si="7"/>
        <v>4.0637791902020508</v>
      </c>
      <c r="H24" s="99">
        <f t="shared" si="8"/>
        <v>-0.15760289395131943</v>
      </c>
      <c r="I24" s="99">
        <f t="shared" si="9"/>
        <v>4.0429874493378213</v>
      </c>
      <c r="J24" s="71">
        <f t="shared" si="10"/>
        <v>-1.715830641802963E-4</v>
      </c>
      <c r="K24" s="71">
        <f t="shared" si="11"/>
        <v>1.051462369611501E-4</v>
      </c>
      <c r="L24" s="42">
        <f t="shared" si="12"/>
        <v>2.0123736994055058E-4</v>
      </c>
      <c r="M24" s="85"/>
      <c r="N24" s="2">
        <f t="shared" si="1"/>
        <v>2.1205750411731104</v>
      </c>
      <c r="O24" s="2">
        <v>1.0293479832881629</v>
      </c>
      <c r="P24" s="2">
        <v>-1.1145371409599178</v>
      </c>
      <c r="Q24" s="193">
        <v>1.1525618244532163</v>
      </c>
      <c r="R24" s="193">
        <v>-1.2634158925927563</v>
      </c>
      <c r="S24" s="191">
        <v>1.2785830009147938</v>
      </c>
      <c r="T24" s="191">
        <v>-1.3867982805316905</v>
      </c>
      <c r="U24" s="194">
        <v>1.3802441072702756</v>
      </c>
      <c r="V24" s="194">
        <v>-1.4796487778743281</v>
      </c>
      <c r="W24" s="3">
        <v>1.4595863658329136</v>
      </c>
      <c r="X24" s="3">
        <v>-1.5497472251590871</v>
      </c>
      <c r="Y24" s="194">
        <v>1.5220477285070271</v>
      </c>
      <c r="Z24" s="194">
        <v>-1.6038765616889137</v>
      </c>
      <c r="AA24" s="3">
        <v>1.6128828056205569</v>
      </c>
      <c r="AB24" s="3">
        <v>-1.6813030668723816</v>
      </c>
      <c r="AC24" s="194">
        <v>1.6751689963277023</v>
      </c>
      <c r="AD24" s="194">
        <v>-1.733670875920742</v>
      </c>
      <c r="AE24" s="3">
        <v>1.7685567772887443</v>
      </c>
      <c r="AF24" s="3">
        <v>-1.8112845705926668</v>
      </c>
      <c r="AG24" s="194">
        <v>1.8200706017316737</v>
      </c>
      <c r="AH24" s="194">
        <v>-1.8536982860952569</v>
      </c>
    </row>
    <row r="25" spans="1:34">
      <c r="A25" s="20">
        <f t="shared" si="0"/>
        <v>2.0420352248333655</v>
      </c>
      <c r="B25" s="23">
        <f t="shared" si="2"/>
        <v>-0.45399049973954669</v>
      </c>
      <c r="C25" s="23">
        <f t="shared" si="3"/>
        <v>6.5457761653715494</v>
      </c>
      <c r="D25" s="23">
        <f t="shared" si="4"/>
        <v>30.811665038990139</v>
      </c>
      <c r="E25" s="23">
        <f t="shared" si="5"/>
        <v>0.8910065241883679</v>
      </c>
      <c r="F25" s="71">
        <f t="shared" si="6"/>
        <v>3.5071773838427456E-5</v>
      </c>
      <c r="G25" s="71">
        <f t="shared" si="7"/>
        <v>4.0639134954108043</v>
      </c>
      <c r="H25" s="99">
        <f t="shared" si="8"/>
        <v>-0.15760291164714646</v>
      </c>
      <c r="I25" s="99">
        <f t="shared" si="9"/>
        <v>4.0429874594548449</v>
      </c>
      <c r="J25" s="71">
        <f t="shared" si="10"/>
        <v>-9.1350431248655897E-5</v>
      </c>
      <c r="K25" s="71">
        <f t="shared" si="11"/>
        <v>4.6545369543481301E-5</v>
      </c>
      <c r="L25" s="42">
        <f t="shared" si="12"/>
        <v>1.0252498580958031E-4</v>
      </c>
      <c r="N25" s="2">
        <f t="shared" si="1"/>
        <v>2.0420352248333655</v>
      </c>
      <c r="O25" s="2">
        <v>1.0205334557686232</v>
      </c>
      <c r="P25" s="2">
        <v>-1.1094977163129762</v>
      </c>
      <c r="Q25" s="193">
        <v>1.1051537284923072</v>
      </c>
      <c r="R25" s="193">
        <v>-1.2365569608044733</v>
      </c>
      <c r="S25" s="191">
        <v>1.208304821295846</v>
      </c>
      <c r="T25" s="191">
        <v>-1.3471075390269092</v>
      </c>
      <c r="U25" s="194">
        <v>1.301526674849502</v>
      </c>
      <c r="V25" s="194">
        <v>-1.4352624824047997</v>
      </c>
      <c r="W25" s="3">
        <v>1.3794319046889534</v>
      </c>
      <c r="X25" s="3">
        <v>-1.5045939398683661</v>
      </c>
      <c r="Y25" s="194">
        <v>1.4435729409402629</v>
      </c>
      <c r="Z25" s="194">
        <v>-1.5596978019092611</v>
      </c>
      <c r="AA25" s="3">
        <v>1.5408522822161035</v>
      </c>
      <c r="AB25" s="3">
        <v>-1.6407847648255411</v>
      </c>
      <c r="AC25" s="194">
        <v>1.6100834031560018</v>
      </c>
      <c r="AD25" s="194">
        <v>-1.6970768844113999</v>
      </c>
      <c r="AE25" s="3">
        <v>1.7174266827211462</v>
      </c>
      <c r="AF25" s="3">
        <v>-1.7825555464583069</v>
      </c>
      <c r="AG25" s="194">
        <v>1.7783455535715957</v>
      </c>
      <c r="AH25" s="194">
        <v>-1.8302613962196672</v>
      </c>
    </row>
    <row r="26" spans="1:34">
      <c r="A26" s="20">
        <f t="shared" si="0"/>
        <v>1.9634954084936207</v>
      </c>
      <c r="B26" s="23">
        <f t="shared" si="2"/>
        <v>-0.38268343236508973</v>
      </c>
      <c r="C26" s="23">
        <f t="shared" si="3"/>
        <v>6.6170832327460065</v>
      </c>
      <c r="D26" s="23">
        <f t="shared" si="4"/>
        <v>16.815548318793553</v>
      </c>
      <c r="E26" s="23">
        <f t="shared" si="5"/>
        <v>0.92387953251128674</v>
      </c>
      <c r="F26" s="71">
        <f t="shared" si="6"/>
        <v>1.8660556123519405E-5</v>
      </c>
      <c r="G26" s="71">
        <f t="shared" si="7"/>
        <v>4.0639801915191027</v>
      </c>
      <c r="H26" s="99">
        <f t="shared" si="8"/>
        <v>-0.1576029163643593</v>
      </c>
      <c r="I26" s="99">
        <f t="shared" si="9"/>
        <v>4.0429874616778294</v>
      </c>
      <c r="J26" s="71">
        <f t="shared" si="10"/>
        <v>-4.9854741334509467E-5</v>
      </c>
      <c r="K26" s="71">
        <f t="shared" si="11"/>
        <v>2.0650510009356355E-5</v>
      </c>
      <c r="L26" s="42">
        <f t="shared" si="12"/>
        <v>5.3962383168067861E-5</v>
      </c>
      <c r="N26" s="2">
        <f t="shared" si="1"/>
        <v>1.9634954084936207</v>
      </c>
      <c r="O26" s="2">
        <v>1.0181837493461781</v>
      </c>
      <c r="P26" s="2">
        <v>-1.108390418158296</v>
      </c>
      <c r="Q26" s="193">
        <v>1.0816093559626259</v>
      </c>
      <c r="R26" s="193">
        <v>-1.2255700571710828</v>
      </c>
      <c r="S26" s="191">
        <v>1.1653797421520793</v>
      </c>
      <c r="T26" s="191">
        <v>-1.3271445752845821</v>
      </c>
      <c r="U26" s="194">
        <v>1.2482111667495068</v>
      </c>
      <c r="V26" s="194">
        <v>-1.4105097500021277</v>
      </c>
      <c r="W26" s="3">
        <v>1.3216704432092659</v>
      </c>
      <c r="X26" s="3">
        <v>-1.4778047724525343</v>
      </c>
      <c r="Y26" s="194">
        <v>1.3846353471022577</v>
      </c>
      <c r="Z26" s="194">
        <v>-1.5323820197337561</v>
      </c>
      <c r="AA26" s="3">
        <v>1.4838850494164517</v>
      </c>
      <c r="AB26" s="3">
        <v>-1.6144050125689082</v>
      </c>
      <c r="AC26" s="194">
        <v>1.5569861701990562</v>
      </c>
      <c r="AD26" s="194">
        <v>-1.6725019976993551</v>
      </c>
      <c r="AE26" s="3">
        <v>1.6739483777557063</v>
      </c>
      <c r="AF26" s="3">
        <v>-1.7624465717329694</v>
      </c>
      <c r="AG26" s="194">
        <v>1.7421178600132396</v>
      </c>
      <c r="AH26" s="194">
        <v>-1.8135117374519791</v>
      </c>
    </row>
    <row r="27" spans="1:34">
      <c r="A27" s="20">
        <f t="shared" si="0"/>
        <v>1.8849555921538759</v>
      </c>
      <c r="B27" s="23">
        <f t="shared" si="2"/>
        <v>-0.30901699437494734</v>
      </c>
      <c r="C27" s="23">
        <f t="shared" si="3"/>
        <v>6.6907496707361487</v>
      </c>
      <c r="D27" s="23">
        <f t="shared" si="4"/>
        <v>9.3570799962814597</v>
      </c>
      <c r="E27" s="23">
        <f t="shared" si="5"/>
        <v>0.95105651629515364</v>
      </c>
      <c r="F27" s="71">
        <f t="shared" si="6"/>
        <v>1.0199317137000189E-5</v>
      </c>
      <c r="G27" s="71">
        <f t="shared" si="7"/>
        <v>4.0640145784684192</v>
      </c>
      <c r="H27" s="99">
        <f t="shared" si="8"/>
        <v>-0.15760291770034174</v>
      </c>
      <c r="I27" s="99">
        <f t="shared" si="9"/>
        <v>4.042987462182948</v>
      </c>
      <c r="J27" s="71">
        <f t="shared" si="10"/>
        <v>-2.7741872820142087E-5</v>
      </c>
      <c r="K27" s="71">
        <f t="shared" si="11"/>
        <v>9.0138808896524845E-6</v>
      </c>
      <c r="L27" s="42">
        <f t="shared" si="12"/>
        <v>2.916953130000173E-5</v>
      </c>
      <c r="N27" s="2">
        <f t="shared" si="1"/>
        <v>1.8849555921538759</v>
      </c>
      <c r="O27" s="2">
        <v>1.0175182785291874</v>
      </c>
      <c r="P27" s="2">
        <v>-1.1081388116151274</v>
      </c>
      <c r="Q27" s="193">
        <v>1.0694697034294653</v>
      </c>
      <c r="R27" s="193">
        <v>-1.2210310277538221</v>
      </c>
      <c r="S27" s="191">
        <v>1.1383649099655813</v>
      </c>
      <c r="T27" s="191">
        <v>-1.3170824831611778</v>
      </c>
      <c r="U27" s="194">
        <v>1.2111426362933855</v>
      </c>
      <c r="V27" s="194">
        <v>-1.3967297881749903</v>
      </c>
      <c r="W27" s="3">
        <v>1.2790377973254536</v>
      </c>
      <c r="X27" s="3">
        <v>-1.4619749260804569</v>
      </c>
      <c r="Y27" s="194">
        <v>1.3393665243061963</v>
      </c>
      <c r="Z27" s="194">
        <v>-1.5155864818092648</v>
      </c>
      <c r="AA27" s="3">
        <v>1.4378945577217199</v>
      </c>
      <c r="AB27" s="3">
        <v>-1.5973584379143546</v>
      </c>
      <c r="AC27" s="194">
        <v>1.5128181873133055</v>
      </c>
      <c r="AD27" s="194">
        <v>-1.6561405923162218</v>
      </c>
      <c r="AE27" s="3">
        <v>1.6363066818097844</v>
      </c>
      <c r="AF27" s="3">
        <v>-1.748513731590424</v>
      </c>
      <c r="AG27" s="194">
        <v>1.7101171302963796</v>
      </c>
      <c r="AH27" s="194">
        <v>-1.8016715642524948</v>
      </c>
    </row>
    <row r="28" spans="1:34">
      <c r="A28" s="20">
        <f t="shared" si="0"/>
        <v>1.806415775814131</v>
      </c>
      <c r="B28" s="23">
        <f t="shared" si="2"/>
        <v>-0.23344536385590534</v>
      </c>
      <c r="C28" s="23">
        <f t="shared" si="3"/>
        <v>6.766321301255191</v>
      </c>
      <c r="D28" s="23">
        <f t="shared" si="4"/>
        <v>5.2843881177507326</v>
      </c>
      <c r="E28" s="23">
        <f t="shared" si="5"/>
        <v>0.97236992039767667</v>
      </c>
      <c r="F28" s="71">
        <f t="shared" si="6"/>
        <v>5.6974182953761545E-6</v>
      </c>
      <c r="G28" s="71">
        <f t="shared" si="7"/>
        <v>4.0640328744375482</v>
      </c>
      <c r="H28" s="99">
        <f t="shared" si="8"/>
        <v>-0.15760291809785398</v>
      </c>
      <c r="I28" s="99">
        <f t="shared" si="9"/>
        <v>4.0429874622983872</v>
      </c>
      <c r="J28" s="71">
        <f t="shared" si="10"/>
        <v>-1.5667155047639845E-5</v>
      </c>
      <c r="K28" s="71">
        <f t="shared" si="11"/>
        <v>3.7613511421531483E-6</v>
      </c>
      <c r="L28" s="42">
        <f t="shared" si="12"/>
        <v>1.6112340292501379E-5</v>
      </c>
      <c r="N28" s="2">
        <f t="shared" si="1"/>
        <v>1.806415775814131</v>
      </c>
      <c r="O28" s="2">
        <v>1.0173202725308848</v>
      </c>
      <c r="P28" s="2">
        <v>-1.108081310228457</v>
      </c>
      <c r="Q28" s="193">
        <v>1.0630102876397158</v>
      </c>
      <c r="R28" s="193">
        <v>-1.2191803059363604</v>
      </c>
      <c r="S28" s="191">
        <v>1.1209220700662637</v>
      </c>
      <c r="T28" s="191">
        <v>-1.3121080535071703</v>
      </c>
      <c r="U28" s="194">
        <v>1.18477826243236</v>
      </c>
      <c r="V28" s="194">
        <v>-1.3892287265940713</v>
      </c>
      <c r="W28" s="3">
        <v>1.2469047991362503</v>
      </c>
      <c r="X28" s="3">
        <v>-1.4528455470036397</v>
      </c>
      <c r="Y28" s="194">
        <v>1.3039008466076467</v>
      </c>
      <c r="Z28" s="194">
        <v>-1.5055197856976825</v>
      </c>
      <c r="AA28" s="3">
        <v>1.4000776521602365</v>
      </c>
      <c r="AB28" s="3">
        <v>-1.5866370931525253</v>
      </c>
      <c r="AC28" s="194">
        <v>1.4754293275880719</v>
      </c>
      <c r="AD28" s="194">
        <v>-1.6455481667419787</v>
      </c>
      <c r="AE28" s="3">
        <v>1.6031811358566155</v>
      </c>
      <c r="AF28" s="3">
        <v>-1.7391380828204004</v>
      </c>
      <c r="AG28" s="194">
        <v>1.6814010853476966</v>
      </c>
      <c r="AH28" s="194">
        <v>-1.7935478581791131</v>
      </c>
    </row>
    <row r="29" spans="1:34">
      <c r="A29" s="20">
        <f t="shared" si="0"/>
        <v>1.7278759594743862</v>
      </c>
      <c r="B29" s="23">
        <f t="shared" si="2"/>
        <v>-0.15643446504023081</v>
      </c>
      <c r="C29" s="23">
        <f t="shared" si="3"/>
        <v>6.843332200070865</v>
      </c>
      <c r="D29" s="23">
        <f t="shared" si="4"/>
        <v>3.0164193055344035</v>
      </c>
      <c r="E29" s="23">
        <f t="shared" si="5"/>
        <v>0.98768834059513777</v>
      </c>
      <c r="F29" s="71">
        <f t="shared" si="6"/>
        <v>3.2381853602753861E-6</v>
      </c>
      <c r="G29" s="71">
        <f t="shared" si="7"/>
        <v>4.0640428688979853</v>
      </c>
      <c r="H29" s="99">
        <f t="shared" si="8"/>
        <v>-0.15760291822092443</v>
      </c>
      <c r="I29" s="99">
        <f t="shared" si="9"/>
        <v>4.0429874623238264</v>
      </c>
      <c r="J29" s="71">
        <f t="shared" si="10"/>
        <v>-8.9430806169886272E-6</v>
      </c>
      <c r="K29" s="71">
        <f t="shared" si="11"/>
        <v>1.4164448182989519E-6</v>
      </c>
      <c r="L29" s="42">
        <f t="shared" si="12"/>
        <v>9.0545572418116404E-6</v>
      </c>
      <c r="N29" s="2">
        <f t="shared" si="1"/>
        <v>1.7278759594743862</v>
      </c>
      <c r="O29" s="2">
        <v>1.017258969418436</v>
      </c>
      <c r="P29" s="2">
        <v>-1.1080686384552152</v>
      </c>
      <c r="Q29" s="193">
        <v>1.0594815301218317</v>
      </c>
      <c r="R29" s="193">
        <v>-1.2184638704088839</v>
      </c>
      <c r="S29" s="191">
        <v>1.1094094666891925</v>
      </c>
      <c r="T29" s="191">
        <v>-1.3097851614891243</v>
      </c>
      <c r="U29" s="194">
        <v>1.1656520882566328</v>
      </c>
      <c r="V29" s="194">
        <v>-1.3853817530867385</v>
      </c>
      <c r="W29" s="3">
        <v>1.2222333146171844</v>
      </c>
      <c r="X29" s="3">
        <v>-1.4478926009641993</v>
      </c>
      <c r="Y29" s="194">
        <v>1.2756209630050983</v>
      </c>
      <c r="Z29" s="194">
        <v>-1.4998496200558122</v>
      </c>
      <c r="AA29" s="3">
        <v>1.3684624038678626</v>
      </c>
      <c r="AB29" s="3">
        <v>-1.5803082397682506</v>
      </c>
      <c r="AC29" s="194">
        <v>1.4432713090989959</v>
      </c>
      <c r="AD29" s="194">
        <v>-1.639116808641649</v>
      </c>
      <c r="AE29" s="3">
        <v>1.5735876951052152</v>
      </c>
      <c r="AF29" s="3">
        <v>-1.7332271860641626</v>
      </c>
      <c r="AG29" s="194">
        <v>1.6552529715652891</v>
      </c>
      <c r="AH29" s="194">
        <v>-1.7883284796729961</v>
      </c>
    </row>
    <row r="30" spans="1:34">
      <c r="A30" s="20">
        <f t="shared" si="0"/>
        <v>1.6493361431346414</v>
      </c>
      <c r="B30" s="23">
        <f t="shared" si="2"/>
        <v>-7.8459095727844874E-2</v>
      </c>
      <c r="C30" s="23">
        <f t="shared" si="3"/>
        <v>6.9213075693832513</v>
      </c>
      <c r="D30" s="23">
        <f t="shared" si="4"/>
        <v>1.7338189501299506</v>
      </c>
      <c r="E30" s="23">
        <f t="shared" si="5"/>
        <v>0.99691733373312796</v>
      </c>
      <c r="F30" s="71">
        <f t="shared" si="6"/>
        <v>1.8650696056767636E-6</v>
      </c>
      <c r="G30" s="71">
        <f t="shared" si="7"/>
        <v>4.0640484493173465</v>
      </c>
      <c r="H30" s="99">
        <f t="shared" si="8"/>
        <v>-0.15760291826023698</v>
      </c>
      <c r="I30" s="99">
        <f t="shared" si="9"/>
        <v>4.04298746232877</v>
      </c>
      <c r="J30" s="71">
        <f t="shared" si="10"/>
        <v>-5.1404268026747943E-6</v>
      </c>
      <c r="K30" s="71">
        <f t="shared" si="11"/>
        <v>4.0456036317752208E-7</v>
      </c>
      <c r="L30" s="42">
        <f t="shared" si="12"/>
        <v>5.1563220226351008E-6</v>
      </c>
      <c r="N30" s="2">
        <f t="shared" si="1"/>
        <v>1.6493361431346414</v>
      </c>
      <c r="O30" s="2">
        <v>1.0172393873270407</v>
      </c>
      <c r="P30" s="2">
        <v>-1.1080661760216581</v>
      </c>
      <c r="Q30" s="193">
        <v>1.0575111340101839</v>
      </c>
      <c r="R30" s="193">
        <v>-1.2182230864679706</v>
      </c>
      <c r="S30" s="191">
        <v>1.1016664609519111</v>
      </c>
      <c r="T30" s="191">
        <v>-1.3088483494532741</v>
      </c>
      <c r="U30" s="194">
        <v>1.1515344182596718</v>
      </c>
      <c r="V30" s="194">
        <v>-1.383682291525123</v>
      </c>
      <c r="W30" s="3">
        <v>1.2029770378239704</v>
      </c>
      <c r="X30" s="3">
        <v>-1.4455816255593177</v>
      </c>
      <c r="Y30" s="194">
        <v>1.2527112359159844</v>
      </c>
      <c r="Z30" s="194">
        <v>-1.4971057984573988</v>
      </c>
      <c r="AA30" s="3">
        <v>1.3416302298581417</v>
      </c>
      <c r="AB30" s="3">
        <v>-1.5771028642500897</v>
      </c>
      <c r="AC30" s="194">
        <v>1.4152046483591962</v>
      </c>
      <c r="AD30" s="194">
        <v>-1.6357691312537759</v>
      </c>
      <c r="AE30" s="3">
        <v>1.5467760604066341</v>
      </c>
      <c r="AF30" s="3">
        <v>-1.7300358061373824</v>
      </c>
      <c r="AG30" s="194">
        <v>1.6311138399203049</v>
      </c>
      <c r="AH30" s="194">
        <v>-1.7854581949681612</v>
      </c>
    </row>
    <row r="31" spans="1:34">
      <c r="A31" s="20">
        <f t="shared" si="0"/>
        <v>1.5707963267948966</v>
      </c>
      <c r="B31" s="23">
        <f t="shared" si="2"/>
        <v>6.1257422745431001E-17</v>
      </c>
      <c r="C31" s="23">
        <f t="shared" si="3"/>
        <v>6.9997666651110961</v>
      </c>
      <c r="D31" s="23">
        <f t="shared" si="4"/>
        <v>0.99999999999999922</v>
      </c>
      <c r="E31" s="23">
        <f t="shared" si="5"/>
        <v>1</v>
      </c>
      <c r="F31" s="71">
        <f t="shared" si="6"/>
        <v>1.0845407156676283E-6</v>
      </c>
      <c r="G31" s="71">
        <f t="shared" si="7"/>
        <v>4.0640516214304876</v>
      </c>
      <c r="H31" s="99">
        <f t="shared" si="8"/>
        <v>-0.15760291827309425</v>
      </c>
      <c r="I31" s="99">
        <f t="shared" si="9"/>
        <v>4.0429874623293669</v>
      </c>
      <c r="J31" s="71">
        <f t="shared" si="10"/>
        <v>-2.9648002187826548E-6</v>
      </c>
      <c r="K31" s="71">
        <f t="shared" si="11"/>
        <v>-1.8161602035771538E-22</v>
      </c>
      <c r="L31" s="42">
        <f t="shared" si="12"/>
        <v>2.9648002187826548E-6</v>
      </c>
      <c r="N31" s="2">
        <f t="shared" si="1"/>
        <v>1.5707963267948966</v>
      </c>
      <c r="O31" s="2">
        <v>1.0172329829824618</v>
      </c>
      <c r="P31" s="2">
        <v>-1.1080658786826889</v>
      </c>
      <c r="Q31" s="193">
        <v>1.0563910273589241</v>
      </c>
      <c r="R31" s="193">
        <v>-1.2181749869905816</v>
      </c>
      <c r="S31" s="191">
        <v>1.0963743588225676</v>
      </c>
      <c r="T31" s="191">
        <v>-1.308627397887097</v>
      </c>
      <c r="U31" s="194">
        <v>1.1409542986490409</v>
      </c>
      <c r="V31" s="194">
        <v>-1.3832468935180642</v>
      </c>
      <c r="W31" s="3">
        <v>1.1877256332032995</v>
      </c>
      <c r="X31" s="3">
        <v>-1.4449594845857168</v>
      </c>
      <c r="Y31" s="194">
        <v>1.2338847754492706</v>
      </c>
      <c r="Z31" s="194">
        <v>-1.496342348233884</v>
      </c>
      <c r="AA31" s="3">
        <v>1.3185399157656674</v>
      </c>
      <c r="AB31" s="3">
        <v>-1.576173454169729</v>
      </c>
      <c r="AC31" s="194">
        <v>1.3903737615350966</v>
      </c>
      <c r="AD31" s="194">
        <v>-1.6347741513756808</v>
      </c>
      <c r="AE31" s="3">
        <v>1.5221611405674753</v>
      </c>
      <c r="AF31" s="3">
        <v>-1.7290554308491217</v>
      </c>
      <c r="AG31" s="194">
        <v>1.6085364506660389</v>
      </c>
      <c r="AH31" s="194">
        <v>-1.7845617148603523</v>
      </c>
    </row>
    <row r="32" spans="1:34">
      <c r="A32" s="20">
        <f t="shared" si="0"/>
        <v>1.4922565104551517</v>
      </c>
      <c r="B32" s="23">
        <f t="shared" si="2"/>
        <v>7.8459095727844999E-2</v>
      </c>
      <c r="C32" s="23">
        <f t="shared" si="3"/>
        <v>7.0782257608389409</v>
      </c>
      <c r="D32" s="23">
        <f t="shared" si="4"/>
        <v>0.57676148938448757</v>
      </c>
      <c r="E32" s="23">
        <f t="shared" si="5"/>
        <v>0.99691733373312796</v>
      </c>
      <c r="F32" s="71">
        <f t="shared" si="6"/>
        <v>6.3448858832004031E-7</v>
      </c>
      <c r="G32" s="71">
        <f t="shared" si="7"/>
        <v>4.064053450467549</v>
      </c>
      <c r="H32" s="99">
        <f t="shared" si="8"/>
        <v>-0.15760291827736861</v>
      </c>
      <c r="I32" s="99">
        <f t="shared" si="9"/>
        <v>4.0429874623292283</v>
      </c>
      <c r="J32" s="71">
        <f t="shared" si="10"/>
        <v>-1.7099825899125397E-6</v>
      </c>
      <c r="K32" s="71">
        <f t="shared" si="11"/>
        <v>-1.3457854846649853E-7</v>
      </c>
      <c r="L32" s="42">
        <f t="shared" si="12"/>
        <v>1.7152701954827252E-6</v>
      </c>
      <c r="N32" s="2">
        <f t="shared" si="1"/>
        <v>1.4922565104551517</v>
      </c>
      <c r="O32" s="2">
        <v>1.0172308537358674</v>
      </c>
      <c r="P32" s="2">
        <v>-1.1080659473987218</v>
      </c>
      <c r="Q32" s="193">
        <v>1.0557451394914807</v>
      </c>
      <c r="R32" s="193">
        <v>-1.2181980835730282</v>
      </c>
      <c r="S32" s="191">
        <v>1.0927078472316842</v>
      </c>
      <c r="T32" s="191">
        <v>-1.3087628767199031</v>
      </c>
      <c r="U32" s="194">
        <v>1.1329192769264775</v>
      </c>
      <c r="V32" s="194">
        <v>-1.3835486016697547</v>
      </c>
      <c r="W32" s="3">
        <v>1.1754869214340435</v>
      </c>
      <c r="X32" s="3">
        <v>-1.4454234452076249</v>
      </c>
      <c r="Y32" s="194">
        <v>1.2182117516673516</v>
      </c>
      <c r="Z32" s="194">
        <v>-1.4969402691205578</v>
      </c>
      <c r="AA32" s="3">
        <v>1.2984131609846938</v>
      </c>
      <c r="AB32" s="3">
        <v>-1.5769473399943827</v>
      </c>
      <c r="AC32" s="194">
        <v>1.3681240279783189</v>
      </c>
      <c r="AD32" s="194">
        <v>-1.6356336906037212</v>
      </c>
      <c r="AE32" s="3">
        <v>1.4992760156204588</v>
      </c>
      <c r="AF32" s="3">
        <v>-1.7299450489237238</v>
      </c>
      <c r="AG32" s="194">
        <v>1.5871528937977049</v>
      </c>
      <c r="AH32" s="194">
        <v>-1.7853955605782514</v>
      </c>
    </row>
    <row r="33" spans="1:59">
      <c r="A33" s="20">
        <f t="shared" si="0"/>
        <v>1.4137166941154069</v>
      </c>
      <c r="B33" s="23">
        <f t="shared" si="2"/>
        <v>0.15643446504023092</v>
      </c>
      <c r="C33" s="23">
        <f t="shared" si="3"/>
        <v>7.1562011301513273</v>
      </c>
      <c r="D33" s="23">
        <f t="shared" si="4"/>
        <v>0.33151889664849959</v>
      </c>
      <c r="E33" s="23">
        <f t="shared" si="5"/>
        <v>0.98768834059513777</v>
      </c>
      <c r="F33" s="71">
        <f t="shared" si="6"/>
        <v>3.7216300279598079E-7</v>
      </c>
      <c r="G33" s="71">
        <f t="shared" si="7"/>
        <v>4.0640545165734272</v>
      </c>
      <c r="H33" s="99">
        <f t="shared" si="8"/>
        <v>-0.15760291827880391</v>
      </c>
      <c r="I33" s="99">
        <f t="shared" si="9"/>
        <v>4.0429874623290685</v>
      </c>
      <c r="J33" s="71">
        <f t="shared" si="10"/>
        <v>-9.8288729731405623E-7</v>
      </c>
      <c r="K33" s="71">
        <f t="shared" si="11"/>
        <v>-1.55674054487183E-7</v>
      </c>
      <c r="L33" s="42">
        <f t="shared" si="12"/>
        <v>9.9513911111050615E-7</v>
      </c>
      <c r="N33" s="2">
        <f t="shared" si="1"/>
        <v>1.4137166941154069</v>
      </c>
      <c r="O33" s="2">
        <v>1.0172301390139324</v>
      </c>
      <c r="P33" s="2">
        <v>-1.1080660269702245</v>
      </c>
      <c r="Q33" s="193">
        <v>1.055368644733615</v>
      </c>
      <c r="R33" s="193">
        <v>-1.2182413368429228</v>
      </c>
      <c r="S33" s="191">
        <v>1.0901386800804787</v>
      </c>
      <c r="T33" s="191">
        <v>-1.3090611504158691</v>
      </c>
      <c r="U33" s="194">
        <v>1.1267460987683198</v>
      </c>
      <c r="V33" s="194">
        <v>-1.3842690578660493</v>
      </c>
      <c r="W33" s="3">
        <v>1.1655499241730838</v>
      </c>
      <c r="X33" s="3">
        <v>-1.4465868132714745</v>
      </c>
      <c r="Y33" s="194">
        <v>1.2050086238732369</v>
      </c>
      <c r="Z33" s="194">
        <v>-1.4984892513962065</v>
      </c>
      <c r="AA33" s="3">
        <v>1.2806583368284743</v>
      </c>
      <c r="AB33" s="3">
        <v>-1.5790357675041804</v>
      </c>
      <c r="AC33" s="194">
        <v>1.3479453889929121</v>
      </c>
      <c r="AD33" s="194">
        <v>-1.6380109391973436</v>
      </c>
      <c r="AE33" s="3">
        <v>1.4777387305243472</v>
      </c>
      <c r="AF33" s="3">
        <v>-1.7324876645362517</v>
      </c>
      <c r="AG33" s="194">
        <v>1.5666510227075796</v>
      </c>
      <c r="AH33" s="194">
        <v>-1.7878184769165713</v>
      </c>
    </row>
    <row r="34" spans="1:59">
      <c r="A34" s="20">
        <f t="shared" si="0"/>
        <v>1.3351768777756621</v>
      </c>
      <c r="B34" s="23">
        <f t="shared" si="2"/>
        <v>0.23344536385590547</v>
      </c>
      <c r="C34" s="23">
        <f t="shared" si="3"/>
        <v>7.2332120289670012</v>
      </c>
      <c r="D34" s="23">
        <f t="shared" si="4"/>
        <v>0.18923666803369538</v>
      </c>
      <c r="E34" s="23">
        <f t="shared" si="5"/>
        <v>0.97236992039767656</v>
      </c>
      <c r="F34" s="71">
        <f t="shared" si="6"/>
        <v>2.1810582795754887E-7</v>
      </c>
      <c r="G34" s="71">
        <f t="shared" si="7"/>
        <v>4.0640551426704166</v>
      </c>
      <c r="H34" s="99">
        <f t="shared" si="8"/>
        <v>-0.15760291827928663</v>
      </c>
      <c r="I34" s="99">
        <f t="shared" si="9"/>
        <v>4.0429874623289761</v>
      </c>
      <c r="J34" s="71">
        <f t="shared" si="10"/>
        <v>-5.6104891478800109E-7</v>
      </c>
      <c r="K34" s="71">
        <f t="shared" si="11"/>
        <v>-1.3469592724554908E-7</v>
      </c>
      <c r="L34" s="42">
        <f t="shared" si="12"/>
        <v>5.7699122835735726E-7</v>
      </c>
      <c r="N34" s="2">
        <f t="shared" si="1"/>
        <v>1.3351768777756621</v>
      </c>
      <c r="O34" s="2">
        <v>1.0172298984301842</v>
      </c>
      <c r="P34" s="2">
        <v>-1.1080660731016609</v>
      </c>
      <c r="Q34" s="193">
        <v>1.0551475265804227</v>
      </c>
      <c r="R34" s="193">
        <v>-1.2182845506931759</v>
      </c>
      <c r="S34" s="191">
        <v>1.0883218774857262</v>
      </c>
      <c r="T34" s="191">
        <v>-1.3094185022828866</v>
      </c>
      <c r="U34" s="194">
        <v>1.1219557313398367</v>
      </c>
      <c r="V34" s="194">
        <v>-1.3852143221545741</v>
      </c>
      <c r="W34" s="3">
        <v>1.1573966479252413</v>
      </c>
      <c r="X34" s="3">
        <v>-1.448198772612642</v>
      </c>
      <c r="Y34" s="194">
        <v>1.1937650233925163</v>
      </c>
      <c r="Z34" s="194">
        <v>-1.5007150482694089</v>
      </c>
      <c r="AA34" s="3">
        <v>1.264818586847366</v>
      </c>
      <c r="AB34" s="3">
        <v>-1.5821764650044825</v>
      </c>
      <c r="AC34" s="194">
        <v>1.3294331170808762</v>
      </c>
      <c r="AD34" s="194">
        <v>-1.6416850836503996</v>
      </c>
      <c r="AE34" s="3">
        <v>1.4572281027145781</v>
      </c>
      <c r="AF34" s="3">
        <v>-1.7365636686125712</v>
      </c>
      <c r="AG34" s="194">
        <v>1.5467565348336199</v>
      </c>
      <c r="AH34" s="194">
        <v>-1.7917745944169234</v>
      </c>
    </row>
    <row r="35" spans="1:59">
      <c r="A35" s="20">
        <f t="shared" si="0"/>
        <v>1.2566370614359172</v>
      </c>
      <c r="B35" s="23">
        <f t="shared" si="2"/>
        <v>0.30901699437494745</v>
      </c>
      <c r="C35" s="23">
        <f t="shared" si="3"/>
        <v>7.3087836594860436</v>
      </c>
      <c r="D35" s="23">
        <f t="shared" si="4"/>
        <v>0.10687094696180892</v>
      </c>
      <c r="E35" s="23">
        <f t="shared" si="5"/>
        <v>0.95105651629515353</v>
      </c>
      <c r="F35" s="71">
        <f t="shared" si="6"/>
        <v>1.2725086309231768E-7</v>
      </c>
      <c r="G35" s="71">
        <f t="shared" si="7"/>
        <v>4.0640555119100847</v>
      </c>
      <c r="H35" s="99">
        <f t="shared" si="8"/>
        <v>-0.15760291827944872</v>
      </c>
      <c r="I35" s="99">
        <f t="shared" si="9"/>
        <v>4.0429874623289317</v>
      </c>
      <c r="J35" s="71">
        <f t="shared" si="10"/>
        <v>-3.1685100693388075E-7</v>
      </c>
      <c r="K35" s="71">
        <f t="shared" si="11"/>
        <v>-1.0295113292404704E-7</v>
      </c>
      <c r="L35" s="42">
        <f t="shared" si="12"/>
        <v>3.3315686450283286E-7</v>
      </c>
      <c r="N35" s="2">
        <f t="shared" si="1"/>
        <v>1.2566370614359172</v>
      </c>
      <c r="O35" s="2">
        <v>1.017229817778575</v>
      </c>
      <c r="P35" s="2">
        <v>-1.108066095247251</v>
      </c>
      <c r="Q35" s="193">
        <v>1.0550171151410024</v>
      </c>
      <c r="R35" s="193">
        <v>-1.2183208676367641</v>
      </c>
      <c r="S35" s="191">
        <v>1.0870280232266865</v>
      </c>
      <c r="T35" s="191">
        <v>-1.3097805386583223</v>
      </c>
      <c r="U35" s="194">
        <v>1.1182067273872804</v>
      </c>
      <c r="V35" s="194">
        <v>-1.3862658523046596</v>
      </c>
      <c r="W35" s="3">
        <v>1.1506440127229856</v>
      </c>
      <c r="X35" s="3">
        <v>-1.450095490878738</v>
      </c>
      <c r="Y35" s="194">
        <v>1.1840944888961866</v>
      </c>
      <c r="Z35" s="194">
        <v>-1.5034339649405595</v>
      </c>
      <c r="AA35" s="3">
        <v>1.250535786046846</v>
      </c>
      <c r="AB35" s="3">
        <v>-1.5861969531468898</v>
      </c>
      <c r="AC35" s="194">
        <v>1.3122599110035851</v>
      </c>
      <c r="AD35" s="194">
        <v>-1.6465226727159379</v>
      </c>
      <c r="AE35" s="3">
        <v>1.4374654043076398</v>
      </c>
      <c r="AF35" s="3">
        <v>-1.7421360501015863</v>
      </c>
      <c r="AG35" s="194">
        <v>1.5272185408465846</v>
      </c>
      <c r="AH35" s="194">
        <v>-1.7972862745847891</v>
      </c>
    </row>
    <row r="36" spans="1:59">
      <c r="A36" s="20">
        <f t="shared" si="0"/>
        <v>1.1780972450961724</v>
      </c>
      <c r="B36" s="23">
        <f t="shared" si="2"/>
        <v>0.38268343236508984</v>
      </c>
      <c r="C36" s="23">
        <f t="shared" si="3"/>
        <v>7.3824500974761857</v>
      </c>
      <c r="D36" s="23">
        <f t="shared" si="4"/>
        <v>5.9468771463275422E-2</v>
      </c>
      <c r="E36" s="23">
        <f t="shared" si="5"/>
        <v>0.92387953251128674</v>
      </c>
      <c r="F36" s="71">
        <f t="shared" si="6"/>
        <v>7.3626886980868307E-8</v>
      </c>
      <c r="G36" s="71">
        <f t="shared" si="7"/>
        <v>4.0640557298409279</v>
      </c>
      <c r="H36" s="99">
        <f t="shared" si="8"/>
        <v>-0.15760291827950246</v>
      </c>
      <c r="I36" s="99">
        <f t="shared" si="9"/>
        <v>4.042987462328913</v>
      </c>
      <c r="J36" s="71">
        <f t="shared" si="10"/>
        <v>-1.7631302664505478E-7</v>
      </c>
      <c r="K36" s="71">
        <f t="shared" si="11"/>
        <v>-7.3031246859430578E-8</v>
      </c>
      <c r="L36" s="42">
        <f t="shared" si="12"/>
        <v>1.9083984485055234E-7</v>
      </c>
      <c r="N36" s="2">
        <f t="shared" si="1"/>
        <v>1.1780972450961724</v>
      </c>
      <c r="O36" s="2">
        <v>1.0172297910472958</v>
      </c>
      <c r="P36" s="2">
        <v>-1.1080661048979563</v>
      </c>
      <c r="Q36" s="193">
        <v>1.0549401398874356</v>
      </c>
      <c r="R36" s="193">
        <v>-1.2183489811004418</v>
      </c>
      <c r="S36" s="191">
        <v>1.086102031296631</v>
      </c>
      <c r="T36" s="191">
        <v>-1.3101200680535334</v>
      </c>
      <c r="U36" s="194">
        <v>1.1152520172810174</v>
      </c>
      <c r="V36" s="194">
        <v>-1.3873513807698679</v>
      </c>
      <c r="W36" s="3">
        <v>1.1450048647424267</v>
      </c>
      <c r="X36" s="3">
        <v>-1.4521697069844857</v>
      </c>
      <c r="Y36" s="194">
        <v>1.1757006519341555</v>
      </c>
      <c r="Z36" s="194">
        <v>-1.5065238616972336</v>
      </c>
      <c r="AA36" s="3">
        <v>1.2375250397441204</v>
      </c>
      <c r="AB36" s="3">
        <v>-1.5909911350696007</v>
      </c>
      <c r="AC36" s="194">
        <v>1.296155568680553</v>
      </c>
      <c r="AD36" s="194">
        <v>-1.6524602984339229</v>
      </c>
      <c r="AE36" s="3">
        <v>1.4181997707139988</v>
      </c>
      <c r="AF36" s="3">
        <v>-1.7492448642622949</v>
      </c>
      <c r="AG36" s="194">
        <v>1.5077970266661502</v>
      </c>
      <c r="AH36" s="194">
        <v>-1.8044554592125384</v>
      </c>
    </row>
    <row r="37" spans="1:59">
      <c r="A37" s="20">
        <f t="shared" si="0"/>
        <v>1.0995574287564276</v>
      </c>
      <c r="B37" s="23">
        <f t="shared" si="2"/>
        <v>0.4539904997395468</v>
      </c>
      <c r="C37" s="23">
        <f t="shared" si="3"/>
        <v>7.4537571648506429</v>
      </c>
      <c r="D37" s="23">
        <f t="shared" si="4"/>
        <v>3.245524053096658E-2</v>
      </c>
      <c r="E37" s="23">
        <f t="shared" si="5"/>
        <v>0.89100652418836779</v>
      </c>
      <c r="F37" s="71">
        <f t="shared" si="6"/>
        <v>4.2066994579456483E-8</v>
      </c>
      <c r="G37" s="71">
        <f t="shared" si="7"/>
        <v>4.0640558581020994</v>
      </c>
      <c r="H37" s="99">
        <f t="shared" si="8"/>
        <v>-0.15760291827951978</v>
      </c>
      <c r="I37" s="99">
        <f t="shared" si="9"/>
        <v>4.042987462328905</v>
      </c>
      <c r="J37" s="71">
        <f t="shared" si="10"/>
        <v>-9.6223304226853441E-8</v>
      </c>
      <c r="K37" s="71">
        <f t="shared" si="11"/>
        <v>-4.9028222338026674E-8</v>
      </c>
      <c r="L37" s="42">
        <f t="shared" si="12"/>
        <v>1.0799393900567091E-7</v>
      </c>
      <c r="N37" s="2">
        <f t="shared" si="1"/>
        <v>1.0995574287564276</v>
      </c>
      <c r="O37" s="2">
        <v>1.0172297823565137</v>
      </c>
      <c r="P37" s="2">
        <v>-1.1080661088302148</v>
      </c>
      <c r="Q37" s="193">
        <v>1.0548948341248967</v>
      </c>
      <c r="R37" s="193">
        <v>-1.2183696897029623</v>
      </c>
      <c r="S37" s="191">
        <v>1.0854374926399517</v>
      </c>
      <c r="T37" s="191">
        <v>-1.3104248724200143</v>
      </c>
      <c r="U37" s="194">
        <v>1.1129103434432492</v>
      </c>
      <c r="V37" s="194">
        <v>-1.3884273058056738</v>
      </c>
      <c r="W37" s="3">
        <v>1.140261329543045</v>
      </c>
      <c r="X37" s="3">
        <v>-1.4543514877003139</v>
      </c>
      <c r="Y37" s="194">
        <v>1.1683536361011195</v>
      </c>
      <c r="Z37" s="194">
        <v>-1.5099054627383905</v>
      </c>
      <c r="AA37" s="3">
        <v>1.2255563084329515</v>
      </c>
      <c r="AB37" s="3">
        <v>-1.5965047669528243</v>
      </c>
      <c r="AC37" s="194">
        <v>1.2808917633202386</v>
      </c>
      <c r="AD37" s="194">
        <v>-1.6594955499741162</v>
      </c>
      <c r="AE37" s="3">
        <v>1.39919575326405</v>
      </c>
      <c r="AF37" s="3">
        <v>-1.7580101430834074</v>
      </c>
      <c r="AG37" s="194">
        <v>1.4882508726342603</v>
      </c>
      <c r="AH37" s="194">
        <v>-1.8134739547562002</v>
      </c>
    </row>
    <row r="38" spans="1:59">
      <c r="A38" s="20">
        <f t="shared" si="0"/>
        <v>1.0210176124166828</v>
      </c>
      <c r="B38" s="23">
        <f t="shared" si="2"/>
        <v>0.52249856471594891</v>
      </c>
      <c r="C38" s="23">
        <f t="shared" si="3"/>
        <v>7.5222652298270454</v>
      </c>
      <c r="D38" s="23">
        <f t="shared" si="4"/>
        <v>1.7279095888317355E-2</v>
      </c>
      <c r="E38" s="23">
        <f t="shared" si="5"/>
        <v>0.85264016435409218</v>
      </c>
      <c r="F38" s="71">
        <f t="shared" si="6"/>
        <v>2.3619253537242498E-8</v>
      </c>
      <c r="G38" s="71">
        <f t="shared" si="7"/>
        <v>4.0640559330747523</v>
      </c>
      <c r="H38" s="99">
        <f t="shared" si="8"/>
        <v>-0.15760291827952511</v>
      </c>
      <c r="I38" s="99">
        <f t="shared" si="9"/>
        <v>4.0429874623289024</v>
      </c>
      <c r="J38" s="71">
        <f t="shared" si="10"/>
        <v>-5.12290672700498E-8</v>
      </c>
      <c r="K38" s="71">
        <f t="shared" si="11"/>
        <v>-3.1393212798760119E-8</v>
      </c>
      <c r="L38" s="42">
        <f t="shared" si="12"/>
        <v>6.0082868966016625E-8</v>
      </c>
      <c r="N38" s="2">
        <f t="shared" si="1"/>
        <v>1.0210176124166828</v>
      </c>
      <c r="O38" s="2">
        <v>1.017229779609282</v>
      </c>
      <c r="P38" s="2">
        <v>-1.1080661103427607</v>
      </c>
      <c r="Q38" s="193">
        <v>1.054868349862905</v>
      </c>
      <c r="R38" s="193">
        <v>-1.2183844088353308</v>
      </c>
      <c r="S38" s="191">
        <v>1.0849604021875492</v>
      </c>
      <c r="T38" s="191">
        <v>-1.3106908768730927</v>
      </c>
      <c r="U38" s="194">
        <v>1.111047036436938</v>
      </c>
      <c r="V38" s="194">
        <v>-1.38946787901661</v>
      </c>
      <c r="W38" s="3">
        <v>1.1362463020524112</v>
      </c>
      <c r="X38" s="3">
        <v>-1.4565958729173767</v>
      </c>
      <c r="Y38" s="194">
        <v>1.1618733366511651</v>
      </c>
      <c r="Z38" s="194">
        <v>-1.5135302672626247</v>
      </c>
      <c r="AA38" s="3">
        <v>1.214440918153961</v>
      </c>
      <c r="AB38" s="3">
        <v>-1.6027272723518482</v>
      </c>
      <c r="AC38" s="194">
        <v>1.2662702281483948</v>
      </c>
      <c r="AD38" s="194">
        <v>-1.6676848046494903</v>
      </c>
      <c r="AE38" s="3">
        <v>1.3802217073059038</v>
      </c>
      <c r="AF38" s="3">
        <v>-1.7686440551252238</v>
      </c>
      <c r="AG38" s="194">
        <v>1.4683251051004187</v>
      </c>
      <c r="AH38" s="194">
        <v>-1.8246448941668534</v>
      </c>
    </row>
    <row r="39" spans="1:59">
      <c r="A39" s="20">
        <f t="shared" si="0"/>
        <v>0.94247779607693793</v>
      </c>
      <c r="B39" s="23">
        <f t="shared" si="2"/>
        <v>0.58778525229247314</v>
      </c>
      <c r="C39" s="23">
        <f t="shared" si="3"/>
        <v>7.5875519174035695</v>
      </c>
      <c r="D39" s="23">
        <f t="shared" si="4"/>
        <v>8.9172202565021425E-3</v>
      </c>
      <c r="E39" s="23">
        <f t="shared" si="5"/>
        <v>0.80901699437494745</v>
      </c>
      <c r="F39" s="71">
        <f t="shared" si="6"/>
        <v>1.2957935764919031E-8</v>
      </c>
      <c r="G39" s="71">
        <f t="shared" si="7"/>
        <v>4.0640559764029449</v>
      </c>
      <c r="H39" s="99">
        <f t="shared" si="8"/>
        <v>-0.15760291827952688</v>
      </c>
      <c r="I39" s="99">
        <f t="shared" si="9"/>
        <v>4.0429874623289006</v>
      </c>
      <c r="J39" s="71">
        <f t="shared" si="10"/>
        <v>-2.6437776567410692E-8</v>
      </c>
      <c r="K39" s="71">
        <f t="shared" si="11"/>
        <v>-1.9208169022127452E-8</v>
      </c>
      <c r="L39" s="42">
        <f t="shared" si="12"/>
        <v>3.2678889011270665E-8</v>
      </c>
      <c r="N39" s="2">
        <f t="shared" si="1"/>
        <v>0.94247779607693793</v>
      </c>
      <c r="O39" s="2">
        <v>1.0172297787734679</v>
      </c>
      <c r="P39" s="2">
        <v>-1.1080661108922714</v>
      </c>
      <c r="Q39" s="193">
        <v>1.0548530430947005</v>
      </c>
      <c r="R39" s="193">
        <v>-1.218394563960818</v>
      </c>
      <c r="S39" s="191">
        <v>1.0846186512728426</v>
      </c>
      <c r="T39" s="191">
        <v>-1.3109183131026749</v>
      </c>
      <c r="U39" s="194">
        <v>1.1095608640560453</v>
      </c>
      <c r="V39" s="194">
        <v>-1.3904584753431948</v>
      </c>
      <c r="W39" s="3">
        <v>1.1328303987720987</v>
      </c>
      <c r="X39" s="3">
        <v>-1.4588748520244708</v>
      </c>
      <c r="Y39" s="194">
        <v>1.1561174184855922</v>
      </c>
      <c r="Z39" s="194">
        <v>-1.5173728313774293</v>
      </c>
      <c r="AA39" s="3">
        <v>1.2040214507297557</v>
      </c>
      <c r="AB39" s="3">
        <v>-1.6096885983293507</v>
      </c>
      <c r="AC39" s="194">
        <v>1.2521131246652808</v>
      </c>
      <c r="AD39" s="194">
        <v>-1.6771477216916868</v>
      </c>
      <c r="AE39" s="3">
        <v>1.3610377391582613</v>
      </c>
      <c r="AF39" s="3">
        <v>-1.7814750960890136</v>
      </c>
      <c r="AG39" s="194">
        <v>1.4477357973295164</v>
      </c>
      <c r="AH39" s="194">
        <v>-1.8384202317369205</v>
      </c>
    </row>
    <row r="40" spans="1:59">
      <c r="A40" s="20">
        <f t="shared" si="0"/>
        <v>0.86393797973719311</v>
      </c>
      <c r="B40" s="23">
        <f t="shared" si="2"/>
        <v>0.64944804833018366</v>
      </c>
      <c r="C40" s="23">
        <f t="shared" si="3"/>
        <v>7.64921471344128</v>
      </c>
      <c r="D40" s="23">
        <f t="shared" si="4"/>
        <v>4.4261546774030103E-3</v>
      </c>
      <c r="E40" s="23">
        <f t="shared" si="5"/>
        <v>0.76040596560003093</v>
      </c>
      <c r="F40" s="71">
        <f t="shared" si="6"/>
        <v>6.8985881943224925E-9</v>
      </c>
      <c r="G40" s="71">
        <f t="shared" si="7"/>
        <v>4.0640560010284732</v>
      </c>
      <c r="H40" s="99">
        <f t="shared" si="8"/>
        <v>-0.15760291827952733</v>
      </c>
      <c r="I40" s="99">
        <f t="shared" si="9"/>
        <v>4.0429874623288997</v>
      </c>
      <c r="J40" s="71">
        <f t="shared" si="10"/>
        <v>-1.3122664355930327E-8</v>
      </c>
      <c r="K40" s="71">
        <f t="shared" si="11"/>
        <v>-1.1207814168219973E-8</v>
      </c>
      <c r="L40" s="42">
        <f t="shared" si="12"/>
        <v>1.7257445298414147E-8</v>
      </c>
      <c r="N40" s="2">
        <f t="shared" si="1"/>
        <v>0.86393797973719311</v>
      </c>
      <c r="O40" s="2">
        <v>1.0172297785316662</v>
      </c>
      <c r="P40" s="2">
        <v>-1.1080661110798731</v>
      </c>
      <c r="Q40" s="193">
        <v>1.0548443429214651</v>
      </c>
      <c r="R40" s="193">
        <v>-1.2184013754796896</v>
      </c>
      <c r="S40" s="191">
        <v>1.0843751313879308</v>
      </c>
      <c r="T40" s="191">
        <v>-1.311109564662793</v>
      </c>
      <c r="U40" s="194">
        <v>1.1083748969959606</v>
      </c>
      <c r="V40" s="194">
        <v>-1.3913913525142418</v>
      </c>
      <c r="W40" s="3">
        <v>1.1299126389890599</v>
      </c>
      <c r="X40" s="3">
        <v>-1.4611721163778886</v>
      </c>
      <c r="Y40" s="194">
        <v>1.1509726068805519</v>
      </c>
      <c r="Z40" s="194">
        <v>-1.5214260894155434</v>
      </c>
      <c r="AA40" s="3">
        <v>1.1941639728290481</v>
      </c>
      <c r="AB40" s="3">
        <v>-1.6174607731414186</v>
      </c>
      <c r="AC40" s="194">
        <v>1.2382546261839442</v>
      </c>
      <c r="AD40" s="194">
        <v>-1.6880796892700558</v>
      </c>
      <c r="AE40" s="3">
        <v>1.341381703123675</v>
      </c>
      <c r="AF40" s="3">
        <v>-1.7969901242781621</v>
      </c>
      <c r="AG40" s="194">
        <v>1.4261503972598002</v>
      </c>
      <c r="AH40" s="194">
        <v>-1.8554635683094123</v>
      </c>
    </row>
    <row r="41" spans="1:59">
      <c r="A41" s="20">
        <f t="shared" si="0"/>
        <v>0.78539816339744828</v>
      </c>
      <c r="B41" s="23">
        <f t="shared" si="2"/>
        <v>0.70710678118654757</v>
      </c>
      <c r="C41" s="23">
        <f t="shared" si="3"/>
        <v>7.706873446297644</v>
      </c>
      <c r="D41" s="23">
        <f t="shared" si="4"/>
        <v>2.0924713364446727E-3</v>
      </c>
      <c r="E41" s="23">
        <f t="shared" si="5"/>
        <v>0.70710678118654746</v>
      </c>
      <c r="F41" s="71">
        <f t="shared" si="6"/>
        <v>3.533580914986494E-9</v>
      </c>
      <c r="G41" s="71">
        <f t="shared" si="7"/>
        <v>4.0640560147040512</v>
      </c>
      <c r="H41" s="99">
        <f t="shared" si="8"/>
        <v>-0.15760291827952733</v>
      </c>
      <c r="I41" s="99">
        <f t="shared" si="9"/>
        <v>4.0429874623288997</v>
      </c>
      <c r="J41" s="71">
        <f t="shared" si="10"/>
        <v>-6.2037594760876047E-9</v>
      </c>
      <c r="K41" s="71">
        <f t="shared" si="11"/>
        <v>-6.2037594760876047E-9</v>
      </c>
      <c r="L41" s="42">
        <f t="shared" si="12"/>
        <v>8.7734407887836973E-9</v>
      </c>
      <c r="N41" s="2">
        <f t="shared" si="1"/>
        <v>0.78539816339744828</v>
      </c>
      <c r="O41" s="2">
        <v>1.0172297784661204</v>
      </c>
      <c r="P41" s="2">
        <v>-1.1080661111394809</v>
      </c>
      <c r="Q41" s="193">
        <v>1.0548395110061817</v>
      </c>
      <c r="R41" s="193">
        <v>-1.2184058111769698</v>
      </c>
      <c r="S41" s="191">
        <v>1.0842031398660179</v>
      </c>
      <c r="T41" s="191">
        <v>-1.3112679665928226</v>
      </c>
      <c r="U41" s="194">
        <v>1.1074300730849878</v>
      </c>
      <c r="V41" s="194">
        <v>-1.392262947301969</v>
      </c>
      <c r="W41" s="3">
        <v>1.1274137130212338</v>
      </c>
      <c r="X41" s="3">
        <v>-1.4634796303673521</v>
      </c>
      <c r="Y41" s="194">
        <v>1.1463483186546264</v>
      </c>
      <c r="Z41" s="194">
        <v>-1.5256989721361991</v>
      </c>
      <c r="AA41" s="3">
        <v>1.1847518536146688</v>
      </c>
      <c r="AB41" s="3">
        <v>-1.6261648005134288</v>
      </c>
      <c r="AC41" s="194">
        <v>1.2245328330045522</v>
      </c>
      <c r="AD41" s="194">
        <v>-1.7007754285094865</v>
      </c>
      <c r="AE41" s="3">
        <v>1.3209511264995126</v>
      </c>
      <c r="AF41" s="3">
        <v>-1.8159054620606501</v>
      </c>
      <c r="AG41" s="194">
        <v>1.4031599688805936</v>
      </c>
      <c r="AH41" s="194">
        <v>-1.8767559575289441</v>
      </c>
    </row>
    <row r="42" spans="1:59">
      <c r="A42" s="20">
        <f t="shared" si="0"/>
        <v>0.70685834705770345</v>
      </c>
      <c r="B42" s="23">
        <f t="shared" si="2"/>
        <v>0.76040596560003093</v>
      </c>
      <c r="C42" s="23">
        <f t="shared" si="3"/>
        <v>7.7601726307111267</v>
      </c>
      <c r="D42" s="23">
        <f t="shared" si="4"/>
        <v>9.3029811480446669E-4</v>
      </c>
      <c r="E42" s="23">
        <f t="shared" si="5"/>
        <v>0.64944804833018366</v>
      </c>
      <c r="F42" s="71">
        <f t="shared" si="6"/>
        <v>1.7223103248901237E-9</v>
      </c>
      <c r="G42" s="71">
        <f t="shared" si="7"/>
        <v>4.0640560220651567</v>
      </c>
      <c r="H42" s="99">
        <f t="shared" si="8"/>
        <v>-0.15760291827952733</v>
      </c>
      <c r="I42" s="99">
        <f t="shared" si="9"/>
        <v>4.0429874623288997</v>
      </c>
      <c r="J42" s="71">
        <f t="shared" si="10"/>
        <v>-2.7581480543053757E-9</v>
      </c>
      <c r="K42" s="71">
        <f t="shared" si="11"/>
        <v>-3.2293764526575936E-9</v>
      </c>
      <c r="L42" s="42">
        <f t="shared" si="12"/>
        <v>4.2469109906434198E-9</v>
      </c>
      <c r="N42" s="2">
        <f t="shared" si="1"/>
        <v>0.70685834705770345</v>
      </c>
      <c r="O42" s="2">
        <v>1.0172297784497777</v>
      </c>
      <c r="P42" s="2">
        <v>-1.1080661111568562</v>
      </c>
      <c r="Q42" s="193">
        <v>1.0548369099470731</v>
      </c>
      <c r="R42" s="193">
        <v>-1.2184086046762079</v>
      </c>
      <c r="S42" s="191">
        <v>1.0840832767627777</v>
      </c>
      <c r="T42" s="191">
        <v>-1.3113971501934492</v>
      </c>
      <c r="U42" s="194">
        <v>1.1066806004725527</v>
      </c>
      <c r="V42" s="194">
        <v>-1.3930721282824368</v>
      </c>
      <c r="W42" s="3">
        <v>1.1252710741871987</v>
      </c>
      <c r="X42" s="3">
        <v>-1.4657954300062666</v>
      </c>
      <c r="Y42" s="194">
        <v>1.1421719933535268</v>
      </c>
      <c r="Z42" s="194">
        <v>-1.5302160211948226</v>
      </c>
      <c r="AA42" s="3">
        <v>1.1756805907051306</v>
      </c>
      <c r="AB42" s="3">
        <v>-1.6359848630358169</v>
      </c>
      <c r="AC42" s="194">
        <v>1.2107810365355953</v>
      </c>
      <c r="AD42" s="194">
        <v>-1.7156703362465118</v>
      </c>
      <c r="AE42" s="3">
        <v>1.2993776560871162</v>
      </c>
      <c r="AF42" s="3">
        <v>-1.8392888938416045</v>
      </c>
      <c r="AG42" s="194">
        <v>1.3782372909676384</v>
      </c>
      <c r="AH42" s="194">
        <v>-1.9037792710575692</v>
      </c>
    </row>
    <row r="43" spans="1:59">
      <c r="A43" s="20">
        <f t="shared" si="0"/>
        <v>0.62831853071795862</v>
      </c>
      <c r="B43" s="23">
        <f t="shared" si="2"/>
        <v>0.80901699437494745</v>
      </c>
      <c r="C43" s="23">
        <f t="shared" si="3"/>
        <v>7.8087836594860436</v>
      </c>
      <c r="D43" s="23">
        <f t="shared" si="4"/>
        <v>3.8242492436979059E-4</v>
      </c>
      <c r="E43" s="23">
        <f t="shared" si="5"/>
        <v>0.58778525229247314</v>
      </c>
      <c r="F43" s="71">
        <f t="shared" si="6"/>
        <v>7.8717844383480968E-10</v>
      </c>
      <c r="G43" s="71">
        <f t="shared" si="7"/>
        <v>4.0640560258655851</v>
      </c>
      <c r="H43" s="99">
        <f t="shared" si="8"/>
        <v>-0.15760291827952777</v>
      </c>
      <c r="I43" s="99">
        <f t="shared" si="9"/>
        <v>4.0429874623288997</v>
      </c>
      <c r="J43" s="71">
        <f t="shared" si="10"/>
        <v>-1.1338134994394959E-9</v>
      </c>
      <c r="K43" s="71">
        <f t="shared" si="11"/>
        <v>-1.5605604018146756E-9</v>
      </c>
      <c r="L43" s="42">
        <f t="shared" si="12"/>
        <v>1.9289587396373248E-9</v>
      </c>
      <c r="N43" s="2">
        <f t="shared" si="1"/>
        <v>0.62831853071795862</v>
      </c>
      <c r="O43" s="2">
        <v>1.0172297784461191</v>
      </c>
      <c r="P43" s="2">
        <v>-1.1080661111614099</v>
      </c>
      <c r="Q43" s="193">
        <v>1.0548355669463256</v>
      </c>
      <c r="R43" s="193">
        <v>-1.218410294906966</v>
      </c>
      <c r="S43" s="191">
        <v>1.0840013224188134</v>
      </c>
      <c r="T43" s="191">
        <v>-1.3115007002623784</v>
      </c>
      <c r="U43" s="195">
        <v>1.1060906296731168</v>
      </c>
      <c r="V43" s="195">
        <v>-1.3938190443010281</v>
      </c>
      <c r="W43" s="36">
        <v>1.1234353385848213</v>
      </c>
      <c r="X43" s="36">
        <v>-1.4681222931560163</v>
      </c>
      <c r="Y43" s="195">
        <v>1.1383856969310044</v>
      </c>
      <c r="Z43" s="195">
        <v>-1.5350191270830731</v>
      </c>
      <c r="AA43" s="36">
        <v>1.1668531352830653</v>
      </c>
      <c r="AB43" s="36">
        <v>-1.6471941284329081</v>
      </c>
      <c r="AC43" s="195">
        <v>1.1968169820872543</v>
      </c>
      <c r="AD43" s="195">
        <v>-1.7334127996773729</v>
      </c>
      <c r="AE43" s="36">
        <v>1.276187993869291</v>
      </c>
      <c r="AF43" s="36">
        <v>-1.868776889708214</v>
      </c>
      <c r="AG43" s="195">
        <v>1.3506695927076997</v>
      </c>
      <c r="AH43" s="195">
        <v>-1.9388485133371911</v>
      </c>
      <c r="AI43" s="28"/>
      <c r="AJ43" s="28"/>
      <c r="AK43" s="28"/>
      <c r="AL43" s="28"/>
      <c r="AM43" s="28"/>
      <c r="AN43" s="28"/>
      <c r="AO43" s="28"/>
      <c r="AP43" s="28"/>
      <c r="AQ43" s="28"/>
    </row>
    <row r="44" spans="1:59">
      <c r="A44" s="20">
        <f t="shared" si="0"/>
        <v>0.5497787143782138</v>
      </c>
      <c r="B44" s="23">
        <f t="shared" si="2"/>
        <v>0.85264016435409218</v>
      </c>
      <c r="C44" s="23">
        <f t="shared" si="3"/>
        <v>7.8524068294651883</v>
      </c>
      <c r="D44" s="23">
        <f t="shared" si="4"/>
        <v>1.4196668856351896E-4</v>
      </c>
      <c r="E44" s="23">
        <f t="shared" si="5"/>
        <v>0.5224985647159488</v>
      </c>
      <c r="F44" s="71">
        <f t="shared" si="6"/>
        <v>3.3057228544114945E-10</v>
      </c>
      <c r="G44" s="71">
        <f t="shared" si="7"/>
        <v>4.0640560277212581</v>
      </c>
      <c r="H44" s="99">
        <f t="shared" si="8"/>
        <v>-0.15760291827952777</v>
      </c>
      <c r="I44" s="99">
        <f t="shared" si="9"/>
        <v>4.0429874623288997</v>
      </c>
      <c r="J44" s="71">
        <f t="shared" si="10"/>
        <v>-4.2090286931297028E-10</v>
      </c>
      <c r="K44" s="71">
        <f t="shared" si="11"/>
        <v>-6.8685105740571926E-10</v>
      </c>
      <c r="L44" s="42">
        <f t="shared" si="12"/>
        <v>8.0555794357404609E-10</v>
      </c>
      <c r="N44" s="2">
        <f t="shared" si="1"/>
        <v>0.5497787143782138</v>
      </c>
      <c r="O44" s="2">
        <v>1.0172297784454065</v>
      </c>
      <c r="P44" s="2">
        <v>-1.108066111162453</v>
      </c>
      <c r="Q44" s="193">
        <v>1.054834911125202</v>
      </c>
      <c r="R44" s="193">
        <v>-1.2184112676789525</v>
      </c>
      <c r="S44" s="191">
        <v>1.0839467692135456</v>
      </c>
      <c r="T44" s="191">
        <v>-1.3115819914511588</v>
      </c>
      <c r="U44" s="194">
        <v>1.1056318098823397</v>
      </c>
      <c r="V44" s="194">
        <v>-1.3945043376548689</v>
      </c>
      <c r="W44" s="3">
        <v>1.1218676422812046</v>
      </c>
      <c r="X44" s="3">
        <v>-1.4704670918068303</v>
      </c>
      <c r="Y44" s="194">
        <v>1.1349437255710833</v>
      </c>
      <c r="Z44" s="194">
        <v>-1.5401720992622943</v>
      </c>
      <c r="AA44" s="3">
        <v>1.1581751694306524</v>
      </c>
      <c r="AB44" s="3">
        <v>-1.6602011492949571</v>
      </c>
      <c r="AC44" s="194">
        <v>1.182427910490262</v>
      </c>
      <c r="AD44" s="194">
        <v>-1.7549951475921763</v>
      </c>
      <c r="AE44" s="3">
        <v>1.2507397161199698</v>
      </c>
      <c r="AF44" s="3">
        <v>-1.9069830347159971</v>
      </c>
      <c r="AG44" s="194">
        <v>1.3194436003306358</v>
      </c>
      <c r="AH44" s="194">
        <v>-1.9857510653023378</v>
      </c>
      <c r="AQ44" s="28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</row>
    <row r="45" spans="1:59">
      <c r="A45" s="20">
        <f t="shared" si="0"/>
        <v>0.47123889803846897</v>
      </c>
      <c r="B45" s="23">
        <f t="shared" si="2"/>
        <v>0.8910065241883679</v>
      </c>
      <c r="C45" s="23">
        <f t="shared" si="3"/>
        <v>7.8907731892994644</v>
      </c>
      <c r="D45" s="23">
        <f t="shared" si="4"/>
        <v>4.5985482597026483E-5</v>
      </c>
      <c r="E45" s="23">
        <f t="shared" si="5"/>
        <v>0.45399049973954675</v>
      </c>
      <c r="F45" s="71">
        <f t="shared" si="6"/>
        <v>1.2383854526339402E-10</v>
      </c>
      <c r="G45" s="71">
        <f t="shared" si="7"/>
        <v>4.0640560285614358</v>
      </c>
      <c r="H45" s="99">
        <f t="shared" si="8"/>
        <v>-0.15760291827952777</v>
      </c>
      <c r="I45" s="99">
        <f t="shared" si="9"/>
        <v>4.0429874623288997</v>
      </c>
      <c r="J45" s="71">
        <f t="shared" si="10"/>
        <v>-1.3633776886449018E-10</v>
      </c>
      <c r="K45" s="71">
        <f t="shared" si="11"/>
        <v>-2.6757793747058151E-10</v>
      </c>
      <c r="L45" s="42">
        <f t="shared" si="12"/>
        <v>3.0030973983531997E-10</v>
      </c>
      <c r="N45" s="2">
        <f t="shared" si="1"/>
        <v>0.47123889803846897</v>
      </c>
      <c r="O45" s="2">
        <v>1.0172297784452913</v>
      </c>
      <c r="P45" s="2">
        <v>-1.1080661111626533</v>
      </c>
      <c r="Q45" s="193">
        <v>1.0548346141637159</v>
      </c>
      <c r="R45" s="193">
        <v>-1.2184117923097251</v>
      </c>
      <c r="S45" s="191">
        <v>1.0839117957784625</v>
      </c>
      <c r="T45" s="191">
        <v>-1.3116441271733219</v>
      </c>
      <c r="U45" s="194">
        <v>1.1052814650596221</v>
      </c>
      <c r="V45" s="194">
        <v>-1.3951285655514565</v>
      </c>
      <c r="W45" s="3">
        <v>1.1205377204097118</v>
      </c>
      <c r="X45" s="3">
        <v>-1.4728407832367201</v>
      </c>
      <c r="Y45" s="194">
        <v>1.1318110672046182</v>
      </c>
      <c r="Z45" s="194">
        <v>-1.5457698401502613</v>
      </c>
      <c r="AA45" s="3">
        <v>1.1495495782352423</v>
      </c>
      <c r="AB45" s="3">
        <v>-1.6756365062718992</v>
      </c>
      <c r="AC45" s="194">
        <v>1.1673471842899406</v>
      </c>
      <c r="AD45" s="194">
        <v>-1.7820053243270146</v>
      </c>
      <c r="AE45" s="196">
        <v>1.2221076919624747</v>
      </c>
      <c r="AF45" s="196">
        <v>-1.9583236955501282</v>
      </c>
      <c r="AG45" s="194">
        <v>1.2830347437688419</v>
      </c>
      <c r="AH45" s="194">
        <v>-2.0510746036796084</v>
      </c>
      <c r="AI45" s="7"/>
      <c r="AJ45" s="7"/>
      <c r="AK45" s="7"/>
      <c r="AL45" s="7"/>
      <c r="AM45" s="7"/>
      <c r="AQ45" s="28"/>
      <c r="AR45" s="14"/>
      <c r="AS45" s="144"/>
      <c r="AT45" s="144"/>
      <c r="AU45" s="144"/>
      <c r="AV45" s="144"/>
      <c r="AW45" s="144"/>
      <c r="AX45" s="144"/>
      <c r="AY45" s="7"/>
      <c r="AZ45" s="7"/>
      <c r="BA45" s="7"/>
      <c r="BB45" s="7"/>
      <c r="BC45" s="7"/>
      <c r="BD45" s="7"/>
      <c r="BE45" s="7"/>
      <c r="BF45" s="7"/>
      <c r="BG45" s="7"/>
    </row>
    <row r="46" spans="1:59">
      <c r="A46" s="20">
        <f t="shared" si="0"/>
        <v>0.39269908169872414</v>
      </c>
      <c r="B46" s="23">
        <f t="shared" si="2"/>
        <v>0.92387953251128674</v>
      </c>
      <c r="C46" s="23">
        <f t="shared" si="3"/>
        <v>7.9236461976223831</v>
      </c>
      <c r="D46" s="23">
        <f t="shared" si="4"/>
        <v>1.2325261726820665E-5</v>
      </c>
      <c r="E46" s="23">
        <f t="shared" si="5"/>
        <v>0.38268343236508978</v>
      </c>
      <c r="F46" s="71">
        <f t="shared" si="6"/>
        <v>3.9540655325677457E-11</v>
      </c>
      <c r="G46" s="71">
        <f t="shared" si="7"/>
        <v>4.0640560289040266</v>
      </c>
      <c r="H46" s="99">
        <f t="shared" si="8"/>
        <v>-0.15760291827952777</v>
      </c>
      <c r="I46" s="99">
        <f t="shared" si="9"/>
        <v>4.0429874623288997</v>
      </c>
      <c r="J46" s="71">
        <f t="shared" si="10"/>
        <v>-3.6541938664231407E-11</v>
      </c>
      <c r="K46" s="71">
        <f t="shared" si="11"/>
        <v>-8.8220043918593246E-11</v>
      </c>
      <c r="L46" s="42">
        <f t="shared" si="12"/>
        <v>9.5488687446937766E-11</v>
      </c>
      <c r="N46" s="2">
        <f t="shared" si="1"/>
        <v>0.39269908169872414</v>
      </c>
      <c r="O46" s="2">
        <v>1.0172297784452768</v>
      </c>
      <c r="P46" s="2">
        <v>-1.1080661111626839</v>
      </c>
      <c r="Q46" s="193">
        <v>1.0548344930600861</v>
      </c>
      <c r="R46" s="193">
        <v>-1.218412051463682</v>
      </c>
      <c r="S46" s="191">
        <v>1.0838905447083418</v>
      </c>
      <c r="T46" s="191">
        <v>-1.3116899374872375</v>
      </c>
      <c r="U46" s="194">
        <v>1.1050212028739257</v>
      </c>
      <c r="V46" s="194">
        <v>-1.3956917093317809</v>
      </c>
      <c r="W46" s="3">
        <v>1.1194225587379094</v>
      </c>
      <c r="X46" s="3">
        <v>-1.4752591859055175</v>
      </c>
      <c r="Y46" s="194">
        <v>1.1289627204710164</v>
      </c>
      <c r="Z46" s="194">
        <v>-1.5519562789429036</v>
      </c>
      <c r="AA46" s="3">
        <v>1.1408687796853136</v>
      </c>
      <c r="AB46" s="3">
        <v>-1.6945264457777589</v>
      </c>
      <c r="AC46" s="194">
        <v>1.1512135620965687</v>
      </c>
      <c r="AD46" s="194">
        <v>-1.8171530606596398</v>
      </c>
      <c r="AE46" s="196">
        <v>1.1888650719276737</v>
      </c>
      <c r="AF46" s="196">
        <v>-2.0308543432177162</v>
      </c>
      <c r="AG46" s="194">
        <v>1.2389858891851593</v>
      </c>
      <c r="AH46" s="194">
        <v>-2.1472563793552175</v>
      </c>
      <c r="AI46" s="7"/>
      <c r="AJ46" s="7"/>
      <c r="AK46" s="7"/>
      <c r="AL46" s="7"/>
      <c r="AM46" s="7"/>
      <c r="AQ46" s="28"/>
      <c r="AR46" s="7"/>
      <c r="AS46" s="144"/>
      <c r="AT46" s="144"/>
      <c r="AU46" s="144"/>
      <c r="AV46" s="144"/>
      <c r="AW46" s="144"/>
      <c r="AX46" s="144"/>
      <c r="AY46" s="7"/>
      <c r="AZ46" s="7"/>
      <c r="BA46" s="15"/>
      <c r="BB46" s="15"/>
      <c r="BC46" s="15"/>
      <c r="BD46" s="15"/>
      <c r="BE46" s="15"/>
      <c r="BF46" s="15"/>
      <c r="BG46" s="7"/>
    </row>
    <row r="47" spans="1:59">
      <c r="A47" s="20">
        <f t="shared" ref="A47:A55" si="13">N47</f>
        <v>0.31415926535897931</v>
      </c>
      <c r="B47" s="23">
        <f>COS(A47)</f>
        <v>0.95105651629515353</v>
      </c>
      <c r="C47" s="23">
        <f>($C$6+B47)</f>
        <v>7.9508231814062498</v>
      </c>
      <c r="D47" s="23">
        <f>POWER(TAN(A47/2),$C$6)</f>
        <v>2.5013492549424659E-6</v>
      </c>
      <c r="E47" s="23">
        <f>SIN(A47)</f>
        <v>0.3090169943749474</v>
      </c>
      <c r="F47" s="71">
        <f>(C47*$H$6*D47/E47/$I$6/$J$6)</f>
        <v>9.9716347847541735E-12</v>
      </c>
      <c r="G47" s="71">
        <f>$D$6*($C$6+$G$6)/9.81/SIN($C$3)/(1-$C$6*$C$6)*(F47-1)</f>
        <v>4.0640560290241963</v>
      </c>
      <c r="H47" s="99">
        <f>-(-$H$3+$K$6*((POWER(TAN(A47/2),2*$C$6-1)/(2*$C$6-1))+(POWER(TAN(A47/2),2*$C$6+1)/(2*$C$6+1))-(POWER(TAN($E$6/2),2*$C$6-1)/(2*$C$6-1))-(POWER(TAN($E$6/2),2*$C$6+1)/(2*$C$6+1))))</f>
        <v>-0.15760291827952777</v>
      </c>
      <c r="I47" s="99">
        <f>-(-$I$3+0.5*$K$6*((POWER(TAN(A47/2),2*$C$6-2)/(2*$C$6-2))-(POWER(TAN(A47/2),2*$C$6+2)/(2*$C$6+2))-(POWER(TAN($E$6/2),2*$C$6-2)/(2*$C$6-2))+(POWER(TAN($E$6/2),2*$C$6+2)/(2*$C$6+2))))</f>
        <v>4.0429874623288997</v>
      </c>
      <c r="J47" s="71">
        <f>-$D$6*SIN(A47)*($C$6+$G$6)/($C$6+B47)*F47</f>
        <v>-7.4160008183052585E-12</v>
      </c>
      <c r="K47" s="71">
        <f>-$D$6*COS(A47)*($C$6+$G$6)/($C$6+B47)*F47</f>
        <v>-2.2824103630176301E-11</v>
      </c>
      <c r="L47" s="42">
        <f>SQRT(J47*J47+K47*K47)</f>
        <v>2.3998682769229883E-11</v>
      </c>
      <c r="N47" s="2">
        <f>N46-PI()/40</f>
        <v>0.31415926535897931</v>
      </c>
      <c r="O47" s="2">
        <v>1.0172297784452755</v>
      </c>
      <c r="P47" s="2">
        <v>-1.1080661111626871</v>
      </c>
      <c r="Q47" s="193">
        <v>1.0548344930600861</v>
      </c>
      <c r="R47" s="193">
        <v>-1.218412051463682</v>
      </c>
      <c r="S47" s="191">
        <v>1.0838905447083418</v>
      </c>
      <c r="T47" s="191">
        <v>-1.3116899374872375</v>
      </c>
      <c r="U47" s="194">
        <v>1.1048358178149393</v>
      </c>
      <c r="V47" s="194">
        <v>-1.3961926492461703</v>
      </c>
      <c r="W47" s="3">
        <v>1.1185055454358261</v>
      </c>
      <c r="X47" s="3">
        <v>-1.4777450570360364</v>
      </c>
      <c r="Y47" s="194">
        <v>1.1263840975746051</v>
      </c>
      <c r="Z47" s="194">
        <v>-1.5589615184185472</v>
      </c>
      <c r="AA47" s="3">
        <v>1.1320020229865619</v>
      </c>
      <c r="AB47" s="3">
        <v>-1.718679293096417</v>
      </c>
      <c r="AC47" s="194">
        <v>1.1334914899439377</v>
      </c>
      <c r="AD47" s="194">
        <v>-1.8655057191425961</v>
      </c>
      <c r="AE47" s="196">
        <v>1.1486124091676064</v>
      </c>
      <c r="AF47" s="196">
        <v>-2.1409166886734878</v>
      </c>
      <c r="AG47" s="194">
        <v>1.1829652219444107</v>
      </c>
      <c r="AH47" s="194">
        <v>-2.3005992146205325</v>
      </c>
      <c r="AI47" s="7"/>
      <c r="AJ47" s="7"/>
      <c r="AK47" s="7"/>
      <c r="AL47" s="7"/>
      <c r="AM47" s="7"/>
      <c r="AQ47" s="28"/>
      <c r="AR47" s="7"/>
      <c r="AS47" s="144"/>
      <c r="AT47" s="144"/>
      <c r="AU47" s="144"/>
      <c r="AV47" s="144"/>
      <c r="AW47" s="144"/>
      <c r="AX47" s="144"/>
      <c r="AY47" s="7"/>
      <c r="AZ47" s="7"/>
      <c r="BA47" s="16"/>
      <c r="BB47" s="16"/>
      <c r="BC47" s="16"/>
      <c r="BD47" s="16"/>
      <c r="BE47" s="16"/>
      <c r="BF47" s="16"/>
      <c r="BG47" s="7"/>
    </row>
    <row r="48" spans="1:59">
      <c r="A48" s="20">
        <f t="shared" si="13"/>
        <v>0.23561944901923448</v>
      </c>
      <c r="B48" s="23">
        <f>COS(A48)</f>
        <v>0.97236992039767656</v>
      </c>
      <c r="C48" s="23">
        <f>($C$6+B48)</f>
        <v>7.9721365855087729</v>
      </c>
      <c r="D48" s="23">
        <f>POWER(TAN(A48/2),$C$6)</f>
        <v>3.2553256069808294E-7</v>
      </c>
      <c r="E48" s="23">
        <f>SIN(A48)</f>
        <v>0.23344536385590539</v>
      </c>
      <c r="F48" s="71">
        <f>(C48*$H$6*D48/E48/$I$6/$J$6)</f>
        <v>1.7224483566112387E-12</v>
      </c>
      <c r="G48" s="71">
        <f>$D$6*($C$6+$G$6)/9.81/SIN($C$3)/(1-$C$6*$C$6)*(F48-1)</f>
        <v>4.0640560290577223</v>
      </c>
      <c r="H48" s="99">
        <f>-(-$H$3+$K$6*((POWER(TAN(A48/2),2*$C$6-1)/(2*$C$6-1))+(POWER(TAN(A48/2),2*$C$6+1)/(2*$C$6+1))-(POWER(TAN($E$6/2),2*$C$6-1)/(2*$C$6-1))-(POWER(TAN($E$6/2),2*$C$6+1)/(2*$C$6+1))))</f>
        <v>-0.15760291827952777</v>
      </c>
      <c r="I48" s="99">
        <f>-(-$I$3+0.5*$K$6*((POWER(TAN(A48/2),2*$C$6-2)/(2*$C$6-2))-(POWER(TAN(A48/2),2*$C$6+2)/(2*$C$6+2))-(POWER(TAN($E$6/2),2*$C$6-2)/(2*$C$6-2))+(POWER(TAN($E$6/2),2*$C$6+2)/(2*$C$6+2))))</f>
        <v>4.0429874623288997</v>
      </c>
      <c r="J48" s="71">
        <f>-$D$6*SIN(A48)*($C$6+$G$6)/($C$6+B48)*F48</f>
        <v>-9.6513900717855456E-13</v>
      </c>
      <c r="K48" s="71">
        <f>-$D$6*COS(A48)*($C$6+$G$6)/($C$6+B48)*F48</f>
        <v>-4.0200932847061284E-12</v>
      </c>
      <c r="L48" s="42">
        <f>SQRT(J48*J48+K48*K48)</f>
        <v>4.1343250139432571E-12</v>
      </c>
      <c r="N48" s="2">
        <f>N47-PI()/40</f>
        <v>0.23561944901923448</v>
      </c>
      <c r="O48" s="2">
        <v>1.0172297784452753</v>
      </c>
      <c r="P48" s="2">
        <v>-1.1080661111626875</v>
      </c>
      <c r="Q48" s="193">
        <v>1.0548344930600861</v>
      </c>
      <c r="R48" s="193">
        <v>-1.218412051463682</v>
      </c>
      <c r="S48" s="191">
        <v>1.0838905447083418</v>
      </c>
      <c r="T48" s="191">
        <v>-1.3116899374872375</v>
      </c>
      <c r="U48" s="194">
        <v>1.1047123737113367</v>
      </c>
      <c r="V48" s="194">
        <v>-1.3966284154837481</v>
      </c>
      <c r="W48" s="3">
        <v>1.1177761507013921</v>
      </c>
      <c r="X48" s="3">
        <v>-1.4803329952212612</v>
      </c>
      <c r="Y48" s="194">
        <v>1.1240732559352924</v>
      </c>
      <c r="Z48" s="194">
        <v>-1.5671885643888031</v>
      </c>
      <c r="AA48" s="3">
        <v>1.1227700996548244</v>
      </c>
      <c r="AB48" s="3">
        <v>-1.7516878544861185</v>
      </c>
      <c r="AC48" s="194">
        <v>1.1132908374561303</v>
      </c>
      <c r="AD48" s="194">
        <v>-1.9379190960237076</v>
      </c>
      <c r="AE48" s="196">
        <v>1.0968006244332713</v>
      </c>
      <c r="AF48" s="196">
        <v>-2.3272869664118074</v>
      </c>
      <c r="AG48" s="194">
        <v>1.1062987841577718</v>
      </c>
      <c r="AH48" s="194">
        <v>-2.5768498963590352</v>
      </c>
      <c r="AI48" s="7"/>
      <c r="AJ48" s="7"/>
      <c r="AK48" s="7"/>
      <c r="AL48" s="7"/>
      <c r="AM48" s="7"/>
      <c r="AQ48" s="28"/>
    </row>
    <row r="49" spans="1:43">
      <c r="A49" s="20">
        <f t="shared" si="13"/>
        <v>0.15707963267948966</v>
      </c>
      <c r="B49" s="23">
        <f>COS(A49)</f>
        <v>0.98768834059513777</v>
      </c>
      <c r="C49" s="23">
        <f>($C$6+B49)</f>
        <v>7.9874550057062343</v>
      </c>
      <c r="D49" s="23">
        <f>POWER(TAN(A49/2),$C$6)</f>
        <v>1.8713139850562621E-8</v>
      </c>
      <c r="E49" s="23">
        <f>SIN(A49)</f>
        <v>0.15643446504023087</v>
      </c>
      <c r="F49" s="71">
        <f>(C49*$H$6*D49/E49/$I$6/$J$6)</f>
        <v>1.4804200023104015E-13</v>
      </c>
      <c r="G49" s="71">
        <f>$D$6*($C$6+$G$6)/9.81/SIN($C$3)/(1-$C$6*$C$6)*(F49-1)</f>
        <v>4.0640560290641208</v>
      </c>
      <c r="H49" s="99">
        <f>-(-$H$3+$K$6*((POWER(TAN(A49/2),2*$C$6-1)/(2*$C$6-1))+(POWER(TAN(A49/2),2*$C$6+1)/(2*$C$6+1))-(POWER(TAN($E$6/2),2*$C$6-1)/(2*$C$6-1))-(POWER(TAN($E$6/2),2*$C$6+1)/(2*$C$6+1))))</f>
        <v>-0.15760291827952777</v>
      </c>
      <c r="I49" s="99">
        <f>-(-$I$3+0.5*$K$6*((POWER(TAN(A49/2),2*$C$6-2)/(2*$C$6-2))-(POWER(TAN(A49/2),2*$C$6+2)/(2*$C$6+2))-(POWER(TAN($E$6/2),2*$C$6-2)/(2*$C$6-2))+(POWER(TAN($E$6/2),2*$C$6+2)/(2*$C$6+2))))</f>
        <v>4.0429874623288997</v>
      </c>
      <c r="J49" s="71">
        <f>-$D$6*SIN(A49)*($C$6+$G$6)/($C$6+B49)*F49</f>
        <v>-5.5480721123058499E-14</v>
      </c>
      <c r="K49" s="71">
        <f>-$D$6*COS(A49)*($C$6+$G$6)/($C$6+B49)*F49</f>
        <v>-3.5029148702597423E-13</v>
      </c>
      <c r="L49" s="42">
        <f>SQRT(J49*J49+K49*K49)</f>
        <v>3.5465791447421959E-13</v>
      </c>
      <c r="N49" s="2">
        <f>N48-PI()/40</f>
        <v>0.15707963267948966</v>
      </c>
      <c r="O49" s="2">
        <v>1.0172297784452753</v>
      </c>
      <c r="P49" s="2">
        <v>-1.1080661111626875</v>
      </c>
      <c r="Q49" s="193">
        <v>1.0548344930600861</v>
      </c>
      <c r="R49" s="193">
        <v>-1.218412051463682</v>
      </c>
      <c r="S49" s="191">
        <v>1.0838905447083418</v>
      </c>
      <c r="T49" s="191">
        <v>-1.3116899374872375</v>
      </c>
      <c r="U49" s="194">
        <v>1.1046393435855628</v>
      </c>
      <c r="V49" s="194">
        <v>-1.3969927619169282</v>
      </c>
      <c r="W49" s="3">
        <v>1.1172303774637287</v>
      </c>
      <c r="X49" s="3">
        <v>-1.4830823299505735</v>
      </c>
      <c r="Y49" s="194">
        <v>1.1220473245408498</v>
      </c>
      <c r="Z49" s="194">
        <v>-1.5774611579194522</v>
      </c>
      <c r="AA49" s="3">
        <v>1.1128824602641987</v>
      </c>
      <c r="AB49" s="3">
        <v>-1.802238246506584</v>
      </c>
      <c r="AC49" s="194">
        <v>1.0888638705735811</v>
      </c>
      <c r="AD49" s="194">
        <v>-2.0634223581897011</v>
      </c>
      <c r="AE49" s="196">
        <v>1.0230211218142513</v>
      </c>
      <c r="AF49" s="196">
        <v>-2.7088764876627121</v>
      </c>
      <c r="AG49" s="194">
        <v>0.98771165465068012</v>
      </c>
      <c r="AH49" s="194">
        <v>-3.1922235605514593</v>
      </c>
      <c r="AI49" s="7"/>
      <c r="AJ49" s="7"/>
      <c r="AK49" s="7"/>
      <c r="AL49" s="7"/>
      <c r="AM49" s="7"/>
      <c r="AQ49" s="28"/>
    </row>
    <row r="50" spans="1:43">
      <c r="A50" s="20">
        <f t="shared" si="13"/>
        <v>7.8539816339744828E-2</v>
      </c>
      <c r="B50" s="23">
        <f>COS(A50)</f>
        <v>0.99691733373312796</v>
      </c>
      <c r="C50" s="23">
        <f>($C$6+B50)</f>
        <v>7.9966839988442242</v>
      </c>
      <c r="D50" s="23">
        <f>POWER(TAN(A50/2),$C$6)</f>
        <v>1.4464735085057408E-10</v>
      </c>
      <c r="E50" s="23">
        <f>SIN(A50)</f>
        <v>7.8459095727844944E-2</v>
      </c>
      <c r="F50" s="71">
        <f>(C50*$H$6*D50/E50/$I$6/$J$6)</f>
        <v>2.2842278273672513E-15</v>
      </c>
      <c r="G50" s="71">
        <f>$D$6*($C$6+$G$6)/9.81/SIN($C$3)/(1-$C$6*$C$6)*(F50-1)</f>
        <v>4.0640560290647123</v>
      </c>
      <c r="H50" s="99">
        <f>-(-$H$3+$K$6*((POWER(TAN(A50/2),2*$C$6-1)/(2*$C$6-1))+(POWER(TAN(A50/2),2*$C$6+1)/(2*$C$6+1))-(POWER(TAN($E$6/2),2*$C$6-1)/(2*$C$6-1))-(POWER(TAN($E$6/2),2*$C$6+1)/(2*$C$6+1))))</f>
        <v>-0.15760291827952777</v>
      </c>
      <c r="I50" s="99">
        <f>-(-$I$3+0.5*$K$6*((POWER(TAN(A50/2),2*$C$6-2)/(2*$C$6-2))-(POWER(TAN(A50/2),2*$C$6+2)/(2*$C$6+2))-(POWER(TAN($E$6/2),2*$C$6-2)/(2*$C$6-2))+(POWER(TAN($E$6/2),2*$C$6+2)/(2*$C$6+2))))</f>
        <v>4.0429874623288997</v>
      </c>
      <c r="J50" s="71">
        <f>-$D$6*SIN(A50)*($C$6+$G$6)/($C$6+B50)*F50</f>
        <v>-4.2885049744811377E-16</v>
      </c>
      <c r="K50" s="71">
        <f>-$D$6*COS(A50)*($C$6+$G$6)/($C$6+B50)*F50</f>
        <v>-5.4490622217861008E-15</v>
      </c>
      <c r="L50" s="42">
        <f>SQRT(J50*J50+K50*K50)</f>
        <v>5.4659118037211296E-15</v>
      </c>
      <c r="N50" s="2">
        <f>N49-PI()/40</f>
        <v>7.8539816339744828E-2</v>
      </c>
      <c r="O50" s="2">
        <v>1.0172297784452753</v>
      </c>
      <c r="P50" s="2">
        <v>-1.1080661111626875</v>
      </c>
      <c r="Q50" s="193">
        <v>1.0548344930600861</v>
      </c>
      <c r="R50" s="193">
        <v>-1.218412051463682</v>
      </c>
      <c r="S50" s="191">
        <v>1.0838905447083418</v>
      </c>
      <c r="T50" s="191">
        <v>-1.3116899374872375</v>
      </c>
      <c r="U50" s="194">
        <v>1.1046055954728178</v>
      </c>
      <c r="V50" s="194">
        <v>-1.3972723903801918</v>
      </c>
      <c r="W50" s="3">
        <v>1.1168730118200547</v>
      </c>
      <c r="X50" s="3">
        <v>-1.4861229853561786</v>
      </c>
      <c r="Y50" s="194">
        <v>1.1203629267615791</v>
      </c>
      <c r="Z50" s="194">
        <v>-1.5920585388794417</v>
      </c>
      <c r="AA50" s="3">
        <v>1.1017147371453109</v>
      </c>
      <c r="AB50" s="3">
        <v>-1.9013143652664581</v>
      </c>
      <c r="AC50" s="194">
        <v>1.0555601812103175</v>
      </c>
      <c r="AD50" s="194">
        <v>-2.3630982569975538</v>
      </c>
      <c r="AE50" s="196">
        <v>0.89300316609074493</v>
      </c>
      <c r="AF50" s="196">
        <v>-3.9011213946777294</v>
      </c>
      <c r="AG50" s="194">
        <v>0.74944851858887884</v>
      </c>
      <c r="AH50" s="194">
        <v>-5.3977214327661871</v>
      </c>
      <c r="AI50" s="7"/>
      <c r="AJ50" s="7"/>
      <c r="AK50" s="7"/>
      <c r="AL50" s="7"/>
      <c r="AM50" s="7"/>
      <c r="AQ50" s="28"/>
    </row>
    <row r="51" spans="1:43">
      <c r="A51" s="20">
        <f t="shared" si="13"/>
        <v>5.0000000000000001E-4</v>
      </c>
      <c r="B51" s="23">
        <f t="shared" si="2"/>
        <v>0.99999987500000265</v>
      </c>
      <c r="C51" s="23">
        <f t="shared" si="3"/>
        <v>7.9997665401110991</v>
      </c>
      <c r="D51" s="23">
        <f t="shared" si="4"/>
        <v>6.115340033855454E-26</v>
      </c>
      <c r="E51" s="23">
        <f t="shared" si="5"/>
        <v>4.999999791666669E-4</v>
      </c>
      <c r="F51" s="71">
        <f t="shared" si="6"/>
        <v>1.5159687006671853E-28</v>
      </c>
      <c r="G51" s="71">
        <f t="shared" si="7"/>
        <v>4.0640560290647221</v>
      </c>
      <c r="H51" s="99">
        <f t="shared" si="8"/>
        <v>-0.15760291827952777</v>
      </c>
      <c r="I51" s="99">
        <f t="shared" si="9"/>
        <v>4.0429874623288997</v>
      </c>
      <c r="J51" s="71">
        <f t="shared" si="10"/>
        <v>-1.8130761470304991E-31</v>
      </c>
      <c r="K51" s="71">
        <f t="shared" si="11"/>
        <v>-3.6261519918816356E-28</v>
      </c>
      <c r="L51" s="42">
        <f t="shared" si="12"/>
        <v>3.626152445150682E-28</v>
      </c>
      <c r="N51" s="2">
        <v>5.0000000000000001E-4</v>
      </c>
      <c r="O51" s="2">
        <v>1.0172297784452753</v>
      </c>
      <c r="P51" s="2">
        <v>-1.1080661111626875</v>
      </c>
      <c r="Q51" s="193">
        <v>1.0548344505748304</v>
      </c>
      <c r="R51" s="193">
        <v>-1.2184121644964505</v>
      </c>
      <c r="S51" s="191">
        <v>1.0838786117871271</v>
      </c>
      <c r="T51" s="191">
        <v>-1.3117220121348852</v>
      </c>
      <c r="U51" s="194">
        <v>1.1045983936238284</v>
      </c>
      <c r="V51" s="194">
        <v>-1.3974250071837124</v>
      </c>
      <c r="W51" s="3">
        <v>1.1167297326858154</v>
      </c>
      <c r="X51" s="3">
        <v>-1.490156947305521</v>
      </c>
      <c r="Y51" s="194">
        <v>1.1192595854820007</v>
      </c>
      <c r="Z51" s="194">
        <v>-1.6379829266784229</v>
      </c>
      <c r="AA51" s="3">
        <v>1.0857038473876808</v>
      </c>
      <c r="AB51" s="3">
        <v>-3.5003360917250124</v>
      </c>
      <c r="AC51" s="194">
        <v>0.96474223128833181</v>
      </c>
      <c r="AD51" s="194">
        <v>-20.086045002089634</v>
      </c>
      <c r="AE51" s="196">
        <v>-0.27980571972695989</v>
      </c>
      <c r="AF51" s="196">
        <v>-519.01547032360986</v>
      </c>
      <c r="AG51" s="194">
        <v>-3.893338894355832</v>
      </c>
      <c r="AH51" s="194">
        <v>-2775.7152807111343</v>
      </c>
      <c r="AI51" s="8"/>
      <c r="AJ51" s="8"/>
      <c r="AK51" s="8"/>
      <c r="AL51" s="8"/>
      <c r="AM51" s="8"/>
      <c r="AN51" s="8"/>
      <c r="AO51" s="7"/>
      <c r="AP51" s="7"/>
    </row>
    <row r="52" spans="1:43">
      <c r="A52" s="20">
        <f t="shared" si="13"/>
        <v>4.0000000000000002E-4</v>
      </c>
      <c r="B52" s="23">
        <f t="shared" si="2"/>
        <v>0.99999992000000104</v>
      </c>
      <c r="C52" s="23">
        <f t="shared" si="3"/>
        <v>7.9997665851110975</v>
      </c>
      <c r="D52" s="23">
        <f t="shared" si="4"/>
        <v>1.2825464677739605E-26</v>
      </c>
      <c r="E52" s="23">
        <f t="shared" si="5"/>
        <v>3.9999998933333341E-4</v>
      </c>
      <c r="F52" s="71">
        <f t="shared" si="6"/>
        <v>3.9742276662154916E-29</v>
      </c>
      <c r="G52" s="71">
        <f t="shared" si="7"/>
        <v>4.0640560290647221</v>
      </c>
      <c r="H52" s="99">
        <f t="shared" si="8"/>
        <v>-0.15760291827952777</v>
      </c>
      <c r="I52" s="99">
        <f t="shared" si="9"/>
        <v>4.0429874623288997</v>
      </c>
      <c r="J52" s="71">
        <f t="shared" si="10"/>
        <v>-3.8024940482551616E-32</v>
      </c>
      <c r="K52" s="71">
        <f t="shared" si="11"/>
        <v>-9.506234613638692E-29</v>
      </c>
      <c r="L52" s="42">
        <f t="shared" si="12"/>
        <v>9.5062353741375117E-29</v>
      </c>
      <c r="N52" s="2">
        <v>4.0000000000000002E-4</v>
      </c>
      <c r="O52" s="2">
        <v>1.0172297784452753</v>
      </c>
      <c r="P52" s="2">
        <v>-1.1080661111626875</v>
      </c>
      <c r="Q52" s="193">
        <v>1.054834438720236</v>
      </c>
      <c r="R52" s="193">
        <v>-1.2184122053447393</v>
      </c>
      <c r="S52" s="191">
        <v>1.0838726857885044</v>
      </c>
      <c r="T52" s="191">
        <v>-1.3117427577717811</v>
      </c>
      <c r="U52" s="194">
        <v>1.1045983936138035</v>
      </c>
      <c r="V52" s="194">
        <v>-1.3974250294154711</v>
      </c>
      <c r="W52" s="3">
        <v>1.1167297273559293</v>
      </c>
      <c r="X52" s="3">
        <v>-1.4901688013934451</v>
      </c>
      <c r="Y52" s="194">
        <v>1.1192592463349704</v>
      </c>
      <c r="Z52" s="194">
        <v>-1.6387386754998858</v>
      </c>
      <c r="AA52" s="3">
        <v>1.0856461600137353</v>
      </c>
      <c r="AB52" s="3">
        <v>-3.6291972614915622</v>
      </c>
      <c r="AC52" s="194">
        <v>0.96354136991065831</v>
      </c>
      <c r="AD52" s="194">
        <v>-22.772418729631898</v>
      </c>
      <c r="AE52" s="197">
        <v>-0.34229631598043397</v>
      </c>
      <c r="AF52" s="196">
        <v>-659.08154303755998</v>
      </c>
      <c r="AG52" s="194">
        <v>-4.312901819692887</v>
      </c>
      <c r="AH52" s="194">
        <v>-3717.0400888492477</v>
      </c>
      <c r="AI52" s="8"/>
      <c r="AJ52" s="8"/>
      <c r="AK52" s="7"/>
      <c r="AL52" s="7"/>
    </row>
    <row r="53" spans="1:43">
      <c r="A53" s="20">
        <f t="shared" si="13"/>
        <v>2.9999999999999997E-4</v>
      </c>
      <c r="B53" s="23">
        <f t="shared" si="2"/>
        <v>0.99999995500000038</v>
      </c>
      <c r="C53" s="23">
        <f t="shared" si="3"/>
        <v>7.9997666201110968</v>
      </c>
      <c r="D53" s="23">
        <f t="shared" si="4"/>
        <v>1.712107727793494E-27</v>
      </c>
      <c r="E53" s="23">
        <f t="shared" si="5"/>
        <v>2.9999999549999999E-4</v>
      </c>
      <c r="F53" s="71">
        <f t="shared" si="6"/>
        <v>7.0737458856979656E-30</v>
      </c>
      <c r="G53" s="71">
        <f t="shared" si="7"/>
        <v>4.0640560290647221</v>
      </c>
      <c r="H53" s="99">
        <f t="shared" si="8"/>
        <v>-0.15760291827952777</v>
      </c>
      <c r="I53" s="99">
        <f t="shared" si="9"/>
        <v>4.0429874623288997</v>
      </c>
      <c r="J53" s="71">
        <f t="shared" si="10"/>
        <v>-5.0760573659416283E-33</v>
      </c>
      <c r="K53" s="71">
        <f t="shared" si="11"/>
        <v>-1.692019071219969E-29</v>
      </c>
      <c r="L53" s="42">
        <f t="shared" si="12"/>
        <v>1.6920191473608302E-29</v>
      </c>
      <c r="N53" s="2">
        <v>2.9999999999999997E-4</v>
      </c>
      <c r="O53" s="2">
        <v>1.0172297784452753</v>
      </c>
      <c r="P53" s="2">
        <v>-1.1080661111626875</v>
      </c>
      <c r="Q53" s="193">
        <v>1.0548344364572184</v>
      </c>
      <c r="R53" s="193">
        <v>-1.2184122161491353</v>
      </c>
      <c r="S53" s="191">
        <v>1.0838702993359215</v>
      </c>
      <c r="T53" s="191">
        <v>-1.3117544793439826</v>
      </c>
      <c r="U53" s="194">
        <v>1.104598393606917</v>
      </c>
      <c r="V53" s="194">
        <v>-1.3974250490246058</v>
      </c>
      <c r="W53" s="3">
        <v>1.1167297229951672</v>
      </c>
      <c r="X53" s="3">
        <v>-1.4901812779654673</v>
      </c>
      <c r="Y53" s="194">
        <v>1.1192589343152655</v>
      </c>
      <c r="Z53" s="194">
        <v>-1.6396342608281218</v>
      </c>
      <c r="AA53" s="3">
        <v>1.0855846476721873</v>
      </c>
      <c r="AB53" s="3">
        <v>-3.8064668825271024</v>
      </c>
      <c r="AC53" s="194">
        <v>0.96214158024640639</v>
      </c>
      <c r="AD53" s="194">
        <v>-26.816180273623644</v>
      </c>
      <c r="AE53" s="196">
        <v>-0.42439173935740815</v>
      </c>
      <c r="AF53" s="196">
        <v>-897.00936275678714</v>
      </c>
      <c r="AG53" s="194">
        <v>-4.8983628800799508</v>
      </c>
      <c r="AH53" s="194">
        <v>-5416.5690149627389</v>
      </c>
      <c r="AI53" s="8"/>
      <c r="AJ53" s="7"/>
      <c r="AK53" s="7"/>
    </row>
    <row r="54" spans="1:43">
      <c r="A54" s="20">
        <f t="shared" si="13"/>
        <v>2.0000000000000001E-4</v>
      </c>
      <c r="B54" s="23">
        <f t="shared" si="2"/>
        <v>0.99999998000000012</v>
      </c>
      <c r="C54" s="23">
        <f t="shared" si="3"/>
        <v>7.9997666451110963</v>
      </c>
      <c r="D54" s="23">
        <f t="shared" si="4"/>
        <v>1.0021514280873634E-28</v>
      </c>
      <c r="E54" s="23">
        <f t="shared" si="5"/>
        <v>1.9999999866666669E-4</v>
      </c>
      <c r="F54" s="71">
        <f t="shared" si="6"/>
        <v>6.2107346307241098E-31</v>
      </c>
      <c r="G54" s="71">
        <f t="shared" si="7"/>
        <v>4.0640560290647221</v>
      </c>
      <c r="H54" s="99">
        <f t="shared" si="8"/>
        <v>-0.15760291827952777</v>
      </c>
      <c r="I54" s="99">
        <f t="shared" si="9"/>
        <v>4.0429874623288997</v>
      </c>
      <c r="J54" s="71">
        <f t="shared" si="10"/>
        <v>-2.9711787732467667E-34</v>
      </c>
      <c r="K54" s="71">
        <f t="shared" si="11"/>
        <v>-1.4855893668155245E-30</v>
      </c>
      <c r="L54" s="42">
        <f t="shared" si="12"/>
        <v>1.4855893965273124E-30</v>
      </c>
      <c r="N54" s="2">
        <v>2.0000000000000001E-4</v>
      </c>
      <c r="O54" s="2">
        <v>1.0172297784452753</v>
      </c>
      <c r="P54" s="2">
        <v>-1.1080661111626875</v>
      </c>
      <c r="Q54" s="193">
        <v>1.0548344362476452</v>
      </c>
      <c r="R54" s="193">
        <v>-1.2184122177143022</v>
      </c>
      <c r="S54" s="191">
        <v>1.0838696679754238</v>
      </c>
      <c r="T54" s="191">
        <v>-1.3117595033397103</v>
      </c>
      <c r="U54" s="194">
        <v>1.104598393602747</v>
      </c>
      <c r="V54" s="194">
        <v>-1.3974250655940574</v>
      </c>
      <c r="W54" s="3">
        <v>1.116729719662668</v>
      </c>
      <c r="X54" s="3">
        <v>-1.4901946443510172</v>
      </c>
      <c r="Y54" s="194">
        <v>1.119258655341441</v>
      </c>
      <c r="Z54" s="194">
        <v>-1.6407603139971965</v>
      </c>
      <c r="AA54" s="3">
        <v>1.0855175819420864</v>
      </c>
      <c r="AB54" s="3">
        <v>-4.0793401642453428</v>
      </c>
      <c r="AC54" s="194">
        <v>0.96042038100502891</v>
      </c>
      <c r="AD54" s="194">
        <v>-33.853022959415917</v>
      </c>
      <c r="AE54" s="196">
        <v>-0.54309350153334757</v>
      </c>
      <c r="AF54" s="196">
        <v>-1385.4248842408067</v>
      </c>
      <c r="AG54" s="194">
        <v>-5.817209702114071</v>
      </c>
      <c r="AH54" s="194">
        <v>-9209.4673307401536</v>
      </c>
      <c r="AI54" s="8"/>
      <c r="AJ54" s="7"/>
      <c r="AK54" s="7"/>
    </row>
    <row r="55" spans="1:43">
      <c r="A55" s="20">
        <f t="shared" si="13"/>
        <v>1E-4</v>
      </c>
      <c r="B55" s="23">
        <f>COS(A55)</f>
        <v>0.99999999500000003</v>
      </c>
      <c r="C55" s="23">
        <f>($C$6+B55)</f>
        <v>7.9997666601110957</v>
      </c>
      <c r="D55" s="23">
        <f>POWER(TAN(A55/2),$C$6)</f>
        <v>7.8305742737343659E-31</v>
      </c>
      <c r="E55" s="23">
        <f>SIN(A55)</f>
        <v>9.9999999833333343E-5</v>
      </c>
      <c r="F55" s="71">
        <f>(C55*$H$6*D55/E55/$I$6/$J$6)</f>
        <v>9.7058423119110174E-33</v>
      </c>
      <c r="G55" s="71">
        <f>$D$6*($C$6+$G$6)/9.81/SIN($C$3)/(1-$C$6*$C$6)*(F55-1)</f>
        <v>4.0640560290647221</v>
      </c>
      <c r="H55" s="99">
        <f>-(-$H$3+$K$6*((POWER(TAN(A55/2),2*$C$6-1)/(2*$C$6-1))+(POWER(TAN(A55/2),2*$C$6+1)/(2*$C$6+1))-(POWER(TAN($E$6/2),2*$C$6-1)/(2*$C$6-1))-(POWER(TAN($E$6/2),2*$C$6+1)/(2*$C$6+1))))</f>
        <v>-0.15760291827952777</v>
      </c>
      <c r="I55" s="99">
        <f>-(-$I$3+0.5*$K$6*((POWER(TAN(A55/2),2*$C$6-2)/(2*$C$6-2))-(POWER(TAN(A55/2),2*$C$6+2)/(2*$C$6+2))-(POWER(TAN($E$6/2),2*$C$6-2)/(2*$C$6-2))+(POWER(TAN($E$6/2),2*$C$6+2)/(2*$C$6+2))))</f>
        <v>4.0429874623288997</v>
      </c>
      <c r="J55" s="71">
        <f>-$D$6*SIN(A55)*($C$6+$G$6)/($C$6+B55)*F55</f>
        <v>-2.3216088319961486E-36</v>
      </c>
      <c r="K55" s="71">
        <f>-$D$6*COS(A55)*($C$6+$G$6)/($C$6+B55)*F55</f>
        <v>-2.3216088242574525E-32</v>
      </c>
      <c r="L55" s="42">
        <f>SQRT(J55*J55+K55*K55)</f>
        <v>2.3216088358654966E-32</v>
      </c>
      <c r="M55" s="28"/>
      <c r="N55" s="2">
        <v>1E-4</v>
      </c>
      <c r="O55" s="2">
        <v>1.0172297784452753</v>
      </c>
      <c r="P55" s="2">
        <v>-1.1080661111626875</v>
      </c>
      <c r="Q55" s="193">
        <v>1.0548344362443594</v>
      </c>
      <c r="R55" s="193">
        <v>-1.218412217764425</v>
      </c>
      <c r="S55" s="191">
        <v>1.0838696144579667</v>
      </c>
      <c r="T55" s="191">
        <v>-1.3117604389892799</v>
      </c>
      <c r="U55" s="194">
        <v>1.1045983936007899</v>
      </c>
      <c r="V55" s="194">
        <v>-1.3974250784016817</v>
      </c>
      <c r="W55" s="3">
        <v>1.1167297174497826</v>
      </c>
      <c r="X55" s="3">
        <v>-1.4902095112616722</v>
      </c>
      <c r="Y55" s="194">
        <v>1.1192584203497704</v>
      </c>
      <c r="Z55" s="194">
        <v>-1.6423680074677856</v>
      </c>
      <c r="AA55" s="3">
        <v>1.085440930783748</v>
      </c>
      <c r="AB55" s="3">
        <v>-4.6160409451316884</v>
      </c>
      <c r="AC55" s="194">
        <v>0.95804744537386255</v>
      </c>
      <c r="AD55" s="194">
        <v>-50.702529310532796</v>
      </c>
      <c r="AE55" s="3">
        <v>-0.75441158037499267</v>
      </c>
      <c r="AF55" s="3">
        <v>-2914.226021373398</v>
      </c>
      <c r="AG55" s="194">
        <v>-7.6812824332729726</v>
      </c>
      <c r="AH55" s="198">
        <v>-22821.420293612602</v>
      </c>
      <c r="AI55" s="8"/>
      <c r="AJ55" s="7"/>
      <c r="AK55" s="7"/>
    </row>
    <row r="56" spans="1:43">
      <c r="O56" s="28"/>
      <c r="P56" s="28"/>
      <c r="AD56" s="9"/>
      <c r="AE56" s="8"/>
      <c r="AF56" s="8"/>
      <c r="AG56" s="8"/>
      <c r="AH56" s="8"/>
      <c r="AI56" s="8"/>
      <c r="AJ56" s="8"/>
      <c r="AK56" s="7"/>
      <c r="AL56" s="144"/>
    </row>
    <row r="57" spans="1:43">
      <c r="AD57" s="9"/>
      <c r="AE57" s="8"/>
      <c r="AF57" s="8"/>
      <c r="AG57" s="8"/>
      <c r="AH57" s="8"/>
      <c r="AI57" s="8"/>
      <c r="AJ57" s="8"/>
      <c r="AK57" s="7"/>
      <c r="AL57" s="7"/>
    </row>
    <row r="58" spans="1:43">
      <c r="AD58" s="9"/>
      <c r="AE58" s="8"/>
      <c r="AF58" s="8"/>
      <c r="AG58" s="8"/>
      <c r="AH58" s="8"/>
      <c r="AI58" s="7"/>
      <c r="AJ58" s="7"/>
      <c r="AK58" s="7"/>
      <c r="AL58" s="7"/>
    </row>
    <row r="59" spans="1:43">
      <c r="AD59" s="9"/>
      <c r="AE59" s="8"/>
      <c r="AF59" s="8"/>
      <c r="AG59" s="8"/>
      <c r="AH59" s="8"/>
      <c r="AI59" s="7"/>
      <c r="AJ59" s="7"/>
      <c r="AK59" s="7"/>
      <c r="AL59" s="7"/>
    </row>
    <row r="60" spans="1:43">
      <c r="AD60" s="9"/>
      <c r="AE60" s="8"/>
      <c r="AF60" s="8"/>
      <c r="AG60" s="8"/>
      <c r="AH60" s="8"/>
      <c r="AI60" s="8"/>
      <c r="AJ60" s="8"/>
      <c r="AK60" s="7"/>
      <c r="AL60" s="7"/>
    </row>
    <row r="61" spans="1:43">
      <c r="AD61" s="9"/>
      <c r="AE61" s="8"/>
      <c r="AF61" s="8"/>
      <c r="AG61" s="8"/>
      <c r="AH61" s="8"/>
      <c r="AI61" s="10"/>
      <c r="AJ61" s="10"/>
      <c r="AK61" s="7"/>
      <c r="AL61" s="7"/>
    </row>
    <row r="62" spans="1:43">
      <c r="AD62" s="7"/>
      <c r="AE62" s="7"/>
      <c r="AF62" s="7"/>
      <c r="AG62" s="7"/>
      <c r="AH62" s="7"/>
      <c r="AI62" s="10"/>
      <c r="AJ62" s="10"/>
      <c r="AK62" s="7"/>
      <c r="AL62" s="7"/>
    </row>
    <row r="63" spans="1:43">
      <c r="AD63" s="7"/>
      <c r="AE63" s="7"/>
      <c r="AF63" s="7"/>
      <c r="AG63" s="7"/>
      <c r="AH63" s="7"/>
      <c r="AI63" s="10"/>
      <c r="AJ63" s="10"/>
      <c r="AK63" s="7"/>
      <c r="AL63" s="7"/>
    </row>
    <row r="64" spans="1:43">
      <c r="AD64" s="14"/>
      <c r="AE64" s="8"/>
      <c r="AF64" s="8"/>
      <c r="AG64" s="8"/>
      <c r="AH64" s="8"/>
      <c r="AI64" s="11"/>
      <c r="AJ64" s="10"/>
      <c r="AK64" s="7"/>
      <c r="AL64" s="7"/>
    </row>
    <row r="65" spans="30:38">
      <c r="AD65" s="9"/>
      <c r="AE65" s="10"/>
      <c r="AF65" s="10"/>
      <c r="AG65" s="10"/>
      <c r="AH65" s="10"/>
      <c r="AI65" s="11"/>
      <c r="AJ65" s="10"/>
      <c r="AK65" s="7"/>
      <c r="AL65" s="7"/>
    </row>
    <row r="66" spans="30:38">
      <c r="AD66" s="9"/>
      <c r="AE66" s="10"/>
      <c r="AF66" s="10"/>
      <c r="AG66" s="10"/>
      <c r="AH66" s="10"/>
      <c r="AI66" s="11"/>
      <c r="AJ66" s="10"/>
      <c r="AK66" s="7"/>
      <c r="AL66" s="13"/>
    </row>
    <row r="67" spans="30:38">
      <c r="AD67" s="9"/>
      <c r="AE67" s="10"/>
      <c r="AF67" s="10"/>
      <c r="AG67" s="10"/>
      <c r="AH67" s="10"/>
      <c r="AI67" s="11"/>
      <c r="AJ67" s="10"/>
      <c r="AK67" s="7"/>
      <c r="AL67" s="7"/>
    </row>
    <row r="68" spans="30:38">
      <c r="AD68" s="9"/>
      <c r="AE68" s="11"/>
      <c r="AF68" s="12"/>
      <c r="AG68" s="12"/>
      <c r="AH68" s="12"/>
      <c r="AI68" s="11"/>
      <c r="AJ68" s="10"/>
      <c r="AK68" s="7"/>
      <c r="AL68" s="7"/>
    </row>
    <row r="69" spans="30:38">
      <c r="AD69" s="9"/>
      <c r="AE69" s="11"/>
      <c r="AF69" s="12"/>
      <c r="AG69" s="12"/>
      <c r="AH69" s="12"/>
      <c r="AI69" s="10"/>
      <c r="AJ69" s="10"/>
      <c r="AK69" s="7"/>
      <c r="AL69" s="7"/>
    </row>
    <row r="70" spans="30:38">
      <c r="AD70" s="9"/>
      <c r="AE70" s="11"/>
      <c r="AF70" s="12"/>
      <c r="AG70" s="12"/>
      <c r="AH70" s="12"/>
      <c r="AI70" s="10"/>
      <c r="AJ70" s="10"/>
      <c r="AK70" s="7"/>
      <c r="AL70" s="7"/>
    </row>
    <row r="71" spans="30:38">
      <c r="AD71" s="9"/>
      <c r="AE71" s="11"/>
      <c r="AF71" s="12"/>
      <c r="AG71" s="12"/>
      <c r="AH71" s="12"/>
      <c r="AI71" s="7"/>
      <c r="AJ71" s="7"/>
      <c r="AK71" s="7"/>
      <c r="AL71" s="7"/>
    </row>
    <row r="72" spans="30:38">
      <c r="AD72" s="9"/>
      <c r="AE72" s="11"/>
      <c r="AF72" s="12"/>
      <c r="AG72" s="12"/>
      <c r="AH72" s="12"/>
      <c r="AI72" s="7"/>
      <c r="AJ72" s="7"/>
      <c r="AK72" s="7"/>
      <c r="AL72" s="7"/>
    </row>
    <row r="73" spans="30:38">
      <c r="AD73" s="9"/>
      <c r="AE73" s="10"/>
      <c r="AF73" s="10"/>
      <c r="AG73" s="10"/>
      <c r="AH73" s="10"/>
      <c r="AI73" s="7"/>
      <c r="AJ73" s="7"/>
      <c r="AK73" s="7"/>
      <c r="AL73" s="7"/>
    </row>
    <row r="74" spans="30:38">
      <c r="AD74" s="9"/>
      <c r="AE74" s="10"/>
      <c r="AF74" s="10"/>
      <c r="AG74" s="10"/>
      <c r="AH74" s="10"/>
      <c r="AI74" s="7"/>
      <c r="AJ74" s="7"/>
      <c r="AK74" s="7"/>
      <c r="AL74" s="7"/>
    </row>
    <row r="75" spans="30:38">
      <c r="AD75" s="7"/>
      <c r="AE75" s="7"/>
      <c r="AF75" s="7"/>
      <c r="AG75" s="7"/>
      <c r="AH75" s="7"/>
      <c r="AI75" s="7"/>
      <c r="AJ75" s="7"/>
      <c r="AK75" s="7"/>
      <c r="AL75" s="7"/>
    </row>
    <row r="76" spans="30:38">
      <c r="AD76" s="7"/>
      <c r="AE76" s="7"/>
      <c r="AF76" s="7"/>
      <c r="AG76" s="7"/>
      <c r="AH76" s="7"/>
      <c r="AI76" s="7"/>
      <c r="AJ76" s="7"/>
      <c r="AK76" s="7"/>
      <c r="AL76" s="7"/>
    </row>
    <row r="77" spans="30:38">
      <c r="AD77" s="7"/>
      <c r="AE77" s="7"/>
      <c r="AF77" s="7"/>
      <c r="AG77" s="7"/>
      <c r="AH77" s="7"/>
    </row>
    <row r="78" spans="30:38">
      <c r="AD78" s="7"/>
      <c r="AE78" s="7"/>
      <c r="AF78" s="7"/>
      <c r="AG78" s="7"/>
      <c r="AH78" s="7"/>
    </row>
    <row r="79" spans="30:38">
      <c r="AD79" s="7"/>
      <c r="AE79" s="7"/>
      <c r="AF79" s="7"/>
      <c r="AG79" s="7"/>
      <c r="AH79" s="7"/>
    </row>
    <row r="80" spans="30:38">
      <c r="AD80" s="7"/>
      <c r="AE80" s="7"/>
      <c r="AF80" s="7"/>
      <c r="AG80" s="7"/>
      <c r="AH80" s="7"/>
    </row>
  </sheetData>
  <mergeCells count="12">
    <mergeCell ref="AG9:AH9"/>
    <mergeCell ref="A1:C1"/>
    <mergeCell ref="O9:P9"/>
    <mergeCell ref="Q9:R9"/>
    <mergeCell ref="S9:T9"/>
    <mergeCell ref="U9:V9"/>
    <mergeCell ref="N7:P7"/>
    <mergeCell ref="W9:X9"/>
    <mergeCell ref="Y9:Z9"/>
    <mergeCell ref="AA9:AB9"/>
    <mergeCell ref="AC9:AD9"/>
    <mergeCell ref="AE9:AF9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N100"/>
  <sheetViews>
    <sheetView workbookViewId="0">
      <selection activeCell="A40" sqref="A40"/>
    </sheetView>
  </sheetViews>
  <sheetFormatPr baseColWidth="10" defaultRowHeight="14.25"/>
  <cols>
    <col min="1" max="56" width="5.7109375" style="152" customWidth="1"/>
    <col min="57" max="57" width="11.42578125" style="152" customWidth="1"/>
    <col min="58" max="16384" width="11.42578125" style="152"/>
  </cols>
  <sheetData>
    <row r="1" spans="1:66" s="165" customFormat="1" ht="15" customHeight="1">
      <c r="A1" s="369" t="s">
        <v>90</v>
      </c>
      <c r="B1" s="369"/>
      <c r="C1" s="369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</row>
    <row r="2" spans="1:66" ht="15" customHeight="1">
      <c r="A2" s="28"/>
      <c r="B2" s="28"/>
      <c r="C2" s="28"/>
      <c r="D2" s="28"/>
      <c r="E2" s="28"/>
      <c r="F2" s="28"/>
      <c r="G2" s="28"/>
      <c r="H2" s="36" t="s">
        <v>57</v>
      </c>
      <c r="I2" s="36" t="s">
        <v>51</v>
      </c>
      <c r="J2" s="36" t="s">
        <v>58</v>
      </c>
      <c r="K2" s="36" t="s">
        <v>59</v>
      </c>
      <c r="L2" s="28"/>
      <c r="M2" s="92"/>
      <c r="N2" s="92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</row>
    <row r="3" spans="1:66" ht="15" customHeight="1">
      <c r="A3" s="88" t="s">
        <v>69</v>
      </c>
      <c r="B3" s="88"/>
      <c r="C3" s="79">
        <f>C41</f>
        <v>1.0323563876231049E-2</v>
      </c>
      <c r="D3" s="28"/>
      <c r="E3" s="28"/>
      <c r="F3" s="28"/>
      <c r="G3" s="28"/>
      <c r="H3" s="79">
        <f>H41</f>
        <v>2</v>
      </c>
      <c r="I3" s="79">
        <f>I41</f>
        <v>2</v>
      </c>
      <c r="J3" s="79">
        <f>J41</f>
        <v>-2.2349999999999999</v>
      </c>
      <c r="K3" s="79">
        <f>K41</f>
        <v>-0.41799999999999998</v>
      </c>
      <c r="L3" s="28"/>
      <c r="M3" s="92"/>
      <c r="N3" s="92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</row>
    <row r="4" spans="1:66" ht="15" customHeight="1">
      <c r="A4" s="28"/>
      <c r="B4" s="28"/>
      <c r="C4" s="28"/>
      <c r="D4" s="28"/>
      <c r="E4" s="28"/>
      <c r="F4" s="28"/>
      <c r="G4" s="28"/>
      <c r="H4" s="37" t="s">
        <v>8</v>
      </c>
      <c r="I4" s="37" t="s">
        <v>8</v>
      </c>
      <c r="J4" s="37" t="s">
        <v>9</v>
      </c>
      <c r="K4" s="37" t="s">
        <v>9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92"/>
      <c r="X4" s="92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</row>
    <row r="5" spans="1:66" ht="15" customHeight="1">
      <c r="A5" s="88" t="s">
        <v>68</v>
      </c>
      <c r="B5" s="88"/>
      <c r="C5" s="26" t="s">
        <v>15</v>
      </c>
      <c r="D5" s="26" t="s">
        <v>55</v>
      </c>
      <c r="E5" s="26" t="s">
        <v>12</v>
      </c>
      <c r="F5" s="26" t="s">
        <v>10</v>
      </c>
      <c r="G5" s="26" t="s">
        <v>14</v>
      </c>
      <c r="H5" s="26" t="s">
        <v>21</v>
      </c>
      <c r="I5" s="26" t="s">
        <v>16</v>
      </c>
      <c r="J5" s="26" t="s">
        <v>17</v>
      </c>
      <c r="K5" s="26" t="s">
        <v>23</v>
      </c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36" t="s">
        <v>57</v>
      </c>
      <c r="AG5" s="36" t="s">
        <v>51</v>
      </c>
      <c r="AH5" s="36" t="s">
        <v>58</v>
      </c>
      <c r="AI5" s="36" t="s">
        <v>59</v>
      </c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</row>
    <row r="6" spans="1:66" ht="15" customHeight="1">
      <c r="A6" s="28"/>
      <c r="B6" s="28"/>
      <c r="C6" s="23">
        <f>Mü/TAN($C$3)</f>
        <v>6.7803632591293521</v>
      </c>
      <c r="D6" s="42">
        <f>SQRT($J$3*$J$3+$K$3*$K$3)</f>
        <v>2.2737521852655798</v>
      </c>
      <c r="E6" s="20">
        <f>ATAN($J$3/$K$3)</f>
        <v>1.3859076624425977</v>
      </c>
      <c r="F6" s="23">
        <f>($E$6-0.0001)/20</f>
        <v>6.9290383122129887E-2</v>
      </c>
      <c r="G6" s="23">
        <f>COS($E$6)</f>
        <v>0.18383709654408828</v>
      </c>
      <c r="H6" s="23">
        <f>SIN($E$6)</f>
        <v>0.98295672434458659</v>
      </c>
      <c r="I6" s="23">
        <f>$C$6+$G$6</f>
        <v>6.96420035567344</v>
      </c>
      <c r="J6" s="23">
        <f>POWER(TAN($E$6/2),$C$6)</f>
        <v>0.28342261226772447</v>
      </c>
      <c r="K6" s="23">
        <f>-$D$6*$D$6*SIN($E$6)*SIN($E$6)/(2*9.81*SIN($C$3)*POWER(TAN($E$6/2),2*$C$6))</f>
        <v>-307.01890877024579</v>
      </c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79">
        <v>2</v>
      </c>
      <c r="AG6" s="79">
        <v>2</v>
      </c>
      <c r="AH6" s="79">
        <v>-1</v>
      </c>
      <c r="AI6" s="79">
        <v>-1</v>
      </c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</row>
    <row r="7" spans="1:66" ht="15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376" t="s">
        <v>6</v>
      </c>
      <c r="Y7" s="377"/>
      <c r="Z7" s="37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</row>
    <row r="8" spans="1:66" ht="15" customHeight="1">
      <c r="A8" s="26" t="s">
        <v>11</v>
      </c>
      <c r="B8" s="26" t="s">
        <v>13</v>
      </c>
      <c r="C8" s="26" t="s">
        <v>22</v>
      </c>
      <c r="D8" s="26" t="s">
        <v>18</v>
      </c>
      <c r="E8" s="26" t="s">
        <v>19</v>
      </c>
      <c r="F8" s="26" t="s">
        <v>20</v>
      </c>
      <c r="G8" s="26" t="s">
        <v>2</v>
      </c>
      <c r="H8" s="26" t="s">
        <v>65</v>
      </c>
      <c r="I8" s="26" t="s">
        <v>66</v>
      </c>
      <c r="J8" s="76" t="s">
        <v>3</v>
      </c>
      <c r="K8" s="76" t="s">
        <v>4</v>
      </c>
      <c r="L8" s="44" t="s">
        <v>7</v>
      </c>
      <c r="M8" s="340"/>
      <c r="N8" s="340"/>
      <c r="O8" s="340"/>
      <c r="P8" s="340"/>
      <c r="Q8" s="340"/>
      <c r="R8" s="340"/>
      <c r="S8" s="340"/>
      <c r="T8" s="340"/>
      <c r="U8" s="340"/>
      <c r="V8" s="340"/>
      <c r="W8" s="28"/>
      <c r="X8" s="201" t="s">
        <v>74</v>
      </c>
      <c r="Y8" s="207"/>
      <c r="Z8" s="20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375" t="s">
        <v>91</v>
      </c>
      <c r="AL8" s="375"/>
      <c r="AM8" s="375"/>
      <c r="AN8" s="375"/>
      <c r="AO8" s="375"/>
      <c r="AP8" s="375"/>
      <c r="AQ8" s="375"/>
      <c r="AR8" s="375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</row>
    <row r="9" spans="1:66" ht="15" customHeight="1">
      <c r="A9" s="88" t="s">
        <v>60</v>
      </c>
      <c r="B9" s="8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373">
        <v>0.01</v>
      </c>
      <c r="Z9" s="373"/>
      <c r="AA9" s="374">
        <v>0.02</v>
      </c>
      <c r="AB9" s="374"/>
      <c r="AC9" s="373">
        <v>0.03</v>
      </c>
      <c r="AD9" s="373"/>
      <c r="AE9" s="374">
        <v>0.04</v>
      </c>
      <c r="AF9" s="374"/>
      <c r="AG9" s="373">
        <v>0.05</v>
      </c>
      <c r="AH9" s="373"/>
      <c r="AI9" s="374">
        <v>0.06</v>
      </c>
      <c r="AJ9" s="374"/>
      <c r="AK9" s="373">
        <v>0.08</v>
      </c>
      <c r="AL9" s="373"/>
      <c r="AM9" s="374">
        <v>0.1</v>
      </c>
      <c r="AN9" s="374"/>
      <c r="AO9" s="373">
        <v>0.15</v>
      </c>
      <c r="AP9" s="373"/>
      <c r="AQ9" s="374">
        <v>0.2</v>
      </c>
      <c r="AR9" s="374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</row>
    <row r="10" spans="1:66" ht="15" customHeight="1">
      <c r="A10" s="26" t="s">
        <v>11</v>
      </c>
      <c r="B10" s="26" t="s">
        <v>13</v>
      </c>
      <c r="C10" s="26" t="s">
        <v>22</v>
      </c>
      <c r="D10" s="26" t="s">
        <v>18</v>
      </c>
      <c r="E10" s="26" t="s">
        <v>19</v>
      </c>
      <c r="F10" s="26" t="s">
        <v>20</v>
      </c>
      <c r="G10" s="26" t="s">
        <v>2</v>
      </c>
      <c r="H10" s="26" t="s">
        <v>1</v>
      </c>
      <c r="I10" s="26" t="s">
        <v>0</v>
      </c>
      <c r="J10" s="76" t="s">
        <v>3</v>
      </c>
      <c r="K10" s="76" t="s">
        <v>4</v>
      </c>
      <c r="L10" s="44" t="s">
        <v>7</v>
      </c>
      <c r="M10" s="340"/>
      <c r="N10" s="340"/>
      <c r="O10" s="340"/>
      <c r="P10" s="340"/>
      <c r="Q10" s="340"/>
      <c r="R10" s="340"/>
      <c r="S10" s="340"/>
      <c r="T10" s="340"/>
      <c r="U10" s="340"/>
      <c r="V10" s="340"/>
      <c r="W10" s="28"/>
      <c r="X10" s="26" t="s">
        <v>11</v>
      </c>
      <c r="Y10" s="26">
        <f>Y9</f>
        <v>0.01</v>
      </c>
      <c r="Z10" s="26">
        <f>Y9</f>
        <v>0.01</v>
      </c>
      <c r="AA10" s="192">
        <f>AA9</f>
        <v>0.02</v>
      </c>
      <c r="AB10" s="192">
        <f>AA9</f>
        <v>0.02</v>
      </c>
      <c r="AC10" s="26">
        <f>AC9</f>
        <v>0.03</v>
      </c>
      <c r="AD10" s="26">
        <f>AC9</f>
        <v>0.03</v>
      </c>
      <c r="AE10" s="192">
        <f>AE9</f>
        <v>0.04</v>
      </c>
      <c r="AF10" s="192">
        <f>AE9</f>
        <v>0.04</v>
      </c>
      <c r="AG10" s="26">
        <f>AG9</f>
        <v>0.05</v>
      </c>
      <c r="AH10" s="26">
        <f>AG9</f>
        <v>0.05</v>
      </c>
      <c r="AI10" s="192">
        <f>AI9</f>
        <v>0.06</v>
      </c>
      <c r="AJ10" s="192">
        <f>AI9</f>
        <v>0.06</v>
      </c>
      <c r="AK10" s="26">
        <f>AK9</f>
        <v>0.08</v>
      </c>
      <c r="AL10" s="26">
        <f>AK9</f>
        <v>0.08</v>
      </c>
      <c r="AM10" s="192">
        <f>AM9</f>
        <v>0.1</v>
      </c>
      <c r="AN10" s="192">
        <f>AM9</f>
        <v>0.1</v>
      </c>
      <c r="AO10" s="26">
        <f>AO9</f>
        <v>0.15</v>
      </c>
      <c r="AP10" s="26">
        <f>AO9</f>
        <v>0.15</v>
      </c>
      <c r="AQ10" s="192">
        <f>AQ9</f>
        <v>0.2</v>
      </c>
      <c r="AR10" s="192">
        <f>AQ9</f>
        <v>0.2</v>
      </c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</row>
    <row r="11" spans="1:66" ht="15" customHeight="1">
      <c r="A11" s="20">
        <v>1.5707963267948966</v>
      </c>
      <c r="B11" s="23">
        <f t="shared" ref="B11:B35" si="0">COS(A11)</f>
        <v>6.1257422745431001E-17</v>
      </c>
      <c r="C11" s="23">
        <f t="shared" ref="C11:C35" si="1">($C$6+B11)</f>
        <v>6.7803632591293521</v>
      </c>
      <c r="D11" s="23">
        <f t="shared" ref="D11:D35" si="2">POWER(TAN(A11/2),$C$6)</f>
        <v>0.99999999999999922</v>
      </c>
      <c r="E11" s="23">
        <f t="shared" ref="E11:E35" si="3">SIN(A11)</f>
        <v>1</v>
      </c>
      <c r="F11" s="71">
        <f t="shared" ref="F11:F35" si="4">(C11*$H$6*D11/E11/$I$6/$J$6)</f>
        <v>3.3766154736992591</v>
      </c>
      <c r="G11" s="71">
        <f t="shared" ref="G11:G35" si="5">$D$6*($C$6+$G$6)/9.81/SIN($C$3)/(1-$C$6*$C$6)*(F11-1)</f>
        <v>-8.2628022328155488</v>
      </c>
      <c r="H11" s="98">
        <f t="shared" ref="H11:H35" si="6">-(-$H$3+$K$6*((POWER(TAN(A11/2),2*$C$6-1)/(2*$C$6-1))+(POWER(TAN(A11/2),2*$C$6+1)/(2*$C$6+1))-(POWER(TAN($E$6/2),2*$C$6-1)/(2*$C$6-1))-(POWER(TAN($E$6/2),2*$C$6+1)/(2*$C$6+1))))</f>
        <v>43.757123171994373</v>
      </c>
      <c r="I11" s="98">
        <f t="shared" ref="I11:I35" si="7">-(-$I$3+0.5*$K$6*((POWER(TAN(A11/2),2*$C$6-2)/(2*$C$6-2))-(POWER(TAN(A11/2),2*$C$6+2)/(2*$C$6+2))-(POWER(TAN($E$6/2),2*$C$6-2)/(2*$C$6-2))+(POWER(TAN($E$6/2),2*$C$6+2)/(2*$C$6+2))))</f>
        <v>4.4125237277680158</v>
      </c>
      <c r="J11" s="71">
        <f t="shared" ref="J11:J35" si="8">-$D$6*SIN(A11)*($C$6+$G$6)/($C$6+B11)*F11</f>
        <v>-7.8857504774135307</v>
      </c>
      <c r="K11" s="71">
        <f t="shared" ref="K11:K35" si="9">-$D$6*COS(A11)*($C$6+$G$6)/($C$6+B11)*F11</f>
        <v>-4.8306075065990509E-16</v>
      </c>
      <c r="L11" s="72">
        <f t="shared" ref="L11:L35" si="10">SQRT(J11*J11+K11*K11)</f>
        <v>7.8857504774135307</v>
      </c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28"/>
      <c r="X11" s="23">
        <f>PI()/2</f>
        <v>1.5707963267948966</v>
      </c>
      <c r="Y11" s="36">
        <v>167158.94311789706</v>
      </c>
      <c r="Z11" s="36">
        <v>12127.626033917761</v>
      </c>
      <c r="AA11" s="192">
        <v>355.67363472148463</v>
      </c>
      <c r="AB11" s="195">
        <v>54.653382288976864</v>
      </c>
      <c r="AC11" s="36">
        <v>47.356204559750871</v>
      </c>
      <c r="AD11" s="36">
        <v>11.844613109799969</v>
      </c>
      <c r="AE11" s="195">
        <v>17.966439483374238</v>
      </c>
      <c r="AF11" s="195">
        <v>6.2955332128710397</v>
      </c>
      <c r="AG11" s="36">
        <v>10.356716278111412</v>
      </c>
      <c r="AH11" s="36">
        <v>4.5668567603263677</v>
      </c>
      <c r="AI11" s="195">
        <v>7.3251449881892841</v>
      </c>
      <c r="AJ11" s="195">
        <v>3.7858648198465392</v>
      </c>
      <c r="AK11" s="36">
        <v>4.9052541807990604</v>
      </c>
      <c r="AL11" s="36">
        <v>3.0858015100151079</v>
      </c>
      <c r="AM11" s="195">
        <v>3.9400392182363291</v>
      </c>
      <c r="AN11" s="195">
        <v>2.7722346623300784</v>
      </c>
      <c r="AO11" s="36">
        <v>3.0297509697308507</v>
      </c>
      <c r="AP11" s="36">
        <v>2.4445469846679848</v>
      </c>
      <c r="AQ11" s="195">
        <v>2.6937665630305849</v>
      </c>
      <c r="AR11" s="195">
        <v>2.3114766401049329</v>
      </c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</row>
    <row r="12" spans="1:66" ht="15" customHeight="1">
      <c r="A12" s="20">
        <v>1.4923565104551517</v>
      </c>
      <c r="B12" s="23">
        <f t="shared" si="0"/>
        <v>7.8359403602342378E-2</v>
      </c>
      <c r="C12" s="23">
        <f t="shared" si="1"/>
        <v>6.8587226627316946</v>
      </c>
      <c r="D12" s="23">
        <f t="shared" si="2"/>
        <v>0.58719595840891847</v>
      </c>
      <c r="E12" s="23">
        <f t="shared" si="3"/>
        <v>0.99692517465810104</v>
      </c>
      <c r="F12" s="71">
        <f t="shared" si="4"/>
        <v>2.0118351018671077</v>
      </c>
      <c r="G12" s="71">
        <f t="shared" si="5"/>
        <v>-3.5178569825329049</v>
      </c>
      <c r="H12" s="99">
        <f t="shared" si="6"/>
        <v>14.066426934863644</v>
      </c>
      <c r="I12" s="99">
        <f t="shared" si="7"/>
        <v>3.4489714840853312</v>
      </c>
      <c r="J12" s="71">
        <f t="shared" si="8"/>
        <v>-4.6304808093584287</v>
      </c>
      <c r="K12" s="71">
        <f t="shared" si="9"/>
        <v>-0.36396083059880185</v>
      </c>
      <c r="L12" s="42">
        <f t="shared" si="10"/>
        <v>4.6447626432409717</v>
      </c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28"/>
      <c r="X12" s="23">
        <f>X11-PI()/2/20+0.0001</f>
        <v>1.4923565104551517</v>
      </c>
      <c r="Y12" s="36">
        <v>56169.19644475932</v>
      </c>
      <c r="Z12" s="36">
        <v>8549.3302144834925</v>
      </c>
      <c r="AA12" s="192">
        <v>208.58326414042949</v>
      </c>
      <c r="AB12" s="195">
        <v>49.384824098388535</v>
      </c>
      <c r="AC12" s="36">
        <v>33.707397829315298</v>
      </c>
      <c r="AD12" s="36">
        <v>11.339519607636577</v>
      </c>
      <c r="AE12" s="195">
        <v>14.143863755078739</v>
      </c>
      <c r="AF12" s="195">
        <v>6.1517901747883919</v>
      </c>
      <c r="AG12" s="36">
        <v>8.6628549920946405</v>
      </c>
      <c r="AH12" s="36">
        <v>4.5025528231150158</v>
      </c>
      <c r="AI12" s="195">
        <v>6.3728116984895697</v>
      </c>
      <c r="AJ12" s="195">
        <v>3.7495785992635895</v>
      </c>
      <c r="AK12" s="36">
        <v>4.4686997165911162</v>
      </c>
      <c r="AL12" s="36">
        <v>3.0689929022120936</v>
      </c>
      <c r="AM12" s="195">
        <v>3.6800599213658334</v>
      </c>
      <c r="AN12" s="195">
        <v>2.7621778137829969</v>
      </c>
      <c r="AO12" s="36">
        <v>2.9127664322057676</v>
      </c>
      <c r="AP12" s="36">
        <v>2.4399934299508268</v>
      </c>
      <c r="AQ12" s="195">
        <v>2.6216168956434207</v>
      </c>
      <c r="AR12" s="195">
        <v>2.3086595115699402</v>
      </c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</row>
    <row r="13" spans="1:66" ht="15" customHeight="1">
      <c r="A13" s="20">
        <v>1.4139166941154069</v>
      </c>
      <c r="B13" s="23">
        <f t="shared" si="0"/>
        <v>0.15623692424473953</v>
      </c>
      <c r="C13" s="23">
        <f t="shared" si="1"/>
        <v>6.9366001833740913</v>
      </c>
      <c r="D13" s="23">
        <f t="shared" si="2"/>
        <v>0.34366391196560808</v>
      </c>
      <c r="E13" s="23">
        <f t="shared" si="3"/>
        <v>0.98771960773417045</v>
      </c>
      <c r="F13" s="71">
        <f t="shared" si="4"/>
        <v>1.2019199992683696</v>
      </c>
      <c r="G13" s="71">
        <f t="shared" si="5"/>
        <v>-0.70201723386402703</v>
      </c>
      <c r="H13" s="99">
        <f t="shared" si="6"/>
        <v>3.7356204389994065</v>
      </c>
      <c r="I13" s="99">
        <f t="shared" si="7"/>
        <v>2.2979673343522959</v>
      </c>
      <c r="J13" s="77">
        <f t="shared" si="8"/>
        <v>-2.7100478578525973</v>
      </c>
      <c r="K13" s="77">
        <f t="shared" si="9"/>
        <v>-0.42867382458695608</v>
      </c>
      <c r="L13" s="42">
        <f t="shared" si="10"/>
        <v>2.7437420869566913</v>
      </c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28"/>
      <c r="X13" s="23">
        <f t="shared" ref="X13:X30" si="11">X12-PI()/2/20+0.0001</f>
        <v>1.4139166941154069</v>
      </c>
      <c r="Y13" s="36">
        <v>18861.760681467233</v>
      </c>
      <c r="Z13" s="36">
        <v>4400.8294812595177</v>
      </c>
      <c r="AA13" s="192">
        <v>122.70089926978467</v>
      </c>
      <c r="AB13" s="195">
        <v>39.518303969371388</v>
      </c>
      <c r="AC13" s="36">
        <v>24.12898419898271</v>
      </c>
      <c r="AD13" s="36">
        <v>10.227490429749681</v>
      </c>
      <c r="AE13" s="195">
        <v>11.202766223955805</v>
      </c>
      <c r="AF13" s="195">
        <v>5.8085420316250467</v>
      </c>
      <c r="AG13" s="36">
        <v>7.2856061253646738</v>
      </c>
      <c r="AH13" s="36">
        <v>4.3413122284515193</v>
      </c>
      <c r="AI13" s="195">
        <v>5.5703915088427518</v>
      </c>
      <c r="AJ13" s="195">
        <v>3.6555592593666182</v>
      </c>
      <c r="AK13" s="36">
        <v>4.0830686660886695</v>
      </c>
      <c r="AL13" s="36">
        <v>3.0236326954640393</v>
      </c>
      <c r="AM13" s="195">
        <v>3.4439638109233659</v>
      </c>
      <c r="AN13" s="195">
        <v>2.7343632943342384</v>
      </c>
      <c r="AO13" s="36">
        <v>2.8025265718392021</v>
      </c>
      <c r="AP13" s="36">
        <v>2.4269789024075425</v>
      </c>
      <c r="AQ13" s="195">
        <v>2.5523516808659146</v>
      </c>
      <c r="AR13" s="195">
        <v>2.3004737308758805</v>
      </c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</row>
    <row r="14" spans="1:66" ht="15" customHeight="1">
      <c r="A14" s="20">
        <v>1.335476877775662</v>
      </c>
      <c r="B14" s="23">
        <f t="shared" si="0"/>
        <v>0.23315364237912056</v>
      </c>
      <c r="C14" s="23">
        <f t="shared" si="1"/>
        <v>7.0135169015084724</v>
      </c>
      <c r="D14" s="23">
        <f t="shared" si="2"/>
        <v>0.19979084849880591</v>
      </c>
      <c r="E14" s="23">
        <f t="shared" si="3"/>
        <v>0.97243991024913679</v>
      </c>
      <c r="F14" s="71">
        <f t="shared" si="4"/>
        <v>0.71759153854365854</v>
      </c>
      <c r="G14" s="71">
        <f t="shared" si="5"/>
        <v>0.98185225658542752</v>
      </c>
      <c r="H14" s="99">
        <f t="shared" si="6"/>
        <v>0.12990147652296957</v>
      </c>
      <c r="I14" s="99">
        <f t="shared" si="7"/>
        <v>1.6066368470882895</v>
      </c>
      <c r="J14" s="71">
        <f t="shared" si="8"/>
        <v>-1.5755007789323145</v>
      </c>
      <c r="K14" s="71">
        <f t="shared" si="9"/>
        <v>-0.37774441516401841</v>
      </c>
      <c r="L14" s="42">
        <f t="shared" si="10"/>
        <v>1.6201523223462466</v>
      </c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28"/>
      <c r="X14" s="23">
        <f t="shared" si="11"/>
        <v>1.335476877775662</v>
      </c>
      <c r="Y14" s="36">
        <v>6286.1854709916834</v>
      </c>
      <c r="Z14" s="36">
        <v>1992.5239901770581</v>
      </c>
      <c r="AA14" s="192">
        <v>72.261551801505689</v>
      </c>
      <c r="AB14" s="195">
        <v>29.660775870074662</v>
      </c>
      <c r="AC14" s="36">
        <v>17.355549185603465</v>
      </c>
      <c r="AD14" s="36">
        <v>8.895204987652928</v>
      </c>
      <c r="AE14" s="195">
        <v>8.9204835073189805</v>
      </c>
      <c r="AF14" s="195">
        <v>5.3581881953980872</v>
      </c>
      <c r="AG14" s="36">
        <v>6.1555775888172937</v>
      </c>
      <c r="AH14" s="36">
        <v>4.1178977383862296</v>
      </c>
      <c r="AI14" s="195">
        <v>4.8869394728756381</v>
      </c>
      <c r="AJ14" s="195">
        <v>3.5204383966774873</v>
      </c>
      <c r="AK14" s="36">
        <v>3.7390326243252727</v>
      </c>
      <c r="AL14" s="36">
        <v>2.9554174055971618</v>
      </c>
      <c r="AM14" s="195">
        <v>3.2273646935574289</v>
      </c>
      <c r="AN14" s="195">
        <v>2.6913747055003925</v>
      </c>
      <c r="AO14" s="36">
        <v>2.6975417171702292</v>
      </c>
      <c r="AP14" s="36">
        <v>2.4061156358341647</v>
      </c>
      <c r="AQ14" s="195">
        <v>2.4851384997167063</v>
      </c>
      <c r="AR14" s="195">
        <v>2.2871080567311957</v>
      </c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</row>
    <row r="15" spans="1:66" ht="15" customHeight="1">
      <c r="A15" s="20">
        <v>1.2570370614359172</v>
      </c>
      <c r="B15" s="23">
        <f t="shared" si="0"/>
        <v>0.30863654705721483</v>
      </c>
      <c r="C15" s="23">
        <f t="shared" si="1"/>
        <v>7.0889998061865667</v>
      </c>
      <c r="D15" s="23">
        <f t="shared" si="2"/>
        <v>0.11495764620791508</v>
      </c>
      <c r="E15" s="23">
        <f t="shared" si="3"/>
        <v>0.95118004700508707</v>
      </c>
      <c r="F15" s="71">
        <f t="shared" si="4"/>
        <v>0.42666669165601967</v>
      </c>
      <c r="G15" s="71">
        <f t="shared" si="5"/>
        <v>1.9933135135901408</v>
      </c>
      <c r="H15" s="99">
        <f t="shared" si="6"/>
        <v>-1.1241107861312156</v>
      </c>
      <c r="I15" s="99">
        <f t="shared" si="7"/>
        <v>1.2624562979419678</v>
      </c>
      <c r="J15" s="71">
        <f t="shared" si="8"/>
        <v>-0.90652731346640292</v>
      </c>
      <c r="K15" s="71">
        <f t="shared" si="9"/>
        <v>-0.29414773861402038</v>
      </c>
      <c r="L15" s="42">
        <f t="shared" si="10"/>
        <v>0.95305543500488787</v>
      </c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28"/>
      <c r="X15" s="23">
        <f t="shared" si="11"/>
        <v>1.2570370614359172</v>
      </c>
      <c r="Y15" s="36">
        <v>2064.4451761733771</v>
      </c>
      <c r="Z15" s="36">
        <v>834.81420932757237</v>
      </c>
      <c r="AA15" s="192">
        <v>42.513347903323378</v>
      </c>
      <c r="AB15" s="195">
        <v>21.376503818252125</v>
      </c>
      <c r="AC15" s="36">
        <v>12.531779247304776</v>
      </c>
      <c r="AD15" s="36">
        <v>7.5454546798441804</v>
      </c>
      <c r="AE15" s="195">
        <v>7.1343393225019058</v>
      </c>
      <c r="AF15" s="195">
        <v>4.8572059381095016</v>
      </c>
      <c r="AG15" s="36">
        <v>5.2196752296322355</v>
      </c>
      <c r="AH15" s="36">
        <v>3.8550162044695355</v>
      </c>
      <c r="AI15" s="195">
        <v>4.2990158891196266</v>
      </c>
      <c r="AJ15" s="195">
        <v>3.3553618907687497</v>
      </c>
      <c r="AK15" s="36">
        <v>3.4288131916595672</v>
      </c>
      <c r="AL15" s="36">
        <v>2.8680932478219336</v>
      </c>
      <c r="AM15" s="195">
        <v>3.0264330468984246</v>
      </c>
      <c r="AN15" s="195">
        <v>2.6347734667786629</v>
      </c>
      <c r="AO15" s="36">
        <v>2.5963851831351779</v>
      </c>
      <c r="AP15" s="36">
        <v>2.3775930734723381</v>
      </c>
      <c r="AQ15" s="195">
        <v>2.4191297269620358</v>
      </c>
      <c r="AR15" s="195">
        <v>2.2684869411786734</v>
      </c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</row>
    <row r="16" spans="1:66" ht="15" customHeight="1">
      <c r="A16" s="20">
        <v>1.1785972450961724</v>
      </c>
      <c r="B16" s="23">
        <f t="shared" si="0"/>
        <v>0.38222144478265369</v>
      </c>
      <c r="C16" s="23">
        <f t="shared" si="1"/>
        <v>7.1625847039120059</v>
      </c>
      <c r="D16" s="23">
        <f t="shared" si="2"/>
        <v>6.5208109723306387E-2</v>
      </c>
      <c r="E16" s="23">
        <f t="shared" si="3"/>
        <v>0.92407075873455757</v>
      </c>
      <c r="F16" s="71">
        <f t="shared" si="4"/>
        <v>0.25170671317676174</v>
      </c>
      <c r="G16" s="71">
        <f t="shared" si="5"/>
        <v>2.6015985798240857</v>
      </c>
      <c r="H16" s="99">
        <f t="shared" si="6"/>
        <v>-1.5556528983339581</v>
      </c>
      <c r="I16" s="99">
        <f t="shared" si="7"/>
        <v>1.1067583920080053</v>
      </c>
      <c r="J16" s="71">
        <f t="shared" si="8"/>
        <v>-0.51421488238179747</v>
      </c>
      <c r="K16" s="71">
        <f t="shared" si="9"/>
        <v>-0.21269362049921861</v>
      </c>
      <c r="L16" s="42">
        <f t="shared" si="10"/>
        <v>0.5564669994384136</v>
      </c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28"/>
      <c r="X16" s="23">
        <f t="shared" si="11"/>
        <v>1.1785972450961724</v>
      </c>
      <c r="Y16" s="36">
        <v>663.11142570090408</v>
      </c>
      <c r="Z16" s="36">
        <v>329.5797634712755</v>
      </c>
      <c r="AA16" s="195">
        <v>24.954493032870705</v>
      </c>
      <c r="AB16" s="195">
        <v>14.963530742562149</v>
      </c>
      <c r="AC16" s="36">
        <v>9.0794800381001295</v>
      </c>
      <c r="AD16" s="36">
        <v>6.2796152869259458</v>
      </c>
      <c r="AE16" s="195">
        <v>5.7266218751720279</v>
      </c>
      <c r="AF16" s="195">
        <v>4.3400258070341327</v>
      </c>
      <c r="AG16" s="36">
        <v>4.4381000755300679</v>
      </c>
      <c r="AH16" s="36">
        <v>3.5675338085331649</v>
      </c>
      <c r="AI16" s="195">
        <v>3.7886400830073823</v>
      </c>
      <c r="AJ16" s="195">
        <v>3.1677449699845619</v>
      </c>
      <c r="AK16" s="36">
        <v>3.1462225154357593</v>
      </c>
      <c r="AL16" s="36">
        <v>2.7639646236864377</v>
      </c>
      <c r="AM16" s="195">
        <v>2.838007425802199</v>
      </c>
      <c r="AN16" s="195">
        <v>2.5653014702632753</v>
      </c>
      <c r="AO16" s="36">
        <v>2.4977729045792416</v>
      </c>
      <c r="AP16" s="36">
        <v>2.3412061901232457</v>
      </c>
      <c r="AQ16" s="195">
        <v>2.353514479207401</v>
      </c>
      <c r="AR16" s="195">
        <v>2.2442659756464192</v>
      </c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</row>
    <row r="17" spans="1:66" ht="15" customHeight="1">
      <c r="A17" s="20">
        <v>1.1001574287564275</v>
      </c>
      <c r="B17" s="23">
        <f t="shared" si="0"/>
        <v>0.45345581413882258</v>
      </c>
      <c r="C17" s="23">
        <f t="shared" si="1"/>
        <v>7.2338190732681751</v>
      </c>
      <c r="D17" s="23">
        <f t="shared" si="2"/>
        <v>3.6301981153888767E-2</v>
      </c>
      <c r="E17" s="23">
        <f t="shared" si="3"/>
        <v>0.89127875809069834</v>
      </c>
      <c r="F17" s="71">
        <f t="shared" si="4"/>
        <v>0.14672802020953854</v>
      </c>
      <c r="G17" s="71">
        <f t="shared" si="5"/>
        <v>2.9665790271227279</v>
      </c>
      <c r="H17" s="99">
        <f t="shared" si="6"/>
        <v>-1.7014865637306755</v>
      </c>
      <c r="I17" s="99">
        <f t="shared" si="7"/>
        <v>1.0408263827142759</v>
      </c>
      <c r="J17" s="71">
        <f t="shared" si="8"/>
        <v>-0.28626836521533555</v>
      </c>
      <c r="K17" s="71">
        <f t="shared" si="9"/>
        <v>-0.14564473059920052</v>
      </c>
      <c r="L17" s="42">
        <f t="shared" si="10"/>
        <v>0.3211883629186687</v>
      </c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28"/>
      <c r="X17" s="23">
        <f t="shared" si="11"/>
        <v>1.1001574287564275</v>
      </c>
      <c r="Y17" s="36">
        <v>206.79593124475201</v>
      </c>
      <c r="Z17" s="36">
        <v>123.40591522952337</v>
      </c>
      <c r="AA17" s="195">
        <v>14.619778012761881</v>
      </c>
      <c r="AB17" s="195">
        <v>10.239683410063543</v>
      </c>
      <c r="AC17" s="36">
        <v>6.6019354672730142</v>
      </c>
      <c r="AD17" s="36">
        <v>5.1432383497096996</v>
      </c>
      <c r="AE17" s="195">
        <v>4.6109743162474368</v>
      </c>
      <c r="AF17" s="195">
        <v>3.8274210537921194</v>
      </c>
      <c r="AG17" s="36">
        <v>3.7806551446243262</v>
      </c>
      <c r="AH17" s="36">
        <v>3.2651431628062904</v>
      </c>
      <c r="AI17" s="195">
        <v>3.3418616694944405</v>
      </c>
      <c r="AJ17" s="195">
        <v>2.962404119740663</v>
      </c>
      <c r="AK17" s="36">
        <v>2.8862641859081326</v>
      </c>
      <c r="AL17" s="36">
        <v>2.644209697560258</v>
      </c>
      <c r="AM17" s="195">
        <v>2.6594163385278127</v>
      </c>
      <c r="AN17" s="195">
        <v>2.4829869233889683</v>
      </c>
      <c r="AO17" s="36">
        <v>2.4004997236403707</v>
      </c>
      <c r="AP17" s="36">
        <v>2.2963405949936209</v>
      </c>
      <c r="AQ17" s="195">
        <v>2.2874781378831615</v>
      </c>
      <c r="AR17" s="195">
        <v>2.2137971453598704</v>
      </c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</row>
    <row r="18" spans="1:66" ht="15" customHeight="1">
      <c r="A18" s="20">
        <v>1.0217176124166827</v>
      </c>
      <c r="B18" s="23">
        <f t="shared" si="0"/>
        <v>0.52190158863750058</v>
      </c>
      <c r="C18" s="23">
        <f t="shared" si="1"/>
        <v>7.3022648477668524</v>
      </c>
      <c r="D18" s="23">
        <f t="shared" si="2"/>
        <v>1.9732487646111064E-2</v>
      </c>
      <c r="E18" s="23">
        <f t="shared" si="3"/>
        <v>0.85300570442269208</v>
      </c>
      <c r="F18" s="71">
        <f t="shared" si="4"/>
        <v>8.4123266695416435E-2</v>
      </c>
      <c r="G18" s="71">
        <f t="shared" si="5"/>
        <v>3.1842375852049827</v>
      </c>
      <c r="H18" s="99">
        <f t="shared" si="6"/>
        <v>-1.7494729358013048</v>
      </c>
      <c r="I18" s="99">
        <f t="shared" si="7"/>
        <v>1.0144307569437054</v>
      </c>
      <c r="J18" s="71">
        <f t="shared" si="8"/>
        <v>-0.15560547387587703</v>
      </c>
      <c r="K18" s="71">
        <f t="shared" si="9"/>
        <v>-9.5205393815594869E-2</v>
      </c>
      <c r="L18" s="42">
        <f t="shared" si="10"/>
        <v>0.18242020313473714</v>
      </c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28"/>
      <c r="X18" s="23">
        <f t="shared" si="11"/>
        <v>1.0217176124166827</v>
      </c>
      <c r="Y18" s="36">
        <v>62.30353260973277</v>
      </c>
      <c r="Z18" s="36">
        <v>43.971274267533389</v>
      </c>
      <c r="AA18" s="195">
        <v>8.5784427639578524</v>
      </c>
      <c r="AB18" s="195">
        <v>6.8820964311747836</v>
      </c>
      <c r="AC18" s="36">
        <v>4.8232385498505046</v>
      </c>
      <c r="AD18" s="36">
        <v>4.1515159240586819</v>
      </c>
      <c r="AE18" s="195">
        <v>3.7232358619889041</v>
      </c>
      <c r="AF18" s="195">
        <v>3.331659029235337</v>
      </c>
      <c r="AG18" s="36">
        <v>3.2241799926093071</v>
      </c>
      <c r="AH18" s="36">
        <v>2.9540756526189518</v>
      </c>
      <c r="AI18" s="195">
        <v>2.9477479632144723</v>
      </c>
      <c r="AJ18" s="195">
        <v>2.7422895906903255</v>
      </c>
      <c r="AK18" s="36">
        <v>2.6448402443181354</v>
      </c>
      <c r="AL18" s="36">
        <v>2.5090581876005196</v>
      </c>
      <c r="AM18" s="195">
        <v>2.4883400045259734</v>
      </c>
      <c r="AN18" s="195">
        <v>2.3871701947346309</v>
      </c>
      <c r="AO18" s="36">
        <v>2.3033799535449058</v>
      </c>
      <c r="AP18" s="36">
        <v>2.241910290829991</v>
      </c>
      <c r="AQ18" s="195">
        <v>2.2201592789472584</v>
      </c>
      <c r="AR18" s="195">
        <v>2.1760563209178478</v>
      </c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</row>
    <row r="19" spans="1:66" ht="15" customHeight="1">
      <c r="A19" s="20">
        <v>0.94327779607693785</v>
      </c>
      <c r="B19" s="23">
        <f t="shared" si="0"/>
        <v>0.58713785067473867</v>
      </c>
      <c r="C19" s="23">
        <f t="shared" si="1"/>
        <v>7.367501109804091</v>
      </c>
      <c r="D19" s="23">
        <f t="shared" si="2"/>
        <v>1.0408527778105636E-2</v>
      </c>
      <c r="E19" s="23">
        <f t="shared" si="3"/>
        <v>0.80948696364119921</v>
      </c>
      <c r="F19" s="71">
        <f t="shared" si="4"/>
        <v>4.7176780613681489E-2</v>
      </c>
      <c r="G19" s="71">
        <f t="shared" si="5"/>
        <v>3.3126897942683491</v>
      </c>
      <c r="H19" s="99">
        <f t="shared" si="6"/>
        <v>-1.7646979200766015</v>
      </c>
      <c r="I19" s="99">
        <f t="shared" si="7"/>
        <v>1.0044313820886548</v>
      </c>
      <c r="J19" s="71">
        <f t="shared" si="8"/>
        <v>-8.2079052895368584E-2</v>
      </c>
      <c r="K19" s="71">
        <f t="shared" si="9"/>
        <v>-5.9533656336639429E-2</v>
      </c>
      <c r="L19" s="42">
        <f t="shared" si="10"/>
        <v>0.10139638633112032</v>
      </c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28"/>
      <c r="X19" s="23">
        <f t="shared" si="11"/>
        <v>0.94327779607693785</v>
      </c>
      <c r="Y19" s="36">
        <v>18.259871759774697</v>
      </c>
      <c r="Z19" s="36">
        <v>15.060484225032848</v>
      </c>
      <c r="AA19" s="195">
        <v>5.0868099471207486</v>
      </c>
      <c r="AB19" s="195">
        <v>4.5656068275981507</v>
      </c>
      <c r="AC19" s="36">
        <v>3.5491168493338687</v>
      </c>
      <c r="AD19" s="36">
        <v>3.3035842196385268</v>
      </c>
      <c r="AE19" s="195">
        <v>3.0151762842022052</v>
      </c>
      <c r="AF19" s="195">
        <v>2.8597075747632377</v>
      </c>
      <c r="AG19" s="36">
        <v>2.7507423133867839</v>
      </c>
      <c r="AH19" s="36">
        <v>2.6382134952569691</v>
      </c>
      <c r="AI19" s="195">
        <v>2.5976568791511268</v>
      </c>
      <c r="AJ19" s="195">
        <v>2.5089534140931562</v>
      </c>
      <c r="AK19" s="36">
        <v>2.4185316009253039</v>
      </c>
      <c r="AL19" s="36">
        <v>2.3578596498975237</v>
      </c>
      <c r="AM19" s="195">
        <v>2.32269766016806</v>
      </c>
      <c r="AN19" s="195">
        <v>2.2764512355066038</v>
      </c>
      <c r="AO19" s="36">
        <v>2.205185684377037</v>
      </c>
      <c r="AP19" s="36">
        <v>2.1762338530666612</v>
      </c>
      <c r="AQ19" s="195">
        <v>2.1505986608650094</v>
      </c>
      <c r="AR19" s="195">
        <v>2.1295165826066986</v>
      </c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</row>
    <row r="20" spans="1:66" ht="15" customHeight="1">
      <c r="A20" s="20">
        <v>0.86483797973719301</v>
      </c>
      <c r="B20" s="23">
        <f t="shared" si="0"/>
        <v>0.6487634200270912</v>
      </c>
      <c r="C20" s="23">
        <f t="shared" si="1"/>
        <v>7.4291266791564432</v>
      </c>
      <c r="D20" s="23">
        <f t="shared" si="2"/>
        <v>5.2880354555509233E-3</v>
      </c>
      <c r="E20" s="23">
        <f t="shared" si="3"/>
        <v>0.76099016080022486</v>
      </c>
      <c r="F20" s="71">
        <f t="shared" si="4"/>
        <v>2.5708795226411642E-2</v>
      </c>
      <c r="G20" s="71">
        <f t="shared" si="5"/>
        <v>3.3873277487692</v>
      </c>
      <c r="H20" s="99">
        <f t="shared" si="6"/>
        <v>-1.7693019751223047</v>
      </c>
      <c r="I20" s="99">
        <f t="shared" si="7"/>
        <v>1.0008634671508112</v>
      </c>
      <c r="J20" s="71">
        <f t="shared" si="8"/>
        <v>-4.1700128118190405E-2</v>
      </c>
      <c r="K20" s="71">
        <f t="shared" si="9"/>
        <v>-3.5550417242026823E-2</v>
      </c>
      <c r="L20" s="42">
        <f t="shared" si="10"/>
        <v>5.4797197475379089E-2</v>
      </c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28"/>
      <c r="X20" s="23">
        <f t="shared" si="11"/>
        <v>0.86483797973719301</v>
      </c>
      <c r="Y20" s="36">
        <v>5.4905909631728163</v>
      </c>
      <c r="Z20" s="36">
        <v>5.1703611875418281</v>
      </c>
      <c r="AA20" s="195">
        <v>3.1022100645491157</v>
      </c>
      <c r="AB20" s="195">
        <v>3.011828622659511</v>
      </c>
      <c r="AC20" s="36">
        <v>2.6412217815492225</v>
      </c>
      <c r="AD20" s="36">
        <v>2.5905568288758287</v>
      </c>
      <c r="AE20" s="195">
        <v>2.4501440264179952</v>
      </c>
      <c r="AF20" s="195">
        <v>2.4152553535064847</v>
      </c>
      <c r="AG20" s="36">
        <v>2.3463463727369804</v>
      </c>
      <c r="AH20" s="36">
        <v>2.3198170376314931</v>
      </c>
      <c r="AI20" s="195">
        <v>2.2847091324278077</v>
      </c>
      <c r="AJ20" s="195">
        <v>2.2628334870852824</v>
      </c>
      <c r="AK20" s="36">
        <v>2.204429251912579</v>
      </c>
      <c r="AL20" s="36">
        <v>2.1890496458617186</v>
      </c>
      <c r="AM20" s="195">
        <v>2.1605490836271621</v>
      </c>
      <c r="AN20" s="195">
        <v>2.1485439456937154</v>
      </c>
      <c r="AO20" s="36">
        <v>2.1045751079676562</v>
      </c>
      <c r="AP20" s="36">
        <v>2.0968192688457448</v>
      </c>
      <c r="AQ20" s="195">
        <v>2.0776727622816642</v>
      </c>
      <c r="AR20" s="195">
        <v>2.0719359665239279</v>
      </c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</row>
    <row r="21" spans="1:66" ht="15" customHeight="1">
      <c r="A21" s="20">
        <v>0.78639816339744817</v>
      </c>
      <c r="B21" s="23">
        <f t="shared" si="0"/>
        <v>0.70639932096985103</v>
      </c>
      <c r="C21" s="23">
        <f t="shared" si="1"/>
        <v>7.486762580099203</v>
      </c>
      <c r="D21" s="23">
        <f t="shared" si="2"/>
        <v>2.5633276662361984E-3</v>
      </c>
      <c r="E21" s="23">
        <f t="shared" si="3"/>
        <v>0.70781353429652172</v>
      </c>
      <c r="F21" s="71">
        <f t="shared" si="4"/>
        <v>1.3502306673348599E-2</v>
      </c>
      <c r="G21" s="71">
        <f t="shared" si="5"/>
        <v>3.4297661667578265</v>
      </c>
      <c r="H21" s="99">
        <f t="shared" si="6"/>
        <v>-1.7706103344880817</v>
      </c>
      <c r="I21" s="99">
        <f t="shared" si="7"/>
        <v>0.99967516799772849</v>
      </c>
      <c r="J21" s="71">
        <f t="shared" si="8"/>
        <v>-2.0213762367789427E-2</v>
      </c>
      <c r="K21" s="71">
        <f t="shared" si="9"/>
        <v>-2.0173375216742517E-2</v>
      </c>
      <c r="L21" s="42">
        <f t="shared" si="10"/>
        <v>2.8558033137751997E-2</v>
      </c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28"/>
      <c r="X21" s="23">
        <f t="shared" si="11"/>
        <v>0.78639816339744817</v>
      </c>
      <c r="Y21" s="204">
        <v>2.0205701599840062</v>
      </c>
      <c r="Z21" s="204">
        <v>2.0205495425930402</v>
      </c>
      <c r="AA21" s="204">
        <v>2</v>
      </c>
      <c r="AB21" s="204">
        <v>2</v>
      </c>
      <c r="AC21" s="204">
        <v>2</v>
      </c>
      <c r="AD21" s="204">
        <v>1.9999999999999998</v>
      </c>
      <c r="AE21" s="204">
        <v>2</v>
      </c>
      <c r="AF21" s="204">
        <v>1.9999999999999998</v>
      </c>
      <c r="AG21" s="204">
        <v>2</v>
      </c>
      <c r="AH21" s="204">
        <v>2</v>
      </c>
      <c r="AI21" s="204">
        <v>2.0034021371873116</v>
      </c>
      <c r="AJ21" s="204">
        <v>2.0033987365816959</v>
      </c>
      <c r="AK21" s="204">
        <v>2</v>
      </c>
      <c r="AL21" s="204">
        <v>2</v>
      </c>
      <c r="AM21" s="204">
        <v>1.9999999999999998</v>
      </c>
      <c r="AN21" s="204">
        <v>2</v>
      </c>
      <c r="AO21" s="204">
        <v>1.9999999999999998</v>
      </c>
      <c r="AP21" s="204">
        <v>2</v>
      </c>
      <c r="AQ21" s="204">
        <v>1.9999999999999998</v>
      </c>
      <c r="AR21" s="204">
        <v>2</v>
      </c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</row>
    <row r="22" spans="1:66" ht="15" customHeight="1">
      <c r="A22" s="20">
        <v>0.70795834705770333</v>
      </c>
      <c r="B22" s="23">
        <f t="shared" ref="B22:B34" si="12">COS(A22)</f>
        <v>0.75969111284537427</v>
      </c>
      <c r="C22" s="23">
        <f t="shared" ref="C22:C34" si="13">($C$6+B22)</f>
        <v>7.5400543719747262</v>
      </c>
      <c r="D22" s="23">
        <f t="shared" ref="D22:D34" si="14">POWER(TAN(A22/2),$C$6)</f>
        <v>1.1711786545028303E-3</v>
      </c>
      <c r="E22" s="23">
        <f t="shared" ref="E22:E34" si="15">SIN(A22)</f>
        <v>0.65028410180763052</v>
      </c>
      <c r="F22" s="71">
        <f t="shared" ref="F22:F34" si="16">(C22*$H$6*D22/E22/$I$6/$J$6)</f>
        <v>6.7627469013074254E-3</v>
      </c>
      <c r="G22" s="71">
        <f t="shared" ref="G22:G34" si="17">$D$6*($C$6+$G$6)/9.81/SIN($C$3)/(1-$C$6*$C$6)*(F22-1)</f>
        <v>3.4531976600510759</v>
      </c>
      <c r="H22" s="99">
        <f t="shared" ref="H22:H34" si="18">-(-$H$3+$K$6*((POWER(TAN(A22/2),2*$C$6-1)/(2*$C$6-1))+(POWER(TAN(A22/2),2*$C$6+1)/(2*$C$6+1))-(POWER(TAN($E$6/2),2*$C$6-1)/(2*$C$6-1))-(POWER(TAN($E$6/2),2*$C$6+1)/(2*$C$6+1))))</f>
        <v>-1.7709535759113781</v>
      </c>
      <c r="I22" s="99">
        <f t="shared" ref="I22:I34" si="19">-(-$I$3+0.5*$K$6*((POWER(TAN(A22/2),2*$C$6-2)/(2*$C$6-2))-(POWER(TAN(A22/2),2*$C$6+2)/(2*$C$6+2))-(POWER(TAN($E$6/2),2*$C$6-2)/(2*$C$6-2))+(POWER(TAN($E$6/2),2*$C$6+2)/(2*$C$6+2))))</f>
        <v>0.99931075819907256</v>
      </c>
      <c r="J22" s="71">
        <f t="shared" ref="J22:J34" si="20">-$D$6*SIN(A22)*($C$6+$G$6)/($C$6+B22)*F22</f>
        <v>-9.2356226338822373E-3</v>
      </c>
      <c r="K22" s="71">
        <f t="shared" ref="K22:K34" si="21">-$D$6*COS(A22)*($C$6+$G$6)/($C$6+B22)*F22</f>
        <v>-1.0789469428901228E-2</v>
      </c>
      <c r="L22" s="42">
        <f t="shared" ref="L22:L34" si="22">SQRT(J22*J22+K22*K22)</f>
        <v>1.4202442606561453E-2</v>
      </c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28"/>
      <c r="X22" s="23">
        <f t="shared" si="11"/>
        <v>0.70795834705770333</v>
      </c>
      <c r="Y22" s="36">
        <v>1.1528353937025981</v>
      </c>
      <c r="Z22" s="36">
        <v>1.0998565305389096</v>
      </c>
      <c r="AA22" s="195">
        <v>1.406671400470739</v>
      </c>
      <c r="AB22" s="195">
        <v>1.3627738080486003</v>
      </c>
      <c r="AC22" s="36">
        <v>1.5531242950411948</v>
      </c>
      <c r="AD22" s="36">
        <v>1.5183754546789454</v>
      </c>
      <c r="AE22" s="195">
        <v>1.6429275174629951</v>
      </c>
      <c r="AF22" s="195">
        <v>1.6144805604321764</v>
      </c>
      <c r="AG22" s="36">
        <v>1.703034344431184</v>
      </c>
      <c r="AH22" s="36">
        <v>1.6790345871585168</v>
      </c>
      <c r="AI22" s="195">
        <v>1.7493268490624045</v>
      </c>
      <c r="AJ22" s="195">
        <v>1.7291737236599554</v>
      </c>
      <c r="AK22" s="36">
        <v>1.8029740754169206</v>
      </c>
      <c r="AL22" s="36">
        <v>1.7867103051436526</v>
      </c>
      <c r="AM22" s="195">
        <v>1.8390998689126057</v>
      </c>
      <c r="AN22" s="195">
        <v>1.8257251252349431</v>
      </c>
      <c r="AO22" s="36">
        <v>1.889574922963982</v>
      </c>
      <c r="AP22" s="36">
        <v>1.8803105292556621</v>
      </c>
      <c r="AQ22" s="195">
        <v>1.9157991662866851</v>
      </c>
      <c r="AR22" s="195">
        <v>1.9087022054069178</v>
      </c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</row>
    <row r="23" spans="1:66" ht="15" customHeight="1">
      <c r="A23" s="20">
        <v>0.62951853071795849</v>
      </c>
      <c r="B23" s="23">
        <f t="shared" si="12"/>
        <v>0.80831106974931266</v>
      </c>
      <c r="C23" s="23">
        <f t="shared" si="13"/>
        <v>7.5886743288786649</v>
      </c>
      <c r="D23" s="23">
        <f t="shared" si="14"/>
        <v>4.9621623222216376E-4</v>
      </c>
      <c r="E23" s="23">
        <f t="shared" si="15"/>
        <v>0.58875564924739521</v>
      </c>
      <c r="F23" s="71">
        <f t="shared" si="16"/>
        <v>3.1851540309510915E-3</v>
      </c>
      <c r="G23" s="71">
        <f t="shared" si="17"/>
        <v>3.465635912130312</v>
      </c>
      <c r="H23" s="99">
        <f t="shared" si="18"/>
        <v>-1.7710348136517458</v>
      </c>
      <c r="I23" s="99">
        <f t="shared" si="19"/>
        <v>0.99920982098170597</v>
      </c>
      <c r="J23" s="71">
        <f t="shared" si="20"/>
        <v>-3.9130373901462732E-3</v>
      </c>
      <c r="K23" s="71">
        <f t="shared" si="21"/>
        <v>-5.3722651202436624E-3</v>
      </c>
      <c r="L23" s="42">
        <f t="shared" si="22"/>
        <v>6.6462842354859759E-3</v>
      </c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28"/>
      <c r="X23" s="23">
        <f t="shared" si="11"/>
        <v>0.62951853071795849</v>
      </c>
      <c r="Y23" s="36">
        <v>0.95786283635374248</v>
      </c>
      <c r="Z23" s="36">
        <v>0.85776607970614016</v>
      </c>
      <c r="AA23" s="195">
        <v>1.1003189803187563</v>
      </c>
      <c r="AB23" s="195">
        <v>0.9772146159553603</v>
      </c>
      <c r="AC23" s="36">
        <v>1.2475806853454201</v>
      </c>
      <c r="AD23" s="36">
        <v>1.132318287790677</v>
      </c>
      <c r="AE23" s="195">
        <v>1.3618467488215371</v>
      </c>
      <c r="AF23" s="195">
        <v>1.2586261201497251</v>
      </c>
      <c r="AG23" s="36">
        <v>1.4486048913887319</v>
      </c>
      <c r="AH23" s="36">
        <v>1.3565357928175927</v>
      </c>
      <c r="AI23" s="195">
        <v>1.5189616606090626</v>
      </c>
      <c r="AJ23" s="195">
        <v>1.4376353309778431</v>
      </c>
      <c r="AK23" s="36">
        <v>1.6112435982394226</v>
      </c>
      <c r="AL23" s="36">
        <v>1.5432474157110474</v>
      </c>
      <c r="AM23" s="195">
        <v>1.6757162559918133</v>
      </c>
      <c r="AN23" s="195">
        <v>1.6181329973058267</v>
      </c>
      <c r="AO23" s="36">
        <v>1.7708772731240596</v>
      </c>
      <c r="AP23" s="36">
        <v>1.7293744882310775</v>
      </c>
      <c r="AQ23" s="195">
        <v>1.8226621773503027</v>
      </c>
      <c r="AR23" s="195">
        <v>1.7902213805151661</v>
      </c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</row>
    <row r="24" spans="1:66" ht="15" customHeight="1">
      <c r="A24" s="20">
        <v>0.55107871437821365</v>
      </c>
      <c r="B24" s="23">
        <f t="shared" si="12"/>
        <v>0.8519601959304457</v>
      </c>
      <c r="C24" s="23">
        <f t="shared" si="13"/>
        <v>7.6323234550597974</v>
      </c>
      <c r="D24" s="23">
        <f t="shared" si="14"/>
        <v>1.9059545477977303E-4</v>
      </c>
      <c r="E24" s="23">
        <f t="shared" si="15"/>
        <v>0.52360655510617571</v>
      </c>
      <c r="F24" s="71">
        <f t="shared" si="16"/>
        <v>1.3835436851457287E-3</v>
      </c>
      <c r="G24" s="71">
        <f t="shared" si="17"/>
        <v>3.4718995884181778</v>
      </c>
      <c r="H24" s="99">
        <f t="shared" si="18"/>
        <v>-1.771051632417362</v>
      </c>
      <c r="I24" s="99">
        <f t="shared" si="19"/>
        <v>0.99918524033808165</v>
      </c>
      <c r="J24" s="71">
        <f t="shared" si="20"/>
        <v>-1.5029881985224455E-3</v>
      </c>
      <c r="K24" s="71">
        <f t="shared" si="21"/>
        <v>-2.4455120120386504E-3</v>
      </c>
      <c r="L24" s="42">
        <f t="shared" si="22"/>
        <v>2.8704533659202817E-3</v>
      </c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28"/>
      <c r="X24" s="23">
        <f t="shared" si="11"/>
        <v>0.55107871437821365</v>
      </c>
      <c r="Y24" s="36">
        <v>0.91973791633285562</v>
      </c>
      <c r="Z24" s="36">
        <v>0.80208880392512594</v>
      </c>
      <c r="AA24" s="195">
        <v>0.95071937015399666</v>
      </c>
      <c r="AB24" s="195">
        <v>0.75531522183411437</v>
      </c>
      <c r="AC24" s="36">
        <v>1.044194477222975</v>
      </c>
      <c r="AD24" s="36">
        <v>0.82924706477831456</v>
      </c>
      <c r="AE24" s="195">
        <v>1.1432504732384134</v>
      </c>
      <c r="AF24" s="195">
        <v>0.93213066846527637</v>
      </c>
      <c r="AG24" s="36">
        <v>1.2313251739014865</v>
      </c>
      <c r="AH24" s="36">
        <v>1.0315511722389998</v>
      </c>
      <c r="AI24" s="195">
        <v>1.3095268294587044</v>
      </c>
      <c r="AJ24" s="195">
        <v>1.1249393616188355</v>
      </c>
      <c r="AK24" s="36">
        <v>1.4227600031080048</v>
      </c>
      <c r="AL24" s="36">
        <v>1.2607376552760408</v>
      </c>
      <c r="AM24" s="195">
        <v>1.5073598153327108</v>
      </c>
      <c r="AN24" s="195">
        <v>1.3656130726178315</v>
      </c>
      <c r="AO24" s="36">
        <v>1.6406187668575836</v>
      </c>
      <c r="AP24" s="36">
        <v>1.5338140881153202</v>
      </c>
      <c r="AQ24" s="195">
        <v>1.7171657053878073</v>
      </c>
      <c r="AR24" s="195">
        <v>1.6317619247319433</v>
      </c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</row>
    <row r="25" spans="1:66" ht="15" customHeight="1">
      <c r="A25" s="20">
        <v>0.47263889803846881</v>
      </c>
      <c r="B25" s="23">
        <f t="shared" si="12"/>
        <v>0.89037006451010647</v>
      </c>
      <c r="C25" s="23">
        <f t="shared" si="13"/>
        <v>7.6707333236394586</v>
      </c>
      <c r="D25" s="23">
        <f t="shared" si="14"/>
        <v>6.4215738748119611E-5</v>
      </c>
      <c r="E25" s="23">
        <f t="shared" si="15"/>
        <v>0.45523746355530631</v>
      </c>
      <c r="F25" s="71">
        <f t="shared" si="16"/>
        <v>5.388514020701451E-4</v>
      </c>
      <c r="G25" s="71">
        <f t="shared" si="17"/>
        <v>3.474836338329923</v>
      </c>
      <c r="H25" s="99">
        <f t="shared" si="18"/>
        <v>-1.7710545500177832</v>
      </c>
      <c r="I25" s="99">
        <f t="shared" si="19"/>
        <v>0.99918017647822288</v>
      </c>
      <c r="J25" s="71">
        <f t="shared" si="20"/>
        <v>-5.0638929249044722E-4</v>
      </c>
      <c r="K25" s="71">
        <f t="shared" si="21"/>
        <v>-9.9041468050700189E-4</v>
      </c>
      <c r="L25" s="42">
        <f t="shared" si="22"/>
        <v>1.112362960059693E-3</v>
      </c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28"/>
      <c r="X25" s="23">
        <f t="shared" si="11"/>
        <v>0.47263889803846881</v>
      </c>
      <c r="Y25" s="36">
        <v>0.91353271477463327</v>
      </c>
      <c r="Z25" s="36">
        <v>0.79132858480487411</v>
      </c>
      <c r="AA25" s="195">
        <v>0.88297937066892906</v>
      </c>
      <c r="AB25" s="195">
        <v>0.63564149325497055</v>
      </c>
      <c r="AC25" s="36">
        <v>0.91380590863862787</v>
      </c>
      <c r="AD25" s="36">
        <v>0.59759158536811685</v>
      </c>
      <c r="AE25" s="195">
        <v>0.97633510699795889</v>
      </c>
      <c r="AF25" s="195">
        <v>0.63472873408476471</v>
      </c>
      <c r="AG25" s="36">
        <v>1.047000539180182</v>
      </c>
      <c r="AH25" s="36">
        <v>0.70256206759002926</v>
      </c>
      <c r="AI25" s="195">
        <v>1.1188907467383906</v>
      </c>
      <c r="AJ25" s="195">
        <v>0.78537149029094411</v>
      </c>
      <c r="AK25" s="36">
        <v>1.2354139745231238</v>
      </c>
      <c r="AL25" s="36">
        <v>0.92548494460285302</v>
      </c>
      <c r="AM25" s="195">
        <v>1.3309108089790831</v>
      </c>
      <c r="AN25" s="195">
        <v>1.0495859275724828</v>
      </c>
      <c r="AO25" s="36">
        <v>1.494064067365573</v>
      </c>
      <c r="AP25" s="36">
        <v>1.2710238963049512</v>
      </c>
      <c r="AQ25" s="195">
        <v>1.5941590169509303</v>
      </c>
      <c r="AR25" s="195">
        <v>1.4110674868517046</v>
      </c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</row>
    <row r="26" spans="1:66" ht="15" customHeight="1">
      <c r="A26" s="20">
        <v>0.39419908169872397</v>
      </c>
      <c r="B26" s="23">
        <f t="shared" si="12"/>
        <v>0.92330446821371936</v>
      </c>
      <c r="C26" s="23">
        <f t="shared" si="13"/>
        <v>7.7036677273430714</v>
      </c>
      <c r="D26" s="23">
        <f t="shared" si="14"/>
        <v>1.8038212800765496E-5</v>
      </c>
      <c r="E26" s="23">
        <f t="shared" si="15"/>
        <v>0.38406882062539366</v>
      </c>
      <c r="F26" s="71">
        <f t="shared" si="16"/>
        <v>1.8018168391238618E-4</v>
      </c>
      <c r="G26" s="71">
        <f t="shared" si="17"/>
        <v>3.4760833288426221</v>
      </c>
      <c r="H26" s="99">
        <f t="shared" si="18"/>
        <v>-1.7710549483048865</v>
      </c>
      <c r="I26" s="99">
        <f t="shared" si="19"/>
        <v>0.99917934288501709</v>
      </c>
      <c r="J26" s="71">
        <f t="shared" si="20"/>
        <v>-1.4224484520532346E-4</v>
      </c>
      <c r="K26" s="71">
        <f t="shared" si="21"/>
        <v>-3.4195772764002505E-4</v>
      </c>
      <c r="L26" s="42">
        <f t="shared" si="22"/>
        <v>3.703629078082955E-4</v>
      </c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28"/>
      <c r="X26" s="23">
        <f t="shared" si="11"/>
        <v>0.39419908169872397</v>
      </c>
      <c r="Y26" s="36">
        <v>0.91274491155363768</v>
      </c>
      <c r="Z26" s="36">
        <v>0.78968157893495161</v>
      </c>
      <c r="AA26" s="195">
        <v>0.85535437481987708</v>
      </c>
      <c r="AB26" s="195">
        <v>0.57652578392598586</v>
      </c>
      <c r="AC26" s="36">
        <v>0.83457729962896199</v>
      </c>
      <c r="AD26" s="36">
        <v>0.42680077675444039</v>
      </c>
      <c r="AE26" s="195">
        <v>0.85233796125138261</v>
      </c>
      <c r="AF26" s="195">
        <v>0.36642920675120938</v>
      </c>
      <c r="AG26" s="36">
        <v>0.89244125850647982</v>
      </c>
      <c r="AH26" s="36">
        <v>0.36737607050980459</v>
      </c>
      <c r="AI26" s="195">
        <v>0.94552788073757155</v>
      </c>
      <c r="AJ26" s="195">
        <v>0.41027532192398808</v>
      </c>
      <c r="AK26" s="36">
        <v>1.0468688537967972</v>
      </c>
      <c r="AL26" s="36">
        <v>0.51519942718641776</v>
      </c>
      <c r="AM26" s="195">
        <v>1.1421426046438894</v>
      </c>
      <c r="AN26" s="195">
        <v>0.63834690173969766</v>
      </c>
      <c r="AO26" s="36">
        <v>1.3239097617276328</v>
      </c>
      <c r="AP26" s="36">
        <v>0.89977151070993577</v>
      </c>
      <c r="AQ26" s="195">
        <v>1.4453407281211137</v>
      </c>
      <c r="AR26" s="195">
        <v>1.0861190311440816</v>
      </c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</row>
    <row r="27" spans="1:66" ht="15" customHeight="1">
      <c r="A27" s="20">
        <v>0.31575926535897914</v>
      </c>
      <c r="B27" s="23">
        <f t="shared" si="12"/>
        <v>0.95056087196302819</v>
      </c>
      <c r="C27" s="23">
        <f t="shared" si="13"/>
        <v>7.7309241310923804</v>
      </c>
      <c r="D27" s="23">
        <f t="shared" si="14"/>
        <v>3.8812301024197975E-6</v>
      </c>
      <c r="E27" s="23">
        <f t="shared" si="15"/>
        <v>0.31053828861009658</v>
      </c>
      <c r="F27" s="71">
        <f t="shared" si="16"/>
        <v>4.8118744962988225E-5</v>
      </c>
      <c r="G27" s="71">
        <f t="shared" si="17"/>
        <v>3.476542473352493</v>
      </c>
      <c r="H27" s="99">
        <f t="shared" si="18"/>
        <v>-1.7710549871384607</v>
      </c>
      <c r="I27" s="99">
        <f t="shared" si="19"/>
        <v>0.99917924255455159</v>
      </c>
      <c r="J27" s="71">
        <f t="shared" si="20"/>
        <v>-3.0606412133108712E-5</v>
      </c>
      <c r="K27" s="71">
        <f t="shared" si="21"/>
        <v>-9.3686540024171767E-5</v>
      </c>
      <c r="L27" s="42">
        <f t="shared" si="22"/>
        <v>9.8559222020886718E-5</v>
      </c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28"/>
      <c r="X27" s="23">
        <f t="shared" si="11"/>
        <v>0.31575926535897914</v>
      </c>
      <c r="Y27" s="36">
        <v>0.91267433263759479</v>
      </c>
      <c r="Z27" s="36">
        <v>0.78949948902608358</v>
      </c>
      <c r="AA27" s="195">
        <v>0.84566304669062453</v>
      </c>
      <c r="AB27" s="195">
        <v>0.55074183536031929</v>
      </c>
      <c r="AC27" s="36">
        <v>0.79008877533838673</v>
      </c>
      <c r="AD27" s="36">
        <v>0.30721951787359547</v>
      </c>
      <c r="AE27" s="195">
        <v>0.76401464944618303</v>
      </c>
      <c r="AF27" s="195">
        <v>0.12776557066213345</v>
      </c>
      <c r="AG27" s="36">
        <v>0.7653449639314327</v>
      </c>
      <c r="AH27" s="36">
        <v>2.2839073323079884E-2</v>
      </c>
      <c r="AI27" s="195">
        <v>0.78854173698436791</v>
      </c>
      <c r="AJ27" s="195">
        <v>-1.4162437727877286E-2</v>
      </c>
      <c r="AK27" s="36">
        <v>0.85428476114660712</v>
      </c>
      <c r="AL27" s="36">
        <v>-9.3953422220209859E-3</v>
      </c>
      <c r="AM27" s="195">
        <v>0.93478906076796786</v>
      </c>
      <c r="AN27" s="195">
        <v>7.2606337887257011E-2</v>
      </c>
      <c r="AO27" s="36">
        <v>1.1178741401416339</v>
      </c>
      <c r="AP27" s="36">
        <v>0.33641092275674622</v>
      </c>
      <c r="AQ27" s="195">
        <v>1.2560758785202109</v>
      </c>
      <c r="AR27" s="195">
        <v>0.56805293012564562</v>
      </c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</row>
    <row r="28" spans="1:66" ht="15" customHeight="1">
      <c r="A28" s="20">
        <v>0.2373194490192343</v>
      </c>
      <c r="B28" s="23">
        <f t="shared" si="12"/>
        <v>0.9719716583960778</v>
      </c>
      <c r="C28" s="23">
        <f t="shared" si="13"/>
        <v>7.7523349175254301</v>
      </c>
      <c r="D28" s="23">
        <f t="shared" si="14"/>
        <v>5.4614303600011148E-7</v>
      </c>
      <c r="E28" s="23">
        <f t="shared" si="15"/>
        <v>0.23509805459590294</v>
      </c>
      <c r="F28" s="71">
        <f t="shared" si="16"/>
        <v>8.9684736433795097E-6</v>
      </c>
      <c r="G28" s="71">
        <f t="shared" si="17"/>
        <v>3.47667858748322</v>
      </c>
      <c r="H28" s="99">
        <f t="shared" si="18"/>
        <v>-1.7710549894399019</v>
      </c>
      <c r="I28" s="99">
        <f t="shared" si="19"/>
        <v>0.99917923494510519</v>
      </c>
      <c r="J28" s="71">
        <f t="shared" si="20"/>
        <v>-4.3067477068739566E-6</v>
      </c>
      <c r="K28" s="71">
        <f t="shared" si="21"/>
        <v>-1.7805492768278889E-5</v>
      </c>
      <c r="L28" s="42">
        <f t="shared" si="22"/>
        <v>1.8318942342064837E-5</v>
      </c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28"/>
      <c r="X28" s="23">
        <f t="shared" si="11"/>
        <v>0.2373194490192343</v>
      </c>
      <c r="Y28" s="36">
        <v>0.91267055554642673</v>
      </c>
      <c r="Z28" s="36">
        <v>0.78948702381209501</v>
      </c>
      <c r="AA28" s="195">
        <v>0.84295889054414364</v>
      </c>
      <c r="AB28" s="195">
        <v>0.54142391642240195</v>
      </c>
      <c r="AC28" s="36">
        <v>0.76799536426818626</v>
      </c>
      <c r="AD28" s="36">
        <v>0.22987527379749517</v>
      </c>
      <c r="AE28" s="195">
        <v>0.70520196997452533</v>
      </c>
      <c r="AF28" s="195">
        <v>-7.9847262249979956E-2</v>
      </c>
      <c r="AG28" s="36">
        <v>0.66425224497245838</v>
      </c>
      <c r="AH28" s="36">
        <v>-0.33584422296512972</v>
      </c>
      <c r="AI28" s="195">
        <v>0.64779685948201826</v>
      </c>
      <c r="AJ28" s="195">
        <v>-0.51206255192883221</v>
      </c>
      <c r="AK28" s="36">
        <v>0.65376932594704829</v>
      </c>
      <c r="AL28" s="36">
        <v>-0.7263343607268089</v>
      </c>
      <c r="AM28" s="195">
        <v>0.69843538576439923</v>
      </c>
      <c r="AN28" s="195">
        <v>-0.7746518264517257</v>
      </c>
      <c r="AO28" s="36">
        <v>0.85267247294139592</v>
      </c>
      <c r="AP28" s="36">
        <v>-0.6175363042342541</v>
      </c>
      <c r="AQ28" s="195">
        <v>0.9970596523341253</v>
      </c>
      <c r="AR28" s="195">
        <v>-0.36525519179821275</v>
      </c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</row>
    <row r="29" spans="1:66" ht="15" customHeight="1">
      <c r="A29" s="20">
        <v>0.15887963267948946</v>
      </c>
      <c r="B29" s="23">
        <f t="shared" si="12"/>
        <v>0.98740515865543987</v>
      </c>
      <c r="C29" s="23">
        <f t="shared" si="13"/>
        <v>7.7677684177847919</v>
      </c>
      <c r="D29" s="23">
        <f t="shared" si="14"/>
        <v>3.5323447128187443E-8</v>
      </c>
      <c r="E29" s="23">
        <f t="shared" si="15"/>
        <v>0.15821204966950406</v>
      </c>
      <c r="F29" s="71">
        <f t="shared" si="16"/>
        <v>8.6367119548809172E-7</v>
      </c>
      <c r="G29" s="71">
        <f t="shared" si="17"/>
        <v>3.4767067655290607</v>
      </c>
      <c r="H29" s="99">
        <f t="shared" si="18"/>
        <v>-1.7710549895014189</v>
      </c>
      <c r="I29" s="99">
        <f t="shared" si="19"/>
        <v>0.99917923466910685</v>
      </c>
      <c r="J29" s="71">
        <f t="shared" si="20"/>
        <v>-2.7855189005499593E-7</v>
      </c>
      <c r="K29" s="71">
        <f t="shared" si="21"/>
        <v>-1.7384489599121954E-6</v>
      </c>
      <c r="L29" s="42">
        <f t="shared" si="22"/>
        <v>1.7606237365414011E-6</v>
      </c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28"/>
      <c r="X29" s="23">
        <f t="shared" si="11"/>
        <v>0.15887963267948946</v>
      </c>
      <c r="Y29" s="36">
        <v>0.91267046681676733</v>
      </c>
      <c r="Z29" s="36">
        <v>0.78948662669948089</v>
      </c>
      <c r="AA29" s="195">
        <v>0.84244267272698825</v>
      </c>
      <c r="AB29" s="195">
        <v>0.53895932146784942</v>
      </c>
      <c r="AC29" s="36">
        <v>0.75909815026754668</v>
      </c>
      <c r="AD29" s="36">
        <v>0.18617470457204655</v>
      </c>
      <c r="AE29" s="195">
        <v>0.67040810575935872</v>
      </c>
      <c r="AF29" s="195">
        <v>-0.25343343903706428</v>
      </c>
      <c r="AG29" s="36">
        <v>0.58860911522977521</v>
      </c>
      <c r="AH29" s="36">
        <v>-0.71689677241921634</v>
      </c>
      <c r="AI29" s="195">
        <v>0.52429911704101495</v>
      </c>
      <c r="AJ29" s="195">
        <v>-1.132473174299764</v>
      </c>
      <c r="AK29" s="36">
        <v>0.4390118757100272</v>
      </c>
      <c r="AL29" s="36">
        <v>-1.8242782551096735</v>
      </c>
      <c r="AM29" s="195">
        <v>0.41263256848581076</v>
      </c>
      <c r="AN29" s="195">
        <v>-2.2430775248678154</v>
      </c>
      <c r="AO29" s="36">
        <v>0.47502774983264229</v>
      </c>
      <c r="AP29" s="36">
        <v>-2.570724709937199</v>
      </c>
      <c r="AQ29" s="195">
        <v>0.59641509852494212</v>
      </c>
      <c r="AR29" s="195">
        <v>-2.444284409733303</v>
      </c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</row>
    <row r="30" spans="1:66" ht="15" customHeight="1">
      <c r="A30" s="20">
        <v>8.0439816339744633E-2</v>
      </c>
      <c r="B30" s="23">
        <f t="shared" si="12"/>
        <v>0.99676646210569086</v>
      </c>
      <c r="C30" s="23">
        <f t="shared" si="13"/>
        <v>7.7771297212350428</v>
      </c>
      <c r="D30" s="23">
        <f t="shared" si="14"/>
        <v>3.4609230639472244E-10</v>
      </c>
      <c r="E30" s="23">
        <f t="shared" si="15"/>
        <v>8.0353095903670041E-2</v>
      </c>
      <c r="F30" s="71">
        <f t="shared" si="16"/>
        <v>1.6681585211946401E-8</v>
      </c>
      <c r="G30" s="71">
        <f t="shared" si="17"/>
        <v>3.4767097102661122</v>
      </c>
      <c r="H30" s="99">
        <f t="shared" si="18"/>
        <v>-1.7710549895018044</v>
      </c>
      <c r="I30" s="99">
        <f t="shared" si="19"/>
        <v>0.99917923466649361</v>
      </c>
      <c r="J30" s="71">
        <f t="shared" si="20"/>
        <v>-2.7291975703813346E-9</v>
      </c>
      <c r="K30" s="71">
        <f t="shared" si="21"/>
        <v>-3.385523079132786E-8</v>
      </c>
      <c r="L30" s="42">
        <f t="shared" si="22"/>
        <v>3.3965058093756435E-8</v>
      </c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28"/>
      <c r="X30" s="23">
        <f t="shared" si="11"/>
        <v>8.0439816339744633E-2</v>
      </c>
      <c r="Y30" s="36">
        <v>0.91267046635194937</v>
      </c>
      <c r="Z30" s="36">
        <v>0.78948662355454746</v>
      </c>
      <c r="AA30" s="195">
        <v>0.84239486695163057</v>
      </c>
      <c r="AB30" s="195">
        <v>0.53860229064188569</v>
      </c>
      <c r="AC30" s="36">
        <v>0.75674430108526658</v>
      </c>
      <c r="AD30" s="36">
        <v>0.16744415637377785</v>
      </c>
      <c r="AE30" s="195">
        <v>0.65432943630716189</v>
      </c>
      <c r="AF30" s="195">
        <v>-0.38665729259600923</v>
      </c>
      <c r="AG30" s="36">
        <v>0.53907891864896795</v>
      </c>
      <c r="AH30" s="36">
        <v>-1.1383258119479542</v>
      </c>
      <c r="AI30" s="195">
        <v>0.42139491130373297</v>
      </c>
      <c r="AJ30" s="195">
        <v>-2.0095633066715317</v>
      </c>
      <c r="AK30" s="36">
        <v>0.19645127583224675</v>
      </c>
      <c r="AL30" s="36">
        <v>-3.9761907393395735</v>
      </c>
      <c r="AM30" s="195">
        <v>2.2969443646860155E-2</v>
      </c>
      <c r="AN30" s="195">
        <v>-5.7493751573816878</v>
      </c>
      <c r="AO30" s="36">
        <v>-0.19047680286017998</v>
      </c>
      <c r="AP30" s="36">
        <v>-8.6733003821054968</v>
      </c>
      <c r="AQ30" s="195">
        <v>-0.20855276125404476</v>
      </c>
      <c r="AR30" s="195">
        <v>-9.8955205987982531</v>
      </c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</row>
    <row r="31" spans="1:66" ht="15" customHeight="1">
      <c r="A31" s="20">
        <v>0.04</v>
      </c>
      <c r="B31" s="23">
        <f t="shared" si="12"/>
        <v>0.99920010666097792</v>
      </c>
      <c r="C31" s="23">
        <f t="shared" si="13"/>
        <v>7.77956336579033</v>
      </c>
      <c r="D31" s="23">
        <f t="shared" si="14"/>
        <v>3.0252332437331136E-12</v>
      </c>
      <c r="E31" s="23">
        <f t="shared" si="15"/>
        <v>3.9989334186634161E-2</v>
      </c>
      <c r="F31" s="71">
        <f t="shared" si="16"/>
        <v>2.930883512658635E-10</v>
      </c>
      <c r="G31" s="71">
        <f t="shared" si="17"/>
        <v>3.4767097672441594</v>
      </c>
      <c r="H31" s="99">
        <f t="shared" si="18"/>
        <v>-1.7710549895018044</v>
      </c>
      <c r="I31" s="99">
        <f t="shared" si="19"/>
        <v>0.9991792346664925</v>
      </c>
      <c r="J31" s="71">
        <f t="shared" si="20"/>
        <v>-2.3856234496055699E-11</v>
      </c>
      <c r="K31" s="71">
        <f t="shared" si="21"/>
        <v>-5.9608774534074055E-10</v>
      </c>
      <c r="L31" s="42">
        <f t="shared" si="22"/>
        <v>5.9656493365746727E-10</v>
      </c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28"/>
      <c r="X31" s="23">
        <v>0.04</v>
      </c>
      <c r="Y31" s="36">
        <v>0.91267046635188409</v>
      </c>
      <c r="Z31" s="36">
        <v>0.7894866235536715</v>
      </c>
      <c r="AA31" s="195">
        <v>0.84239411739816794</v>
      </c>
      <c r="AB31" s="195">
        <v>0.53859085709219046</v>
      </c>
      <c r="AC31" s="36">
        <v>0.75656156582775136</v>
      </c>
      <c r="AD31" s="36">
        <v>0.16453284518311739</v>
      </c>
      <c r="AE31" s="195">
        <v>0.65153317151618384</v>
      </c>
      <c r="AF31" s="195">
        <v>-0.43294663121082211</v>
      </c>
      <c r="AG31" s="36">
        <v>0.52511622419896864</v>
      </c>
      <c r="AH31" s="36">
        <v>-1.3753207090444244</v>
      </c>
      <c r="AI31" s="195">
        <v>0.37937542541117764</v>
      </c>
      <c r="AJ31" s="195">
        <v>-2.7249537650120708</v>
      </c>
      <c r="AK31" s="36">
        <v>5.5519709271541151E-2</v>
      </c>
      <c r="AL31" s="36">
        <v>-6.464198713267864</v>
      </c>
      <c r="AM31" s="195">
        <v>-0.26509262662319255</v>
      </c>
      <c r="AN31" s="195">
        <v>-10.903024253556842</v>
      </c>
      <c r="AO31" s="36">
        <v>-0.86900318163812873</v>
      </c>
      <c r="AP31" s="36">
        <v>-21.030117636268667</v>
      </c>
      <c r="AQ31" s="195">
        <v>-1.1729888453174957</v>
      </c>
      <c r="AR31" s="195">
        <v>-27.615281005229235</v>
      </c>
      <c r="AS31" s="209"/>
      <c r="AT31" s="32"/>
      <c r="AU31" s="32"/>
      <c r="AV31" s="32"/>
      <c r="AW31" s="32"/>
      <c r="AX31" s="32"/>
      <c r="AY31" s="32"/>
      <c r="AZ31" s="209"/>
      <c r="BA31" s="209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</row>
    <row r="32" spans="1:66" ht="15" customHeight="1">
      <c r="A32" s="20">
        <v>4.0000000000000002E-4</v>
      </c>
      <c r="B32" s="23">
        <f t="shared" si="12"/>
        <v>0.99999992000000104</v>
      </c>
      <c r="C32" s="23">
        <f t="shared" si="13"/>
        <v>7.7803631791293535</v>
      </c>
      <c r="D32" s="23">
        <f t="shared" si="14"/>
        <v>8.3107405653286402E-26</v>
      </c>
      <c r="E32" s="23">
        <f t="shared" si="15"/>
        <v>3.9999998933333341E-4</v>
      </c>
      <c r="F32" s="71">
        <f t="shared" si="16"/>
        <v>8.0502294662809903E-22</v>
      </c>
      <c r="G32" s="71">
        <f t="shared" si="17"/>
        <v>3.4767097682631425</v>
      </c>
      <c r="H32" s="99">
        <f t="shared" si="18"/>
        <v>-1.7710549895018044</v>
      </c>
      <c r="I32" s="99">
        <f t="shared" si="19"/>
        <v>0.9991792346664925</v>
      </c>
      <c r="J32" s="71">
        <f t="shared" si="20"/>
        <v>-6.5536426380700366E-25</v>
      </c>
      <c r="K32" s="71">
        <f t="shared" si="21"/>
        <v>-1.6384105721356063E-21</v>
      </c>
      <c r="L32" s="42">
        <f t="shared" si="22"/>
        <v>1.6384107032084608E-21</v>
      </c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28"/>
      <c r="X32" s="23">
        <f>4*$X$35</f>
        <v>4.0000000000000002E-4</v>
      </c>
      <c r="Y32" s="36">
        <v>0.91267046635188409</v>
      </c>
      <c r="Z32" s="36">
        <v>0.7894866235536715</v>
      </c>
      <c r="AA32" s="195">
        <v>0.84239411739816794</v>
      </c>
      <c r="AB32" s="195">
        <v>0.53859085709219046</v>
      </c>
      <c r="AC32" s="36">
        <v>0.75654477637275064</v>
      </c>
      <c r="AD32" s="36">
        <v>0.16395585401206314</v>
      </c>
      <c r="AE32" s="195">
        <v>0.6508982426457941</v>
      </c>
      <c r="AF32" s="195">
        <v>-0.45937936189513184</v>
      </c>
      <c r="AG32" s="36">
        <v>0.51921996521924974</v>
      </c>
      <c r="AH32" s="36">
        <v>-1.6990681978007536</v>
      </c>
      <c r="AI32" s="195">
        <v>0.35207817428428334</v>
      </c>
      <c r="AJ32" s="195">
        <v>-4.876595556588379</v>
      </c>
      <c r="AK32" s="36">
        <v>-0.15255484356423921</v>
      </c>
      <c r="AL32" s="36">
        <v>-41.505444228627631</v>
      </c>
      <c r="AM32" s="195">
        <v>-1.0536781662886026</v>
      </c>
      <c r="AN32" s="195">
        <v>-244.54452798446496</v>
      </c>
      <c r="AO32" s="36">
        <v>-6.5134298494817688</v>
      </c>
      <c r="AP32" s="36">
        <v>-3362.2528195508626</v>
      </c>
      <c r="AQ32" s="195">
        <v>-17.311615302163073</v>
      </c>
      <c r="AR32" s="195">
        <v>-12549.614682144995</v>
      </c>
      <c r="AS32" s="209"/>
      <c r="AT32" s="32"/>
      <c r="AU32" s="32"/>
      <c r="AV32" s="32"/>
      <c r="AW32" s="32"/>
      <c r="AX32" s="32"/>
      <c r="AY32" s="32"/>
      <c r="AZ32" s="209"/>
      <c r="BA32" s="209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</row>
    <row r="33" spans="1:66" ht="15" customHeight="1">
      <c r="A33" s="20">
        <v>3.0000000000000003E-4</v>
      </c>
      <c r="B33" s="23">
        <f t="shared" si="12"/>
        <v>0.99999995500000038</v>
      </c>
      <c r="C33" s="23">
        <f t="shared" si="13"/>
        <v>7.7803632141293528</v>
      </c>
      <c r="D33" s="23">
        <f t="shared" si="14"/>
        <v>1.1817066750728904E-26</v>
      </c>
      <c r="E33" s="23">
        <f t="shared" si="15"/>
        <v>2.9999999550000005E-4</v>
      </c>
      <c r="F33" s="71">
        <f t="shared" si="16"/>
        <v>1.5262193548541264E-22</v>
      </c>
      <c r="G33" s="71">
        <f t="shared" si="17"/>
        <v>3.4767097682631425</v>
      </c>
      <c r="H33" s="99">
        <f t="shared" si="18"/>
        <v>-1.7710549895018044</v>
      </c>
      <c r="I33" s="99">
        <f t="shared" si="19"/>
        <v>0.9991792346664925</v>
      </c>
      <c r="J33" s="71">
        <f t="shared" si="20"/>
        <v>-9.3186439771188092E-26</v>
      </c>
      <c r="K33" s="71">
        <f t="shared" si="21"/>
        <v>-3.1062145658531626E-22</v>
      </c>
      <c r="L33" s="42">
        <f t="shared" si="22"/>
        <v>3.1062147056328232E-22</v>
      </c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28"/>
      <c r="X33" s="23">
        <f>3*$X$35</f>
        <v>3.0000000000000003E-4</v>
      </c>
      <c r="Y33" s="36">
        <v>0.91267046635188409</v>
      </c>
      <c r="Z33" s="36">
        <v>0.7894866235536715</v>
      </c>
      <c r="AA33" s="195">
        <v>0.84239411739816794</v>
      </c>
      <c r="AB33" s="195">
        <v>0.53859085709219046</v>
      </c>
      <c r="AC33" s="36">
        <v>0.75654477637223971</v>
      </c>
      <c r="AD33" s="36">
        <v>0.16395585256919554</v>
      </c>
      <c r="AE33" s="195">
        <v>0.65089823936484259</v>
      </c>
      <c r="AF33" s="195">
        <v>-0.459388704307782</v>
      </c>
      <c r="AG33" s="36">
        <v>0.51921936082594478</v>
      </c>
      <c r="AH33" s="36">
        <v>-1.7007974268854333</v>
      </c>
      <c r="AI33" s="195">
        <v>0.35205919304802236</v>
      </c>
      <c r="AJ33" s="195">
        <v>-4.9310771051543671</v>
      </c>
      <c r="AK33" s="36">
        <v>-0.15389087869932805</v>
      </c>
      <c r="AL33" s="36">
        <v>-45.35570315434947</v>
      </c>
      <c r="AM33" s="195">
        <v>-1.0700561239599029</v>
      </c>
      <c r="AN33" s="195">
        <v>-291.8577473142584</v>
      </c>
      <c r="AO33" s="36">
        <v>-6.9336401020472405</v>
      </c>
      <c r="AP33" s="36">
        <v>-4580.1003572567306</v>
      </c>
      <c r="AQ33" s="195">
        <v>-19.28958530857426</v>
      </c>
      <c r="AR33" s="195">
        <v>-18291.443589874998</v>
      </c>
      <c r="AS33" s="209"/>
      <c r="AT33" s="32"/>
      <c r="AU33" s="32"/>
      <c r="AV33" s="32"/>
      <c r="AW33" s="32"/>
      <c r="AX33" s="32"/>
      <c r="AY33" s="32"/>
      <c r="AZ33" s="209"/>
      <c r="BA33" s="209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</row>
    <row r="34" spans="1:66" ht="15" customHeight="1">
      <c r="A34" s="20">
        <v>2.0000000000000001E-4</v>
      </c>
      <c r="B34" s="23">
        <f t="shared" si="12"/>
        <v>0.99999998000000012</v>
      </c>
      <c r="C34" s="23">
        <f t="shared" si="13"/>
        <v>7.7803632391293522</v>
      </c>
      <c r="D34" s="23">
        <f t="shared" si="14"/>
        <v>7.5604382962957333E-28</v>
      </c>
      <c r="E34" s="23">
        <f t="shared" si="15"/>
        <v>1.9999999866666669E-4</v>
      </c>
      <c r="F34" s="71">
        <f t="shared" si="16"/>
        <v>1.4646892638388523E-23</v>
      </c>
      <c r="G34" s="71">
        <f t="shared" si="17"/>
        <v>3.4767097682631425</v>
      </c>
      <c r="H34" s="99">
        <f t="shared" si="18"/>
        <v>-1.7710549895018044</v>
      </c>
      <c r="I34" s="99">
        <f t="shared" si="19"/>
        <v>0.9991792346664925</v>
      </c>
      <c r="J34" s="71">
        <f t="shared" si="20"/>
        <v>-5.9619729904469661E-27</v>
      </c>
      <c r="K34" s="71">
        <f t="shared" si="21"/>
        <v>-2.9809864554769968E-23</v>
      </c>
      <c r="L34" s="42">
        <f t="shared" si="22"/>
        <v>2.9809865150967272E-23</v>
      </c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28"/>
      <c r="X34" s="23">
        <f>2*$X$35</f>
        <v>2.0000000000000001E-4</v>
      </c>
      <c r="Y34" s="36">
        <v>0.91267046635188409</v>
      </c>
      <c r="Z34" s="36">
        <v>0.7894866235536715</v>
      </c>
      <c r="AA34" s="195">
        <v>0.84239411739816794</v>
      </c>
      <c r="AB34" s="195">
        <v>0.53859085709219046</v>
      </c>
      <c r="AC34" s="36">
        <v>0.75654477637202855</v>
      </c>
      <c r="AD34" s="36">
        <v>0.16395585174230343</v>
      </c>
      <c r="AE34" s="195">
        <v>0.65089823737811958</v>
      </c>
      <c r="AF34" s="195">
        <v>-0.45939659851914394</v>
      </c>
      <c r="AG34" s="36">
        <v>0.51921889894791717</v>
      </c>
      <c r="AH34" s="36">
        <v>-1.702649982427872</v>
      </c>
      <c r="AI34" s="195">
        <v>0.35204222210680158</v>
      </c>
      <c r="AJ34" s="195">
        <v>-4.9995788084366914</v>
      </c>
      <c r="AK34" s="36">
        <v>-0.15534753226705611</v>
      </c>
      <c r="AL34" s="36">
        <v>-51.282453504405375</v>
      </c>
      <c r="AM34" s="195">
        <v>-1.0901946697993714</v>
      </c>
      <c r="AN34" s="195">
        <v>-374.19091106789773</v>
      </c>
      <c r="AO34" s="36">
        <v>-7.5412220525644518</v>
      </c>
      <c r="AP34" s="36">
        <v>-7080.0839275620756</v>
      </c>
      <c r="AQ34" s="195">
        <v>-22.393893310319353</v>
      </c>
      <c r="AR34" s="195">
        <v>-31105.684559232232</v>
      </c>
      <c r="AS34" s="209"/>
      <c r="AT34" s="32"/>
      <c r="AU34" s="32"/>
      <c r="AV34" s="32"/>
      <c r="AW34" s="32"/>
      <c r="AX34" s="32"/>
      <c r="AY34" s="32"/>
      <c r="AZ34" s="209"/>
      <c r="BA34" s="209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</row>
    <row r="35" spans="1:66" ht="15" customHeight="1">
      <c r="A35" s="20">
        <v>1E-4</v>
      </c>
      <c r="B35" s="23">
        <f t="shared" si="0"/>
        <v>0.99999999500000003</v>
      </c>
      <c r="C35" s="23">
        <f t="shared" si="1"/>
        <v>7.7803632541293517</v>
      </c>
      <c r="D35" s="23">
        <f t="shared" si="2"/>
        <v>6.8778744432613233E-30</v>
      </c>
      <c r="E35" s="23">
        <f t="shared" si="3"/>
        <v>9.9999999833333343E-5</v>
      </c>
      <c r="F35" s="71">
        <f t="shared" si="4"/>
        <v>2.6649113263881498E-25</v>
      </c>
      <c r="G35" s="71">
        <f t="shared" si="5"/>
        <v>3.4767097682631425</v>
      </c>
      <c r="H35" s="99">
        <f t="shared" si="6"/>
        <v>-1.7710549895018044</v>
      </c>
      <c r="I35" s="99">
        <f t="shared" si="7"/>
        <v>0.9991792346664925</v>
      </c>
      <c r="J35" s="71">
        <f t="shared" si="8"/>
        <v>-5.4237201674538342E-29</v>
      </c>
      <c r="K35" s="71">
        <f t="shared" si="9"/>
        <v>-5.4237201493747659E-25</v>
      </c>
      <c r="L35" s="42">
        <f t="shared" si="10"/>
        <v>5.4237201764933664E-25</v>
      </c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28"/>
      <c r="X35" s="23">
        <v>1E-4</v>
      </c>
      <c r="Y35" s="36">
        <v>0.91267046635188409</v>
      </c>
      <c r="Z35" s="36">
        <v>0.7894866235536715</v>
      </c>
      <c r="AA35" s="195">
        <v>0.84239411739816794</v>
      </c>
      <c r="AB35" s="195">
        <v>0.53859085709219046</v>
      </c>
      <c r="AC35" s="36">
        <v>0.75654477637197171</v>
      </c>
      <c r="AD35" s="36">
        <v>0.16395585138449187</v>
      </c>
      <c r="AE35" s="195">
        <v>0.65089823644571188</v>
      </c>
      <c r="AF35" s="195">
        <v>-0.45940270047678178</v>
      </c>
      <c r="AG35" s="36">
        <v>0.51921859224617495</v>
      </c>
      <c r="AH35" s="36">
        <v>-1.7047105078878064</v>
      </c>
      <c r="AI35" s="195">
        <v>0.35202792675191263</v>
      </c>
      <c r="AJ35" s="195">
        <v>-5.09738035468314</v>
      </c>
      <c r="AK35" s="36">
        <v>-0.15701237932226109</v>
      </c>
      <c r="AL35" s="36">
        <v>-62.939481707987127</v>
      </c>
      <c r="AM35" s="195">
        <v>-1.1179587262976272</v>
      </c>
      <c r="AN35" s="195">
        <v>-571.33517413000459</v>
      </c>
      <c r="AO35" s="36">
        <v>-8.6228660666764956</v>
      </c>
      <c r="AP35" s="36">
        <v>-14905.342456371267</v>
      </c>
      <c r="AQ35" s="195">
        <v>-28.6916306005905</v>
      </c>
      <c r="AR35" s="195">
        <v>-77093.430817610933</v>
      </c>
      <c r="AS35" s="209"/>
      <c r="AT35" s="32"/>
      <c r="AU35" s="32"/>
      <c r="AV35" s="32"/>
      <c r="AW35" s="32"/>
      <c r="AX35" s="32"/>
      <c r="AY35" s="32"/>
      <c r="AZ35" s="209"/>
      <c r="BA35" s="209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</row>
    <row r="36" spans="1:66" ht="15" customHeight="1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09"/>
      <c r="AT36" s="32"/>
      <c r="AU36" s="32"/>
      <c r="AV36" s="32"/>
      <c r="AW36" s="32"/>
      <c r="AX36" s="32"/>
      <c r="AY36" s="32"/>
      <c r="AZ36" s="209"/>
      <c r="BA36" s="209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</row>
    <row r="37" spans="1:66" ht="15" customHeight="1">
      <c r="A37" s="88" t="s">
        <v>97</v>
      </c>
      <c r="B37" s="8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09"/>
      <c r="AT37" s="32"/>
      <c r="AU37" s="32"/>
      <c r="AV37" s="32"/>
      <c r="AW37" s="32"/>
      <c r="AX37" s="32"/>
      <c r="AY37" s="32"/>
      <c r="AZ37" s="209"/>
      <c r="BA37" s="209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</row>
    <row r="38" spans="1:66" ht="15" customHeight="1">
      <c r="A38" s="23" t="s">
        <v>98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09"/>
      <c r="AT38" s="32"/>
      <c r="AU38" s="32"/>
      <c r="AV38" s="32"/>
      <c r="AW38" s="32"/>
      <c r="AX38" s="32"/>
      <c r="AY38" s="32"/>
      <c r="AZ38" s="209"/>
      <c r="BA38" s="32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</row>
    <row r="39" spans="1:66" ht="15" customHeight="1">
      <c r="A39" s="23">
        <f>0.1/1</f>
        <v>0.1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09"/>
      <c r="AT39" s="32"/>
      <c r="AU39" s="32"/>
      <c r="AV39" s="32"/>
      <c r="AW39" s="32"/>
      <c r="AX39" s="32"/>
      <c r="AY39" s="32"/>
      <c r="AZ39" s="209"/>
      <c r="BA39" s="209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</row>
    <row r="40" spans="1:66" ht="15" customHeight="1">
      <c r="A40" s="88" t="s">
        <v>73</v>
      </c>
      <c r="B40" s="88"/>
      <c r="C40" s="23" t="s">
        <v>105</v>
      </c>
      <c r="D40" s="23" t="s">
        <v>30</v>
      </c>
      <c r="E40" s="28"/>
      <c r="F40" s="28"/>
      <c r="G40" s="28"/>
      <c r="H40" s="36" t="s">
        <v>57</v>
      </c>
      <c r="I40" s="36" t="s">
        <v>51</v>
      </c>
      <c r="J40" s="36" t="s">
        <v>58</v>
      </c>
      <c r="K40" s="36" t="s">
        <v>59</v>
      </c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09"/>
      <c r="AT40" s="209"/>
      <c r="AU40" s="209"/>
      <c r="AV40" s="209"/>
      <c r="AW40" s="209"/>
      <c r="AX40" s="209"/>
      <c r="AY40" s="209"/>
      <c r="AZ40" s="209"/>
      <c r="BA40" s="209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</row>
    <row r="41" spans="1:66" ht="15" customHeight="1">
      <c r="A41" s="88" t="s">
        <v>69</v>
      </c>
      <c r="B41" s="88"/>
      <c r="C41" s="79">
        <v>1.0323563876231049E-2</v>
      </c>
      <c r="D41" s="23">
        <v>0.77679246641748789</v>
      </c>
      <c r="E41" s="28"/>
      <c r="F41" s="28"/>
      <c r="G41" s="28"/>
      <c r="H41" s="79">
        <v>2</v>
      </c>
      <c r="I41" s="79">
        <v>2</v>
      </c>
      <c r="J41" s="79">
        <v>-2.2349999999999999</v>
      </c>
      <c r="K41" s="79">
        <v>-0.41799999999999998</v>
      </c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09"/>
      <c r="AT41" s="209"/>
      <c r="AU41" s="209"/>
      <c r="AV41" s="209"/>
      <c r="AW41" s="209"/>
      <c r="AX41" s="209"/>
      <c r="AY41" s="209"/>
      <c r="AZ41" s="209"/>
      <c r="BA41" s="209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</row>
    <row r="42" spans="1:66" ht="15" customHeight="1">
      <c r="A42" s="28"/>
      <c r="B42" s="28"/>
      <c r="C42" s="28"/>
      <c r="D42" s="28"/>
      <c r="E42" s="28"/>
      <c r="F42" s="28"/>
      <c r="G42" s="28"/>
      <c r="H42" s="37" t="s">
        <v>8</v>
      </c>
      <c r="I42" s="37" t="s">
        <v>8</v>
      </c>
      <c r="J42" s="37" t="s">
        <v>9</v>
      </c>
      <c r="K42" s="37" t="s">
        <v>9</v>
      </c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10"/>
      <c r="AJ42" s="32"/>
      <c r="AK42" s="32"/>
      <c r="AL42" s="32"/>
      <c r="AM42" s="32"/>
      <c r="AN42" s="32"/>
      <c r="AO42" s="32"/>
      <c r="AP42" s="209"/>
      <c r="AQ42" s="209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</row>
    <row r="43" spans="1:66" ht="15" customHeight="1">
      <c r="A43" s="88" t="s">
        <v>68</v>
      </c>
      <c r="B43" s="88"/>
      <c r="C43" s="115" t="s">
        <v>15</v>
      </c>
      <c r="D43" s="115" t="s">
        <v>55</v>
      </c>
      <c r="E43" s="115" t="s">
        <v>12</v>
      </c>
      <c r="F43" s="115" t="s">
        <v>10</v>
      </c>
      <c r="G43" s="115" t="s">
        <v>14</v>
      </c>
      <c r="H43" s="115" t="s">
        <v>21</v>
      </c>
      <c r="I43" s="115" t="s">
        <v>16</v>
      </c>
      <c r="J43" s="115" t="s">
        <v>17</v>
      </c>
      <c r="K43" s="115" t="s">
        <v>23</v>
      </c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09"/>
      <c r="AJ43" s="209"/>
      <c r="AK43" s="209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</row>
    <row r="44" spans="1:66" ht="15" customHeight="1">
      <c r="A44" s="28"/>
      <c r="B44" s="28"/>
      <c r="C44" s="23">
        <f>Mü/TAN($C$41)</f>
        <v>6.7803632591293521</v>
      </c>
      <c r="D44" s="42">
        <f>SQRT($J$41*$J$41+$K$41*$K$41)</f>
        <v>2.2737521852655798</v>
      </c>
      <c r="E44" s="20">
        <f>ATAN($J$41/$K$41)</f>
        <v>1.3859076624425977</v>
      </c>
      <c r="F44" s="23">
        <f>($E$44-0.0001)/20</f>
        <v>6.9290383122129887E-2</v>
      </c>
      <c r="G44" s="23">
        <f>COS($E$44)</f>
        <v>0.18383709654408828</v>
      </c>
      <c r="H44" s="23">
        <f>SIN($E$44)</f>
        <v>0.98295672434458659</v>
      </c>
      <c r="I44" s="23">
        <f>$C$44+$G$44</f>
        <v>6.96420035567344</v>
      </c>
      <c r="J44" s="23">
        <f>POWER(TAN($E$44/2),$C$44)</f>
        <v>0.28342261226772447</v>
      </c>
      <c r="K44" s="23">
        <f>-$D$44*$D$44*SIN($E$44)*SIN($E$44)/(2*9.81*SIN($C$41)*POWER(TAN($E$44/2),2*$C$44))</f>
        <v>-307.01890877024579</v>
      </c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09"/>
      <c r="AJ44" s="209"/>
      <c r="AK44" s="209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</row>
    <row r="45" spans="1:66" ht="15" customHeight="1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09"/>
      <c r="AJ45" s="209"/>
      <c r="AK45" s="209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</row>
    <row r="46" spans="1:66" ht="15" customHeight="1">
      <c r="A46" s="88" t="s">
        <v>60</v>
      </c>
      <c r="B46" s="8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09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</row>
    <row r="47" spans="1:66" ht="15" customHeight="1">
      <c r="A47" s="115" t="s">
        <v>11</v>
      </c>
      <c r="B47" s="115" t="s">
        <v>13</v>
      </c>
      <c r="C47" s="117" t="s">
        <v>22</v>
      </c>
      <c r="D47" s="117" t="s">
        <v>18</v>
      </c>
      <c r="E47" s="115" t="s">
        <v>19</v>
      </c>
      <c r="F47" s="117" t="s">
        <v>20</v>
      </c>
      <c r="G47" s="117" t="s">
        <v>2</v>
      </c>
      <c r="H47" s="117" t="s">
        <v>65</v>
      </c>
      <c r="I47" s="117" t="s">
        <v>66</v>
      </c>
      <c r="J47" s="118" t="s">
        <v>3</v>
      </c>
      <c r="K47" s="118" t="s">
        <v>4</v>
      </c>
      <c r="L47" s="116" t="s">
        <v>7</v>
      </c>
      <c r="M47" s="215" t="s">
        <v>64</v>
      </c>
      <c r="N47" s="115" t="s">
        <v>100</v>
      </c>
      <c r="O47" s="115" t="s">
        <v>99</v>
      </c>
      <c r="P47" s="28"/>
      <c r="Q47" s="115" t="s">
        <v>103</v>
      </c>
      <c r="R47" s="117" t="s">
        <v>101</v>
      </c>
      <c r="S47" s="117" t="s">
        <v>102</v>
      </c>
      <c r="T47" s="115" t="s">
        <v>104</v>
      </c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09"/>
      <c r="AJ47" s="211"/>
      <c r="AK47" s="212"/>
      <c r="AL47" s="212"/>
      <c r="AM47" s="212"/>
      <c r="AN47" s="211"/>
      <c r="AO47" s="213"/>
      <c r="AP47" s="209"/>
      <c r="AQ47" s="209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</row>
    <row r="48" spans="1:66" ht="15" customHeight="1">
      <c r="A48" s="20">
        <f>E44</f>
        <v>1.3859076624425977</v>
      </c>
      <c r="B48" s="23">
        <f>COS(A48)</f>
        <v>0.18383709654408828</v>
      </c>
      <c r="C48" s="23">
        <f>($C$44+B48)</f>
        <v>6.96420035567344</v>
      </c>
      <c r="D48" s="23">
        <f>POWER(TAN(A48/2),$C$44)</f>
        <v>0.28342261226772447</v>
      </c>
      <c r="E48" s="23">
        <f>SIN(A48)</f>
        <v>0.98295672434458659</v>
      </c>
      <c r="F48" s="71">
        <f>(C48*$H$44*D48/E48/$I$44/$J$44)</f>
        <v>1</v>
      </c>
      <c r="G48" s="71">
        <f>$D$44*($C$44+$G$44)/9.81/SIN($C$41)/(1-$C$44*$C$44)*(F48-1)</f>
        <v>0</v>
      </c>
      <c r="H48" s="98">
        <f t="shared" ref="H48:H65" si="23">-(-$H$41+$K$6*((POWER(TAN(A48/2),2*$C$44-1)/(2*$C$44-1))+(POWER(TAN(A48/2),2*$C$44+1)/(2*$C$44+1))-(POWER(TAN($E$44/2),2*$C$44-1)/(2*$C$44-1))-(POWER(TAN($E$44/2),2*$C$44+1)/(2*$C$44+1))))</f>
        <v>2.0000000000000004</v>
      </c>
      <c r="I48" s="98">
        <f t="shared" ref="I48:I65" si="24">-(-$I$41+0.5*$K$6*((POWER(TAN(A48/2),2*$C$44-2)/(2*$C$44-2))-(POWER(TAN(A48/2),2*$C$44+2)/(2*$C$44+2))-(POWER(TAN($E$44/2),2*$C$44-2)/(2*$C$44-2))+(POWER(TAN($E$44/2),2*$C$44+2)/(2*$C$44+2))))</f>
        <v>2</v>
      </c>
      <c r="J48" s="71">
        <f>-$D$44*SIN(A48)*($C$44+$G$44)/($C$44+B48)*F48</f>
        <v>-2.2349999999999999</v>
      </c>
      <c r="K48" s="71">
        <f>-$D$44*COS(A48)*($C$44+$G$44)/($C$44+B48)*F48</f>
        <v>-0.41800000000000009</v>
      </c>
      <c r="L48" s="72">
        <f>SQRT(J48*J48+K48*K48)</f>
        <v>2.2737521852655798</v>
      </c>
      <c r="M48" s="215">
        <v>1E-3</v>
      </c>
      <c r="N48" s="23">
        <f>I48-$D$41</f>
        <v>1.2232075335825121</v>
      </c>
      <c r="O48" s="23">
        <f>N48/$N$48</f>
        <v>1</v>
      </c>
      <c r="P48" s="28"/>
      <c r="Q48" s="36">
        <f>IF(O48&lt;0,T47,A48)</f>
        <v>1.3859076624425977</v>
      </c>
      <c r="R48" s="153">
        <f>-(-$I$41+0.5*$K$44*((POWER(TAN((Q48)/2),2*$C$44-2)/(2*$C$44-2))-(POWER(TAN((Q48)/2),2*$C$44+2)/(2*$C$44+2))-(POWER(TAN($E$44/2),2*$C$44-2)/(2*$C$44-2))+(POWER(TAN($E$44/2),2*$C$44+2)/(2*$C$44+2))))-$D$41</f>
        <v>1.2232075335825121</v>
      </c>
      <c r="S48" s="36">
        <f t="shared" ref="S48:S65" si="25">-(-$I$41+0.5*$K$44*((POWER(TAN((Q48+eps0)/2),2*$C$44-2)/(2*$C$44-2))-(POWER(TAN((Q48+eps0)/2),2*$C$44+2)/(2*$C$44+2))-(POWER(TAN($E$44/2),2*$C$44-2)/(2*$C$44-2))+(POWER(TAN($E$44/2),2*$C$44+2)/(2*$C$44+2))))-$D$41</f>
        <v>1.2327928381455873</v>
      </c>
      <c r="T48" s="53">
        <f t="shared" ref="T48:T65" si="26">IF(Q48-R48/(S48-R48)*eps0 &lt; 0,A48/2,Q48-R48/(S48-R48)*eps0)</f>
        <v>1.2582948645879948</v>
      </c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09"/>
      <c r="AJ48" s="211"/>
      <c r="AK48" s="212"/>
      <c r="AL48" s="212"/>
      <c r="AM48" s="212"/>
      <c r="AN48" s="211"/>
      <c r="AO48" s="213"/>
      <c r="AP48" s="209"/>
      <c r="AQ48" s="214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</row>
    <row r="49" spans="1:57" ht="15" customHeight="1">
      <c r="A49" s="20">
        <f>A48-$A$39</f>
        <v>1.2859076624425976</v>
      </c>
      <c r="B49" s="23">
        <f t="shared" ref="B49:B65" si="27">COS(A49)</f>
        <v>0.28105060500128098</v>
      </c>
      <c r="C49" s="23">
        <f t="shared" ref="C49:C65" si="28">($C$44+B49)</f>
        <v>7.0614138641306328</v>
      </c>
      <c r="D49" s="23">
        <f t="shared" ref="D49:D65" si="29">POWER(TAN(A49/2),$C$44)</f>
        <v>0.14109513496710047</v>
      </c>
      <c r="E49" s="23">
        <f t="shared" ref="E49:E65" si="30">SIN(A49)</f>
        <v>0.95969294955647866</v>
      </c>
      <c r="F49" s="71">
        <f t="shared" ref="F49:F65" si="31">(C49*$H$44*D49/E49/$I$44/$J$44)</f>
        <v>0.51701131205138173</v>
      </c>
      <c r="G49" s="71">
        <f t="shared" ref="G49:G65" si="32">$D$44*($C$44+$G$44)/9.81/SIN($C$41)/(1-$C$44*$C$44)*(F49-1)</f>
        <v>1.6792114893515599</v>
      </c>
      <c r="H49" s="98">
        <f t="shared" si="23"/>
        <v>-0.80704631694659668</v>
      </c>
      <c r="I49" s="98">
        <f t="shared" si="24"/>
        <v>1.3599819115044274</v>
      </c>
      <c r="J49" s="71">
        <f t="shared" ref="J49:J65" si="33">-$D$44*SIN(A49)*($C$44+$G$44)/($C$44+B49)*F49</f>
        <v>-1.1126410279275398</v>
      </c>
      <c r="K49" s="71">
        <f t="shared" ref="K49:K65" si="34">-$D$44*COS(A49)*($C$44+$G$44)/($C$44+B49)*F49</f>
        <v>-0.32584217086600475</v>
      </c>
      <c r="L49" s="72">
        <f t="shared" ref="L49:L65" si="35">SQRT(J49*J49+K49*K49)</f>
        <v>1.1593718891461544</v>
      </c>
      <c r="M49" s="28"/>
      <c r="N49" s="216">
        <f t="shared" ref="N49:N65" si="36">IF(O48&lt;0,N48,I49-$D$41)</f>
        <v>0.58318944508693948</v>
      </c>
      <c r="O49" s="23">
        <f t="shared" ref="O49:O65" si="37">N49/$N$48</f>
        <v>0.47677064527137342</v>
      </c>
      <c r="P49" s="28"/>
      <c r="Q49" s="36">
        <f t="shared" ref="Q49:Q65" si="38">IF(O49&lt;0,T48,A49)</f>
        <v>1.2859076624425976</v>
      </c>
      <c r="R49" s="153">
        <f t="shared" ref="R49:R65" si="39">-(-$I$41+0.5*$K$44*((POWER(TAN((Q49)/2),2*$C$44-2)/(2*$C$44-2))-(POWER(TAN((Q49)/2),2*$C$44+2)/(2*$C$44+2))-(POWER(TAN($E$44/2),2*$C$44-2)/(2*$C$44-2))+(POWER(TAN($E$44/2),2*$C$44+2)/(2*$C$44+2))))-$D$41</f>
        <v>0.58318944508693948</v>
      </c>
      <c r="S49" s="36">
        <f t="shared" si="25"/>
        <v>0.58709554785534479</v>
      </c>
      <c r="T49" s="53">
        <f t="shared" si="26"/>
        <v>1.1366055371109001</v>
      </c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09"/>
      <c r="AJ49" s="211"/>
      <c r="AK49" s="212"/>
      <c r="AL49" s="212"/>
      <c r="AM49" s="212"/>
      <c r="AN49" s="211"/>
      <c r="AO49" s="213"/>
      <c r="AP49" s="209"/>
      <c r="AQ49" s="209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</row>
    <row r="50" spans="1:57" ht="15" customHeight="1">
      <c r="A50" s="20">
        <f t="shared" ref="A50:A65" si="40">A49-$A$39</f>
        <v>1.1859076624425975</v>
      </c>
      <c r="B50" s="23">
        <f t="shared" si="27"/>
        <v>0.37545594871627919</v>
      </c>
      <c r="C50" s="23">
        <f t="shared" si="28"/>
        <v>7.1558192078456315</v>
      </c>
      <c r="D50" s="23">
        <f t="shared" si="29"/>
        <v>6.8795856962997268E-2</v>
      </c>
      <c r="E50" s="23">
        <f t="shared" si="30"/>
        <v>0.92684024004871446</v>
      </c>
      <c r="F50" s="71">
        <f t="shared" si="31"/>
        <v>0.26451201740665292</v>
      </c>
      <c r="G50" s="71">
        <f t="shared" si="32"/>
        <v>2.5570782535224419</v>
      </c>
      <c r="H50" s="98">
        <f t="shared" si="23"/>
        <v>-1.5321304117456016</v>
      </c>
      <c r="I50" s="98">
        <f t="shared" si="24"/>
        <v>1.1163857688326919</v>
      </c>
      <c r="J50" s="71">
        <f t="shared" si="33"/>
        <v>-0.54250696189002912</v>
      </c>
      <c r="K50" s="71">
        <f t="shared" si="34"/>
        <v>-0.21976545391566235</v>
      </c>
      <c r="L50" s="72">
        <f t="shared" si="35"/>
        <v>0.5853295297812221</v>
      </c>
      <c r="M50" s="28"/>
      <c r="N50" s="216">
        <f t="shared" si="36"/>
        <v>0.33959330241520402</v>
      </c>
      <c r="O50" s="23">
        <f t="shared" si="37"/>
        <v>0.27762525417139</v>
      </c>
      <c r="P50" s="28"/>
      <c r="Q50" s="36">
        <f t="shared" si="38"/>
        <v>1.1859076624425975</v>
      </c>
      <c r="R50" s="153">
        <f t="shared" si="39"/>
        <v>0.33959330241520402</v>
      </c>
      <c r="S50" s="36">
        <f t="shared" si="25"/>
        <v>0.34097128168988888</v>
      </c>
      <c r="T50" s="53">
        <f t="shared" si="26"/>
        <v>0.93946469435596347</v>
      </c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09"/>
      <c r="AK50" s="211"/>
      <c r="AL50" s="212"/>
      <c r="AM50" s="212"/>
      <c r="AN50" s="212"/>
      <c r="AO50" s="211"/>
      <c r="AP50" s="213"/>
      <c r="AQ50" s="209"/>
      <c r="AR50" s="209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</row>
    <row r="51" spans="1:57" ht="15" customHeight="1">
      <c r="A51" s="20">
        <f t="shared" si="40"/>
        <v>1.0859076624425974</v>
      </c>
      <c r="B51" s="23">
        <f t="shared" si="27"/>
        <v>0.46610986070094024</v>
      </c>
      <c r="C51" s="23">
        <f t="shared" si="28"/>
        <v>7.2464731198302923</v>
      </c>
      <c r="D51" s="23">
        <f t="shared" si="29"/>
        <v>3.2559503341944906E-2</v>
      </c>
      <c r="E51" s="23">
        <f t="shared" si="30"/>
        <v>0.88472684923503375</v>
      </c>
      <c r="F51" s="71">
        <f t="shared" si="31"/>
        <v>0.13280789536575455</v>
      </c>
      <c r="G51" s="71">
        <f t="shared" si="32"/>
        <v>3.0149752611425544</v>
      </c>
      <c r="H51" s="98">
        <f t="shared" si="23"/>
        <v>-1.71462585599363</v>
      </c>
      <c r="I51" s="98">
        <f t="shared" si="24"/>
        <v>1.0340270917681083</v>
      </c>
      <c r="J51" s="71">
        <f t="shared" si="33"/>
        <v>-0.2567561190230897</v>
      </c>
      <c r="K51" s="71">
        <f t="shared" si="34"/>
        <v>-0.13526950038358501</v>
      </c>
      <c r="L51" s="72">
        <f t="shared" si="35"/>
        <v>0.29020948018599207</v>
      </c>
      <c r="M51" s="28"/>
      <c r="N51" s="216">
        <f t="shared" si="36"/>
        <v>0.25723462535062036</v>
      </c>
      <c r="O51" s="23">
        <f t="shared" si="37"/>
        <v>0.21029516111402241</v>
      </c>
      <c r="P51" s="28"/>
      <c r="Q51" s="36">
        <f t="shared" si="38"/>
        <v>1.0859076624425974</v>
      </c>
      <c r="R51" s="153">
        <f t="shared" si="39"/>
        <v>0.25723462535062036</v>
      </c>
      <c r="S51" s="36">
        <f t="shared" si="25"/>
        <v>0.25767536913698419</v>
      </c>
      <c r="T51" s="53">
        <f t="shared" si="26"/>
        <v>0.50227010858658838</v>
      </c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09"/>
      <c r="AK51" s="213"/>
      <c r="AL51" s="213"/>
      <c r="AM51" s="213"/>
      <c r="AN51" s="213"/>
      <c r="AO51" s="213"/>
      <c r="AP51" s="213"/>
      <c r="AQ51" s="209"/>
      <c r="AR51" s="209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</row>
    <row r="52" spans="1:57" ht="15" customHeight="1">
      <c r="A52" s="20">
        <f t="shared" si="40"/>
        <v>0.98590766244259742</v>
      </c>
      <c r="B52" s="23">
        <f t="shared" si="27"/>
        <v>0.55210655703291256</v>
      </c>
      <c r="C52" s="23">
        <f t="shared" si="28"/>
        <v>7.3324698161622646</v>
      </c>
      <c r="D52" s="23">
        <f t="shared" si="29"/>
        <v>1.4796541460586064E-2</v>
      </c>
      <c r="E52" s="23">
        <f t="shared" si="30"/>
        <v>0.83377356019561044</v>
      </c>
      <c r="F52" s="71">
        <f t="shared" si="31"/>
        <v>6.4802390165311807E-2</v>
      </c>
      <c r="G52" s="71">
        <f t="shared" si="32"/>
        <v>3.2514106653686032</v>
      </c>
      <c r="H52" s="98">
        <f t="shared" si="23"/>
        <v>-1.7586131718785323</v>
      </c>
      <c r="I52" s="98">
        <f t="shared" si="24"/>
        <v>1.0086303161129115</v>
      </c>
      <c r="J52" s="71">
        <f t="shared" si="33"/>
        <v>-0.11668183388688574</v>
      </c>
      <c r="K52" s="71">
        <f t="shared" si="34"/>
        <v>-7.7264150185406499E-2</v>
      </c>
      <c r="L52" s="72">
        <f t="shared" si="35"/>
        <v>0.13994427199096021</v>
      </c>
      <c r="M52" s="28"/>
      <c r="N52" s="216">
        <f t="shared" si="36"/>
        <v>0.23183784969542365</v>
      </c>
      <c r="O52" s="23">
        <f t="shared" si="37"/>
        <v>0.18953271896259533</v>
      </c>
      <c r="P52" s="28"/>
      <c r="Q52" s="36">
        <f t="shared" si="38"/>
        <v>0.98590766244259742</v>
      </c>
      <c r="R52" s="153">
        <f t="shared" si="39"/>
        <v>0.23183784969542365</v>
      </c>
      <c r="S52" s="36">
        <f t="shared" si="25"/>
        <v>0.23196672472720903</v>
      </c>
      <c r="T52" s="53">
        <f t="shared" si="26"/>
        <v>0.49295383122129871</v>
      </c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09"/>
      <c r="AK52" s="213"/>
      <c r="AL52" s="213"/>
      <c r="AM52" s="213"/>
      <c r="AN52" s="213"/>
      <c r="AO52" s="213"/>
      <c r="AP52" s="213"/>
      <c r="AQ52" s="209"/>
      <c r="AR52" s="209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</row>
    <row r="53" spans="1:57" ht="15" customHeight="1">
      <c r="A53" s="20">
        <f t="shared" si="40"/>
        <v>0.88590766244259744</v>
      </c>
      <c r="B53" s="23">
        <f t="shared" si="27"/>
        <v>0.63258678714917549</v>
      </c>
      <c r="C53" s="23">
        <f t="shared" si="28"/>
        <v>7.412950046278528</v>
      </c>
      <c r="D53" s="23">
        <f t="shared" si="29"/>
        <v>6.3695161872859597E-3</v>
      </c>
      <c r="E53" s="23">
        <f t="shared" si="30"/>
        <v>0.77448948135160867</v>
      </c>
      <c r="F53" s="71">
        <f t="shared" si="31"/>
        <v>3.0360620259494597E-2</v>
      </c>
      <c r="G53" s="71">
        <f t="shared" si="32"/>
        <v>3.3711547032364297</v>
      </c>
      <c r="H53" s="98">
        <f t="shared" si="23"/>
        <v>-1.7685587947165051</v>
      </c>
      <c r="I53" s="98">
        <f t="shared" si="24"/>
        <v>1.0014829421567009</v>
      </c>
      <c r="J53" s="71">
        <f t="shared" si="33"/>
        <v>-5.022841531478351E-2</v>
      </c>
      <c r="K53" s="71">
        <f t="shared" si="34"/>
        <v>-4.1025517625007502E-2</v>
      </c>
      <c r="L53" s="72">
        <f t="shared" si="35"/>
        <v>6.4853579711795242E-2</v>
      </c>
      <c r="M53" s="28"/>
      <c r="N53" s="216">
        <f t="shared" si="36"/>
        <v>0.22469047573921297</v>
      </c>
      <c r="O53" s="23">
        <f t="shared" si="37"/>
        <v>0.18368957807277628</v>
      </c>
      <c r="P53" s="28"/>
      <c r="Q53" s="36">
        <f t="shared" si="38"/>
        <v>0.88590766244259744</v>
      </c>
      <c r="R53" s="153">
        <f t="shared" si="39"/>
        <v>0.22469047573921297</v>
      </c>
      <c r="S53" s="36">
        <f t="shared" si="25"/>
        <v>0.22472463341446125</v>
      </c>
      <c r="T53" s="53">
        <f t="shared" si="26"/>
        <v>0.44295383122129872</v>
      </c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09"/>
      <c r="AK53" s="209"/>
      <c r="AL53" s="209"/>
      <c r="AM53" s="209"/>
      <c r="AN53" s="209"/>
      <c r="AO53" s="209"/>
      <c r="AP53" s="209"/>
      <c r="AQ53" s="209"/>
      <c r="AR53" s="209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</row>
    <row r="54" spans="1:57" ht="15" customHeight="1">
      <c r="A54" s="20">
        <f t="shared" si="40"/>
        <v>0.78590766244259747</v>
      </c>
      <c r="B54" s="23">
        <f t="shared" si="27"/>
        <v>0.70674641919363446</v>
      </c>
      <c r="C54" s="23">
        <f t="shared" si="28"/>
        <v>7.4871096783229865</v>
      </c>
      <c r="D54" s="23">
        <f t="shared" si="29"/>
        <v>2.5513087788076941E-3</v>
      </c>
      <c r="E54" s="23">
        <f t="shared" si="30"/>
        <v>0.70746695962212647</v>
      </c>
      <c r="F54" s="71">
        <f t="shared" si="31"/>
        <v>1.3446204155022108E-2</v>
      </c>
      <c r="G54" s="71">
        <f t="shared" si="32"/>
        <v>3.4299612189313167</v>
      </c>
      <c r="H54" s="98">
        <f t="shared" si="23"/>
        <v>-1.7706142679822894</v>
      </c>
      <c r="I54" s="98">
        <f t="shared" si="24"/>
        <v>0.99967124043919608</v>
      </c>
      <c r="J54" s="71">
        <f t="shared" si="33"/>
        <v>-2.0118984420512121E-2</v>
      </c>
      <c r="K54" s="71">
        <f t="shared" si="34"/>
        <v>-2.0098493652062774E-2</v>
      </c>
      <c r="L54" s="72">
        <f t="shared" si="35"/>
        <v>2.8438055158445996E-2</v>
      </c>
      <c r="M54" s="28"/>
      <c r="N54" s="216">
        <f t="shared" si="36"/>
        <v>0.22287877402170819</v>
      </c>
      <c r="O54" s="23">
        <f t="shared" si="37"/>
        <v>0.18220847068276644</v>
      </c>
      <c r="P54" s="28"/>
      <c r="Q54" s="36">
        <f t="shared" si="38"/>
        <v>0.78590766244259747</v>
      </c>
      <c r="R54" s="153">
        <f t="shared" si="39"/>
        <v>0.22287877402170819</v>
      </c>
      <c r="S54" s="36">
        <f t="shared" si="25"/>
        <v>0.22288681230840734</v>
      </c>
      <c r="T54" s="53">
        <f t="shared" si="26"/>
        <v>0.39295383122129873</v>
      </c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09"/>
      <c r="AK54" s="209"/>
      <c r="AL54" s="209"/>
      <c r="AM54" s="209"/>
      <c r="AN54" s="209"/>
      <c r="AO54" s="209"/>
      <c r="AP54" s="209"/>
      <c r="AQ54" s="209"/>
      <c r="AR54" s="209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</row>
    <row r="55" spans="1:57" ht="15" customHeight="1">
      <c r="A55" s="20">
        <f t="shared" si="40"/>
        <v>0.68590766244259749</v>
      </c>
      <c r="B55" s="23">
        <f t="shared" si="27"/>
        <v>0.77384447463681649</v>
      </c>
      <c r="C55" s="23">
        <f t="shared" si="28"/>
        <v>7.5542077337661686</v>
      </c>
      <c r="D55" s="23">
        <f t="shared" si="29"/>
        <v>9.277997885560554E-4</v>
      </c>
      <c r="E55" s="23">
        <f t="shared" si="30"/>
        <v>0.63337566188958472</v>
      </c>
      <c r="F55" s="71">
        <f t="shared" si="31"/>
        <v>5.5107469107644504E-3</v>
      </c>
      <c r="G55" s="71">
        <f t="shared" si="32"/>
        <v>3.4575505006480616</v>
      </c>
      <c r="H55" s="98">
        <f t="shared" si="23"/>
        <v>-1.7709895817560484</v>
      </c>
      <c r="I55" s="98">
        <f t="shared" si="24"/>
        <v>0.99926780539615523</v>
      </c>
      <c r="J55" s="71">
        <f t="shared" si="33"/>
        <v>-7.3163976255500914E-3</v>
      </c>
      <c r="K55" s="71">
        <f t="shared" si="34"/>
        <v>-8.9390139492995947E-3</v>
      </c>
      <c r="L55" s="72">
        <f t="shared" si="35"/>
        <v>1.1551434742097093E-2</v>
      </c>
      <c r="M55" s="28"/>
      <c r="N55" s="216">
        <f t="shared" si="36"/>
        <v>0.22247533897866734</v>
      </c>
      <c r="O55" s="23">
        <f t="shared" si="37"/>
        <v>0.18187865335253853</v>
      </c>
      <c r="P55" s="28"/>
      <c r="Q55" s="36">
        <f t="shared" si="38"/>
        <v>0.68590766244259749</v>
      </c>
      <c r="R55" s="153">
        <f t="shared" si="39"/>
        <v>0.22247533897866734</v>
      </c>
      <c r="S55" s="36">
        <f t="shared" si="25"/>
        <v>0.22247696247930704</v>
      </c>
      <c r="T55" s="53">
        <f t="shared" si="26"/>
        <v>0.34295383122129874</v>
      </c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09"/>
      <c r="AK55" s="209"/>
      <c r="AL55" s="209"/>
      <c r="AM55" s="209"/>
      <c r="AN55" s="209"/>
      <c r="AO55" s="209"/>
      <c r="AP55" s="209"/>
      <c r="AQ55" s="209"/>
      <c r="AR55" s="209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</row>
    <row r="56" spans="1:57" ht="15" customHeight="1">
      <c r="A56" s="20">
        <f t="shared" si="40"/>
        <v>0.58590766244259751</v>
      </c>
      <c r="B56" s="23">
        <f t="shared" si="27"/>
        <v>0.83321053188840133</v>
      </c>
      <c r="C56" s="23">
        <f t="shared" si="28"/>
        <v>7.6135737910177532</v>
      </c>
      <c r="D56" s="23">
        <f t="shared" si="29"/>
        <v>2.9557840769978231E-4</v>
      </c>
      <c r="E56" s="23">
        <f t="shared" si="30"/>
        <v>0.55295588390960027</v>
      </c>
      <c r="F56" s="71">
        <f t="shared" si="31"/>
        <v>2.0267464794159486E-3</v>
      </c>
      <c r="G56" s="71">
        <f t="shared" si="32"/>
        <v>3.4696633589803643</v>
      </c>
      <c r="H56" s="98">
        <f t="shared" si="23"/>
        <v>-1.7710473541009826</v>
      </c>
      <c r="I56" s="98">
        <f t="shared" si="24"/>
        <v>0.99919190709991046</v>
      </c>
      <c r="J56" s="71">
        <f t="shared" si="33"/>
        <v>-2.3308575696316908E-3</v>
      </c>
      <c r="K56" s="71">
        <f t="shared" si="34"/>
        <v>-3.5122061847278037E-3</v>
      </c>
      <c r="L56" s="72">
        <f t="shared" si="35"/>
        <v>4.2152685909618605E-3</v>
      </c>
      <c r="M56" s="28"/>
      <c r="N56" s="216">
        <f t="shared" si="36"/>
        <v>0.22239944068242257</v>
      </c>
      <c r="O56" s="23">
        <f t="shared" si="37"/>
        <v>0.18181660476784539</v>
      </c>
      <c r="P56" s="28"/>
      <c r="Q56" s="36">
        <f t="shared" si="38"/>
        <v>0.58590766244259751</v>
      </c>
      <c r="R56" s="153">
        <f t="shared" si="39"/>
        <v>0.22239944068242257</v>
      </c>
      <c r="S56" s="36">
        <f t="shared" si="25"/>
        <v>0.22239970763132133</v>
      </c>
      <c r="T56" s="53">
        <f t="shared" si="26"/>
        <v>0.29295383122129875</v>
      </c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09"/>
      <c r="AK56" s="209"/>
      <c r="AL56" s="209"/>
      <c r="AM56" s="209"/>
      <c r="AN56" s="209"/>
      <c r="AO56" s="209"/>
      <c r="AP56" s="209"/>
      <c r="AQ56" s="209"/>
      <c r="AR56" s="209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</row>
    <row r="57" spans="1:57" ht="15" customHeight="1">
      <c r="A57" s="20">
        <f t="shared" si="40"/>
        <v>0.48590766244259753</v>
      </c>
      <c r="B57" s="23">
        <f t="shared" si="27"/>
        <v>0.88425142492814091</v>
      </c>
      <c r="C57" s="23">
        <f t="shared" si="28"/>
        <v>7.6646146840574927</v>
      </c>
      <c r="D57" s="23">
        <f t="shared" si="29"/>
        <v>7.8050787384162739E-5</v>
      </c>
      <c r="E57" s="23">
        <f t="shared" si="30"/>
        <v>0.46701115352050465</v>
      </c>
      <c r="F57" s="71">
        <f t="shared" si="31"/>
        <v>6.3792409634321672E-4</v>
      </c>
      <c r="G57" s="71">
        <f t="shared" si="32"/>
        <v>3.4744918913259757</v>
      </c>
      <c r="H57" s="98">
        <f t="shared" si="23"/>
        <v>-1.7710543568838379</v>
      </c>
      <c r="I57" s="98">
        <f t="shared" si="24"/>
        <v>0.99918054779883758</v>
      </c>
      <c r="J57" s="71">
        <f t="shared" si="33"/>
        <v>-6.1548903387716354E-4</v>
      </c>
      <c r="K57" s="71">
        <f t="shared" si="34"/>
        <v>-1.16538341992646E-3</v>
      </c>
      <c r="L57" s="72">
        <f t="shared" si="35"/>
        <v>1.3179321933477974E-3</v>
      </c>
      <c r="M57" s="28"/>
      <c r="N57" s="216">
        <f t="shared" si="36"/>
        <v>0.22238808138134969</v>
      </c>
      <c r="O57" s="23">
        <f t="shared" si="37"/>
        <v>0.18180731828067045</v>
      </c>
      <c r="P57" s="28"/>
      <c r="Q57" s="36">
        <f t="shared" si="38"/>
        <v>0.48590766244259753</v>
      </c>
      <c r="R57" s="153">
        <f t="shared" si="39"/>
        <v>0.22238808138134969</v>
      </c>
      <c r="S57" s="36">
        <f t="shared" si="25"/>
        <v>0.22238811422922367</v>
      </c>
      <c r="T57" s="53">
        <f t="shared" si="26"/>
        <v>0.24295383122129877</v>
      </c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09"/>
      <c r="AK57" s="209"/>
      <c r="AL57" s="209"/>
      <c r="AM57" s="209"/>
      <c r="AN57" s="209"/>
      <c r="AO57" s="209"/>
      <c r="AP57" s="209"/>
      <c r="AQ57" s="209"/>
      <c r="AR57" s="209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</row>
    <row r="58" spans="1:57" ht="15" customHeight="1">
      <c r="A58" s="20">
        <f t="shared" si="40"/>
        <v>0.38590766244259755</v>
      </c>
      <c r="B58" s="23">
        <f t="shared" si="27"/>
        <v>0.92645717002465811</v>
      </c>
      <c r="C58" s="23">
        <f t="shared" si="28"/>
        <v>7.7068204291540106</v>
      </c>
      <c r="D58" s="23">
        <f t="shared" si="29"/>
        <v>1.5558937310699738E-5</v>
      </c>
      <c r="E58" s="23">
        <f t="shared" si="30"/>
        <v>0.3764002020587951</v>
      </c>
      <c r="F58" s="71">
        <f t="shared" si="31"/>
        <v>1.5864776837305912E-4</v>
      </c>
      <c r="G58" s="71">
        <f t="shared" si="32"/>
        <v>3.4761581960171268</v>
      </c>
      <c r="H58" s="98">
        <f t="shared" si="23"/>
        <v>-1.7710549582200357</v>
      </c>
      <c r="I58" s="98">
        <f t="shared" si="24"/>
        <v>0.99917931877857935</v>
      </c>
      <c r="J58" s="71">
        <f t="shared" si="33"/>
        <v>-1.2269389732589772E-4</v>
      </c>
      <c r="K58" s="71">
        <f t="shared" si="34"/>
        <v>-3.0199410168778659E-4</v>
      </c>
      <c r="L58" s="72">
        <f t="shared" si="35"/>
        <v>3.2596660855865455E-4</v>
      </c>
      <c r="M58" s="28"/>
      <c r="N58" s="216">
        <f t="shared" si="36"/>
        <v>0.22238685236109146</v>
      </c>
      <c r="O58" s="23">
        <f t="shared" si="37"/>
        <v>0.18180631352863577</v>
      </c>
      <c r="P58" s="28"/>
      <c r="Q58" s="36">
        <f t="shared" si="38"/>
        <v>0.38590766244259755</v>
      </c>
      <c r="R58" s="153">
        <f t="shared" si="39"/>
        <v>0.22238685236109146</v>
      </c>
      <c r="S58" s="36">
        <f t="shared" si="25"/>
        <v>0.2223868549803103</v>
      </c>
      <c r="T58" s="53">
        <f t="shared" si="26"/>
        <v>0.19295383122129878</v>
      </c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09"/>
      <c r="AK58" s="209"/>
      <c r="AL58" s="209"/>
      <c r="AM58" s="209"/>
      <c r="AN58" s="209"/>
      <c r="AO58" s="209"/>
      <c r="AP58" s="209"/>
      <c r="AQ58" s="209"/>
      <c r="AR58" s="209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</row>
    <row r="59" spans="1:57" ht="15" customHeight="1">
      <c r="A59" s="20">
        <f t="shared" si="40"/>
        <v>0.28590766244259758</v>
      </c>
      <c r="B59" s="23">
        <f t="shared" si="27"/>
        <v>0.95940606132431294</v>
      </c>
      <c r="C59" s="23">
        <f t="shared" si="28"/>
        <v>7.7397693204536653</v>
      </c>
      <c r="D59" s="23">
        <f t="shared" si="29"/>
        <v>1.9591864096880147E-6</v>
      </c>
      <c r="E59" s="23">
        <f t="shared" si="30"/>
        <v>0.28202838419947868</v>
      </c>
      <c r="F59" s="71">
        <f t="shared" si="31"/>
        <v>2.6775624059430363E-5</v>
      </c>
      <c r="G59" s="71">
        <f t="shared" si="32"/>
        <v>3.476616677189424</v>
      </c>
      <c r="H59" s="98">
        <f t="shared" si="23"/>
        <v>-1.7710549888383258</v>
      </c>
      <c r="I59" s="98">
        <f t="shared" si="24"/>
        <v>0.99917923712587609</v>
      </c>
      <c r="J59" s="71">
        <f t="shared" si="33"/>
        <v>-1.5449655165539375E-5</v>
      </c>
      <c r="K59" s="71">
        <f t="shared" si="34"/>
        <v>-5.2556741241707814E-5</v>
      </c>
      <c r="L59" s="72">
        <f t="shared" si="35"/>
        <v>5.4780497393524169E-5</v>
      </c>
      <c r="M59" s="28"/>
      <c r="N59" s="216">
        <f t="shared" si="36"/>
        <v>0.22238677070838819</v>
      </c>
      <c r="O59" s="23">
        <f t="shared" si="37"/>
        <v>0.18180624677569235</v>
      </c>
      <c r="P59" s="28"/>
      <c r="Q59" s="36">
        <f t="shared" si="38"/>
        <v>0.28590766244259758</v>
      </c>
      <c r="R59" s="153">
        <f t="shared" si="39"/>
        <v>0.22238677070838819</v>
      </c>
      <c r="S59" s="36">
        <f t="shared" si="25"/>
        <v>0.22238677081110647</v>
      </c>
      <c r="T59" s="53">
        <f t="shared" si="26"/>
        <v>0.14295383122129879</v>
      </c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</row>
    <row r="60" spans="1:57" ht="15" customHeight="1">
      <c r="A60" s="20">
        <f t="shared" si="40"/>
        <v>0.18590766244259757</v>
      </c>
      <c r="B60" s="23">
        <f t="shared" si="27"/>
        <v>0.98276888439669463</v>
      </c>
      <c r="C60" s="23">
        <f t="shared" si="28"/>
        <v>7.7631321435260467</v>
      </c>
      <c r="D60" s="23">
        <f t="shared" si="29"/>
        <v>1.0303284218205176E-7</v>
      </c>
      <c r="E60" s="23">
        <f t="shared" si="30"/>
        <v>0.18483863195143013</v>
      </c>
      <c r="F60" s="71">
        <f t="shared" si="31"/>
        <v>2.1550063677992917E-6</v>
      </c>
      <c r="G60" s="71">
        <f t="shared" si="32"/>
        <v>3.4767022759314528</v>
      </c>
      <c r="H60" s="98">
        <f t="shared" si="23"/>
        <v>-1.771054989499</v>
      </c>
      <c r="I60" s="98">
        <f t="shared" si="24"/>
        <v>0.99917923468271175</v>
      </c>
      <c r="J60" s="71">
        <f t="shared" si="33"/>
        <v>-8.1249128442638822E-7</v>
      </c>
      <c r="K60" s="71">
        <f t="shared" si="34"/>
        <v>-4.3199365021678891E-6</v>
      </c>
      <c r="L60" s="72">
        <f t="shared" si="35"/>
        <v>4.39567895438593E-6</v>
      </c>
      <c r="M60" s="28"/>
      <c r="N60" s="216">
        <f t="shared" si="36"/>
        <v>0.22238676826522386</v>
      </c>
      <c r="O60" s="23">
        <f t="shared" si="37"/>
        <v>0.18180624477834989</v>
      </c>
      <c r="P60" s="28"/>
      <c r="Q60" s="36">
        <f t="shared" si="38"/>
        <v>0.18590766244259757</v>
      </c>
      <c r="R60" s="153">
        <f t="shared" si="39"/>
        <v>0.22238676826522386</v>
      </c>
      <c r="S60" s="36">
        <f t="shared" si="25"/>
        <v>0.22238676826626813</v>
      </c>
      <c r="T60" s="53">
        <f t="shared" si="26"/>
        <v>9.2953831221298786E-2</v>
      </c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</row>
    <row r="61" spans="1:57" ht="15" customHeight="1">
      <c r="A61" s="20">
        <f t="shared" si="40"/>
        <v>8.5907662442597565E-2</v>
      </c>
      <c r="B61" s="23">
        <f t="shared" si="27"/>
        <v>0.99631220563638656</v>
      </c>
      <c r="C61" s="23">
        <f t="shared" si="28"/>
        <v>7.7766754647657388</v>
      </c>
      <c r="D61" s="23">
        <f t="shared" si="29"/>
        <v>5.4083916820887675E-10</v>
      </c>
      <c r="E61" s="23">
        <f t="shared" si="30"/>
        <v>8.5802033192451249E-2</v>
      </c>
      <c r="F61" s="71">
        <f t="shared" si="31"/>
        <v>2.4411427535037083E-8</v>
      </c>
      <c r="G61" s="71">
        <f t="shared" si="32"/>
        <v>3.476709683391694</v>
      </c>
      <c r="H61" s="98">
        <f t="shared" si="23"/>
        <v>-1.771054989501804</v>
      </c>
      <c r="I61" s="98">
        <f t="shared" si="24"/>
        <v>0.99917923466649472</v>
      </c>
      <c r="J61" s="71">
        <f t="shared" si="33"/>
        <v>-4.2649227289070894E-9</v>
      </c>
      <c r="K61" s="71">
        <f t="shared" si="34"/>
        <v>-4.9523238701994042E-8</v>
      </c>
      <c r="L61" s="72">
        <f t="shared" si="35"/>
        <v>4.9706546222989871E-8</v>
      </c>
      <c r="M61" s="28"/>
      <c r="N61" s="216">
        <f t="shared" si="36"/>
        <v>0.22238676824900683</v>
      </c>
      <c r="O61" s="23">
        <f t="shared" si="37"/>
        <v>0.18180624476509211</v>
      </c>
      <c r="P61" s="28"/>
      <c r="Q61" s="36">
        <f t="shared" si="38"/>
        <v>8.5907662442597565E-2</v>
      </c>
      <c r="R61" s="153">
        <f t="shared" si="39"/>
        <v>0.22238676824900683</v>
      </c>
      <c r="S61" s="36">
        <f t="shared" si="25"/>
        <v>0.22238676824900705</v>
      </c>
      <c r="T61" s="53">
        <f t="shared" si="26"/>
        <v>4.2953831221298783E-2</v>
      </c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</row>
    <row r="62" spans="1:57" ht="15" customHeight="1">
      <c r="A62" s="20">
        <f t="shared" si="40"/>
        <v>-1.409233755740244E-2</v>
      </c>
      <c r="B62" s="23">
        <f t="shared" si="27"/>
        <v>0.99990070465438852</v>
      </c>
      <c r="C62" s="23">
        <f t="shared" si="28"/>
        <v>7.7802639637837405</v>
      </c>
      <c r="D62" s="23" t="e">
        <f t="shared" si="29"/>
        <v>#NUM!</v>
      </c>
      <c r="E62" s="23">
        <f t="shared" si="30"/>
        <v>-1.4091871119805303E-2</v>
      </c>
      <c r="F62" s="71" t="e">
        <f t="shared" si="31"/>
        <v>#NUM!</v>
      </c>
      <c r="G62" s="71" t="e">
        <f t="shared" si="32"/>
        <v>#NUM!</v>
      </c>
      <c r="H62" s="98" t="e">
        <f t="shared" si="23"/>
        <v>#NUM!</v>
      </c>
      <c r="I62" s="98" t="e">
        <f t="shared" si="24"/>
        <v>#NUM!</v>
      </c>
      <c r="J62" s="71" t="e">
        <f t="shared" si="33"/>
        <v>#NUM!</v>
      </c>
      <c r="K62" s="71" t="e">
        <f t="shared" si="34"/>
        <v>#NUM!</v>
      </c>
      <c r="L62" s="72" t="e">
        <f t="shared" si="35"/>
        <v>#NUM!</v>
      </c>
      <c r="M62" s="28"/>
      <c r="N62" s="216" t="e">
        <f t="shared" si="36"/>
        <v>#NUM!</v>
      </c>
      <c r="O62" s="23" t="e">
        <f t="shared" si="37"/>
        <v>#NUM!</v>
      </c>
      <c r="P62" s="28"/>
      <c r="Q62" s="36" t="e">
        <f t="shared" si="38"/>
        <v>#NUM!</v>
      </c>
      <c r="R62" s="153" t="e">
        <f t="shared" si="39"/>
        <v>#NUM!</v>
      </c>
      <c r="S62" s="36" t="e">
        <f t="shared" si="25"/>
        <v>#NUM!</v>
      </c>
      <c r="T62" s="53" t="e">
        <f t="shared" si="26"/>
        <v>#NUM!</v>
      </c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</row>
    <row r="63" spans="1:57" ht="15" customHeight="1">
      <c r="A63" s="20">
        <f t="shared" si="40"/>
        <v>-0.11409233755740245</v>
      </c>
      <c r="B63" s="23">
        <f t="shared" si="27"/>
        <v>0.9934985263547127</v>
      </c>
      <c r="C63" s="23">
        <f t="shared" si="28"/>
        <v>7.7738617854840646</v>
      </c>
      <c r="D63" s="23" t="e">
        <f t="shared" si="29"/>
        <v>#NUM!</v>
      </c>
      <c r="E63" s="23">
        <f t="shared" si="30"/>
        <v>-0.11384497411398603</v>
      </c>
      <c r="F63" s="71" t="e">
        <f t="shared" si="31"/>
        <v>#NUM!</v>
      </c>
      <c r="G63" s="71" t="e">
        <f t="shared" si="32"/>
        <v>#NUM!</v>
      </c>
      <c r="H63" s="98" t="e">
        <f t="shared" si="23"/>
        <v>#NUM!</v>
      </c>
      <c r="I63" s="98" t="e">
        <f t="shared" si="24"/>
        <v>#NUM!</v>
      </c>
      <c r="J63" s="71" t="e">
        <f t="shared" si="33"/>
        <v>#NUM!</v>
      </c>
      <c r="K63" s="71" t="e">
        <f t="shared" si="34"/>
        <v>#NUM!</v>
      </c>
      <c r="L63" s="72" t="e">
        <f t="shared" si="35"/>
        <v>#NUM!</v>
      </c>
      <c r="M63" s="28"/>
      <c r="N63" s="216" t="e">
        <f t="shared" si="36"/>
        <v>#NUM!</v>
      </c>
      <c r="O63" s="23" t="e">
        <f t="shared" si="37"/>
        <v>#NUM!</v>
      </c>
      <c r="P63" s="28"/>
      <c r="Q63" s="36" t="e">
        <f t="shared" si="38"/>
        <v>#NUM!</v>
      </c>
      <c r="R63" s="153" t="e">
        <f t="shared" si="39"/>
        <v>#NUM!</v>
      </c>
      <c r="S63" s="36" t="e">
        <f t="shared" si="25"/>
        <v>#NUM!</v>
      </c>
      <c r="T63" s="53" t="e">
        <f t="shared" si="26"/>
        <v>#NUM!</v>
      </c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</row>
    <row r="64" spans="1:57" ht="15" customHeight="1">
      <c r="A64" s="20">
        <f t="shared" si="40"/>
        <v>-0.21409233755740245</v>
      </c>
      <c r="B64" s="23">
        <f t="shared" si="27"/>
        <v>0.97716963918665067</v>
      </c>
      <c r="C64" s="23">
        <f t="shared" si="28"/>
        <v>7.7575328983160023</v>
      </c>
      <c r="D64" s="23" t="e">
        <f t="shared" si="29"/>
        <v>#NUM!</v>
      </c>
      <c r="E64" s="23">
        <f t="shared" si="30"/>
        <v>-0.21246057575896496</v>
      </c>
      <c r="F64" s="71" t="e">
        <f t="shared" si="31"/>
        <v>#NUM!</v>
      </c>
      <c r="G64" s="71" t="e">
        <f t="shared" si="32"/>
        <v>#NUM!</v>
      </c>
      <c r="H64" s="98" t="e">
        <f t="shared" si="23"/>
        <v>#NUM!</v>
      </c>
      <c r="I64" s="98" t="e">
        <f t="shared" si="24"/>
        <v>#NUM!</v>
      </c>
      <c r="J64" s="71" t="e">
        <f t="shared" si="33"/>
        <v>#NUM!</v>
      </c>
      <c r="K64" s="71" t="e">
        <f t="shared" si="34"/>
        <v>#NUM!</v>
      </c>
      <c r="L64" s="72" t="e">
        <f t="shared" si="35"/>
        <v>#NUM!</v>
      </c>
      <c r="M64" s="28"/>
      <c r="N64" s="216" t="e">
        <f t="shared" si="36"/>
        <v>#NUM!</v>
      </c>
      <c r="O64" s="23" t="e">
        <f t="shared" si="37"/>
        <v>#NUM!</v>
      </c>
      <c r="P64" s="28"/>
      <c r="Q64" s="36" t="e">
        <f t="shared" si="38"/>
        <v>#NUM!</v>
      </c>
      <c r="R64" s="153" t="e">
        <f t="shared" si="39"/>
        <v>#NUM!</v>
      </c>
      <c r="S64" s="36" t="e">
        <f t="shared" si="25"/>
        <v>#NUM!</v>
      </c>
      <c r="T64" s="53" t="e">
        <f t="shared" si="26"/>
        <v>#NUM!</v>
      </c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</row>
    <row r="65" spans="1:57" ht="15" customHeight="1">
      <c r="A65" s="20">
        <f t="shared" si="40"/>
        <v>-0.31409233755740246</v>
      </c>
      <c r="B65" s="23">
        <f t="shared" si="27"/>
        <v>0.9510771959931732</v>
      </c>
      <c r="C65" s="23">
        <f t="shared" si="28"/>
        <v>7.7314404551225255</v>
      </c>
      <c r="D65" s="23" t="e">
        <f t="shared" si="29"/>
        <v>#NUM!</v>
      </c>
      <c r="E65" s="23">
        <f t="shared" si="30"/>
        <v>-0.30895334156108933</v>
      </c>
      <c r="F65" s="71" t="e">
        <f t="shared" si="31"/>
        <v>#NUM!</v>
      </c>
      <c r="G65" s="71" t="e">
        <f t="shared" si="32"/>
        <v>#NUM!</v>
      </c>
      <c r="H65" s="98" t="e">
        <f t="shared" si="23"/>
        <v>#NUM!</v>
      </c>
      <c r="I65" s="98" t="e">
        <f t="shared" si="24"/>
        <v>#NUM!</v>
      </c>
      <c r="J65" s="71" t="e">
        <f t="shared" si="33"/>
        <v>#NUM!</v>
      </c>
      <c r="K65" s="71" t="e">
        <f t="shared" si="34"/>
        <v>#NUM!</v>
      </c>
      <c r="L65" s="72" t="e">
        <f t="shared" si="35"/>
        <v>#NUM!</v>
      </c>
      <c r="M65" s="28"/>
      <c r="N65" s="216" t="e">
        <f t="shared" si="36"/>
        <v>#NUM!</v>
      </c>
      <c r="O65" s="23" t="e">
        <f t="shared" si="37"/>
        <v>#NUM!</v>
      </c>
      <c r="P65" s="28"/>
      <c r="Q65" s="36" t="e">
        <f t="shared" si="38"/>
        <v>#NUM!</v>
      </c>
      <c r="R65" s="153" t="e">
        <f t="shared" si="39"/>
        <v>#NUM!</v>
      </c>
      <c r="S65" s="36" t="e">
        <f t="shared" si="25"/>
        <v>#NUM!</v>
      </c>
      <c r="T65" s="53" t="e">
        <f t="shared" si="26"/>
        <v>#NUM!</v>
      </c>
      <c r="U65" s="28" t="s">
        <v>106</v>
      </c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</row>
    <row r="66" spans="1:57" ht="15" customHeight="1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</row>
    <row r="67" spans="1:57" ht="15" customHeight="1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</row>
    <row r="68" spans="1:57" ht="15" customHeight="1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</row>
    <row r="69" spans="1:57" ht="15" customHeight="1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</row>
    <row r="70" spans="1:57" ht="15" customHeight="1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</row>
    <row r="71" spans="1:57" ht="15" customHeight="1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</row>
    <row r="72" spans="1:57" ht="15" customHeight="1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</row>
    <row r="73" spans="1:57" ht="15" customHeight="1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</row>
    <row r="74" spans="1:57" ht="15" customHeight="1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</row>
    <row r="75" spans="1:57" ht="15" customHeight="1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</row>
    <row r="76" spans="1:57" ht="15" customHeight="1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</row>
    <row r="77" spans="1:57" ht="15" customHeight="1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</row>
    <row r="78" spans="1:57" ht="15" customHeight="1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</row>
    <row r="79" spans="1:57" ht="15" customHeight="1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</row>
    <row r="80" spans="1:57" ht="15" customHeight="1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</row>
    <row r="81" spans="1:56" ht="15" customHeight="1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</row>
    <row r="82" spans="1:56" ht="15" customHeight="1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</row>
    <row r="83" spans="1:56" ht="15" customHeight="1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</row>
    <row r="84" spans="1:56" ht="15" customHeight="1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</row>
    <row r="85" spans="1:56" ht="15" customHeight="1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</row>
    <row r="86" spans="1:56" ht="15" customHeight="1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</row>
    <row r="87" spans="1:56" ht="15" customHeight="1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</row>
    <row r="88" spans="1:56" ht="15" customHeight="1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</row>
    <row r="89" spans="1:56" ht="15" customHeight="1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</row>
    <row r="90" spans="1:56" ht="15" customHeight="1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</row>
    <row r="91" spans="1:56" ht="15" customHeight="1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</row>
    <row r="92" spans="1:56" ht="15" customHeight="1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</row>
    <row r="93" spans="1:56" ht="15" customHeight="1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</row>
    <row r="94" spans="1:56" ht="15" customHeight="1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</row>
    <row r="95" spans="1:56" ht="15" customHeight="1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</row>
    <row r="96" spans="1:56" ht="15" customHeight="1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</row>
    <row r="97" spans="1:56" ht="15" customHeight="1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</row>
    <row r="98" spans="1:56" ht="15" customHeight="1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</row>
    <row r="99" spans="1:56" ht="15" customHeight="1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</row>
    <row r="100" spans="1:56" ht="15" customHeight="1"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</row>
  </sheetData>
  <mergeCells count="13">
    <mergeCell ref="A1:C1"/>
    <mergeCell ref="X7:Z7"/>
    <mergeCell ref="Y9:Z9"/>
    <mergeCell ref="AA9:AB9"/>
    <mergeCell ref="AM9:AN9"/>
    <mergeCell ref="AO9:AP9"/>
    <mergeCell ref="AQ9:AR9"/>
    <mergeCell ref="AK8:AR8"/>
    <mergeCell ref="AC9:AD9"/>
    <mergeCell ref="AE9:AF9"/>
    <mergeCell ref="AG9:AH9"/>
    <mergeCell ref="AI9:AJ9"/>
    <mergeCell ref="AK9:AL9"/>
  </mergeCells>
  <conditionalFormatting sqref="O48:O65">
    <cfRule type="cellIs" dxfId="0" priority="1" operator="lessThan">
      <formula>0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V477"/>
  <sheetViews>
    <sheetView tabSelected="1" topLeftCell="AA1" workbookViewId="0">
      <selection activeCell="AY20" sqref="AY20:AZ25"/>
    </sheetView>
  </sheetViews>
  <sheetFormatPr baseColWidth="10" defaultRowHeight="15"/>
  <cols>
    <col min="1" max="22" width="5.7109375" customWidth="1"/>
    <col min="23" max="24" width="5.7109375" style="18" customWidth="1"/>
    <col min="25" max="74" width="5.7109375" customWidth="1"/>
  </cols>
  <sheetData>
    <row r="1" spans="1:74">
      <c r="A1" s="363" t="s">
        <v>6</v>
      </c>
      <c r="B1" s="363"/>
      <c r="C1" s="363"/>
      <c r="D1" s="142" t="s">
        <v>72</v>
      </c>
      <c r="E1" s="142"/>
      <c r="F1" s="143">
        <f>Stufengrün!AH39</f>
        <v>17</v>
      </c>
      <c r="G1" s="142" t="s">
        <v>71</v>
      </c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</row>
    <row r="2" spans="1:74">
      <c r="A2" s="88" t="s">
        <v>74</v>
      </c>
      <c r="B2" s="88"/>
      <c r="C2" s="216" t="s">
        <v>58</v>
      </c>
      <c r="D2" s="216" t="s">
        <v>59</v>
      </c>
      <c r="E2" s="298" t="s">
        <v>121</v>
      </c>
      <c r="F2" s="216" t="s">
        <v>58</v>
      </c>
      <c r="G2" s="216" t="s">
        <v>59</v>
      </c>
      <c r="H2" s="298" t="s">
        <v>121</v>
      </c>
      <c r="I2" s="216" t="s">
        <v>58</v>
      </c>
      <c r="J2" s="216" t="s">
        <v>59</v>
      </c>
      <c r="K2" s="298" t="s">
        <v>121</v>
      </c>
      <c r="L2" s="216" t="s">
        <v>58</v>
      </c>
      <c r="M2" s="216" t="s">
        <v>59</v>
      </c>
      <c r="N2" s="298" t="s">
        <v>121</v>
      </c>
      <c r="W2"/>
      <c r="X2"/>
      <c r="AG2" s="319"/>
      <c r="AH2" s="88" t="s">
        <v>74</v>
      </c>
      <c r="AI2" s="88"/>
      <c r="AJ2" s="195" t="s">
        <v>58</v>
      </c>
      <c r="AK2" s="195" t="s">
        <v>59</v>
      </c>
      <c r="AL2" s="193" t="s">
        <v>121</v>
      </c>
      <c r="AM2" s="216" t="s">
        <v>58</v>
      </c>
      <c r="AN2" s="216" t="s">
        <v>59</v>
      </c>
      <c r="AO2" s="298" t="s">
        <v>121</v>
      </c>
      <c r="AP2" s="195" t="s">
        <v>58</v>
      </c>
      <c r="AQ2" s="195" t="s">
        <v>59</v>
      </c>
      <c r="AR2" s="193" t="s">
        <v>121</v>
      </c>
      <c r="AS2" s="343" t="s">
        <v>58</v>
      </c>
      <c r="AT2" s="343" t="s">
        <v>59</v>
      </c>
      <c r="AU2" s="318" t="s">
        <v>121</v>
      </c>
      <c r="AV2" s="343" t="s">
        <v>58</v>
      </c>
      <c r="AW2" s="343" t="s">
        <v>59</v>
      </c>
      <c r="AX2" s="318" t="s">
        <v>121</v>
      </c>
      <c r="AY2" s="343" t="s">
        <v>58</v>
      </c>
      <c r="AZ2" s="343" t="s">
        <v>59</v>
      </c>
      <c r="BA2" s="318" t="s">
        <v>121</v>
      </c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</row>
    <row r="3" spans="1:74">
      <c r="C3" s="193">
        <v>-1.294</v>
      </c>
      <c r="D3" s="193">
        <v>-1.131</v>
      </c>
      <c r="E3" s="342">
        <f>SQRT(C3*C3+D3*D3)</f>
        <v>1.7186032119136749</v>
      </c>
      <c r="F3" s="228">
        <v>-1.466</v>
      </c>
      <c r="G3" s="228">
        <v>-0.72399999999999998</v>
      </c>
      <c r="H3" s="1">
        <f>SQRT(F3*F3+G3*G3)</f>
        <v>1.6350327213851104</v>
      </c>
      <c r="I3" s="193">
        <v>-1.4648000000000001</v>
      </c>
      <c r="J3" s="193">
        <v>-0.59899999999999998</v>
      </c>
      <c r="K3" s="342">
        <f>SQRT(I3*I3+J3*J3)</f>
        <v>1.5825422711573933</v>
      </c>
      <c r="L3" s="228">
        <v>-1.46</v>
      </c>
      <c r="M3" s="228">
        <v>-0.50800000000000001</v>
      </c>
      <c r="N3" s="1">
        <f>SQRT(L3*L3+M3*M3)</f>
        <v>1.5458538093881968</v>
      </c>
      <c r="W3"/>
      <c r="X3"/>
      <c r="AG3" s="319"/>
      <c r="AJ3" s="228">
        <v>-0.87</v>
      </c>
      <c r="AK3" s="228">
        <v>-0.96799999999999997</v>
      </c>
      <c r="AL3" s="1">
        <f>SQRT(AJ3*AJ3+AK3*AK3)</f>
        <v>1.301508355716551</v>
      </c>
      <c r="AM3" s="228">
        <v>-1.466</v>
      </c>
      <c r="AN3" s="228">
        <v>-0.72399999999999998</v>
      </c>
      <c r="AO3" s="1">
        <f>SQRT(AM3*AM3+AN3*AN3)</f>
        <v>1.6350327213851104</v>
      </c>
      <c r="AP3" s="228">
        <v>-1.893</v>
      </c>
      <c r="AQ3" s="228">
        <v>-0.54400000000000004</v>
      </c>
      <c r="AR3" s="1">
        <f>SQRT(AP3*AP3+AQ3*AQ3)</f>
        <v>1.9696154446998024</v>
      </c>
      <c r="AS3" s="228">
        <v>-2.2349999999999999</v>
      </c>
      <c r="AT3" s="228">
        <v>-0.41799999999999998</v>
      </c>
      <c r="AU3" s="1">
        <f>SQRT(AS3*AS3+AT3*AT3)</f>
        <v>2.2737521852655798</v>
      </c>
      <c r="AV3" s="228">
        <v>-2.2589999999999999</v>
      </c>
      <c r="AW3" s="228">
        <v>-3.9E-2</v>
      </c>
      <c r="AX3" s="1">
        <f>SQRT(AV3*AV3+AW3*AW3)</f>
        <v>2.2593366283048657</v>
      </c>
      <c r="AY3" s="228">
        <v>-2.1970000000000001</v>
      </c>
      <c r="AZ3" s="228">
        <v>-0.71</v>
      </c>
      <c r="BA3" s="1">
        <f>SQRT(AY3*AY3+AZ3*AZ3)</f>
        <v>2.308876133533369</v>
      </c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</row>
    <row r="4" spans="1:74">
      <c r="C4" s="26" t="s">
        <v>65</v>
      </c>
      <c r="D4" s="26" t="s">
        <v>66</v>
      </c>
      <c r="E4" s="230" t="s">
        <v>24</v>
      </c>
      <c r="F4" s="26" t="s">
        <v>65</v>
      </c>
      <c r="G4" s="26" t="s">
        <v>66</v>
      </c>
      <c r="H4" s="230" t="s">
        <v>24</v>
      </c>
      <c r="I4" s="26" t="s">
        <v>65</v>
      </c>
      <c r="J4" s="26" t="s">
        <v>66</v>
      </c>
      <c r="K4" s="230" t="s">
        <v>24</v>
      </c>
      <c r="L4" s="26" t="s">
        <v>65</v>
      </c>
      <c r="M4" s="26" t="s">
        <v>66</v>
      </c>
      <c r="N4" s="230" t="s">
        <v>24</v>
      </c>
      <c r="W4"/>
      <c r="X4"/>
      <c r="AG4" s="319"/>
      <c r="AH4" t="s">
        <v>170</v>
      </c>
      <c r="AJ4" s="26" t="s">
        <v>65</v>
      </c>
      <c r="AK4" s="26" t="s">
        <v>66</v>
      </c>
      <c r="AL4" s="330" t="s">
        <v>24</v>
      </c>
      <c r="AM4" s="26" t="s">
        <v>65</v>
      </c>
      <c r="AN4" s="26" t="s">
        <v>66</v>
      </c>
      <c r="AO4" s="330" t="s">
        <v>24</v>
      </c>
      <c r="AP4" s="26" t="s">
        <v>65</v>
      </c>
      <c r="AQ4" s="26" t="s">
        <v>66</v>
      </c>
      <c r="AR4" s="330" t="s">
        <v>24</v>
      </c>
      <c r="AS4" s="26" t="s">
        <v>65</v>
      </c>
      <c r="AT4" s="26" t="s">
        <v>66</v>
      </c>
      <c r="AU4" s="330" t="s">
        <v>24</v>
      </c>
      <c r="AV4" s="26" t="s">
        <v>65</v>
      </c>
      <c r="AW4" s="26" t="s">
        <v>66</v>
      </c>
      <c r="AX4" s="330" t="s">
        <v>24</v>
      </c>
      <c r="AY4" s="26" t="s">
        <v>65</v>
      </c>
      <c r="AZ4" s="26" t="s">
        <v>66</v>
      </c>
      <c r="BA4" s="330" t="s">
        <v>24</v>
      </c>
      <c r="BB4" s="7"/>
      <c r="BC4" s="7"/>
      <c r="BD4" s="7"/>
      <c r="BE4" s="7"/>
      <c r="BF4" s="7"/>
      <c r="BG4" s="7"/>
      <c r="BH4" s="144"/>
      <c r="BI4" s="7"/>
      <c r="BJ4" s="7"/>
      <c r="BK4" s="7"/>
      <c r="BL4" s="7"/>
      <c r="BM4" s="7"/>
      <c r="BN4" s="7"/>
      <c r="BO4" s="7"/>
      <c r="BP4" s="7"/>
      <c r="BQ4" s="7"/>
      <c r="BR4" s="144"/>
      <c r="BS4" s="7"/>
      <c r="BT4" s="7"/>
      <c r="BU4" s="7"/>
      <c r="BV4" s="7"/>
    </row>
    <row r="5" spans="1:74">
      <c r="C5" s="110">
        <v>2</v>
      </c>
      <c r="D5" s="110">
        <v>2</v>
      </c>
      <c r="E5" s="231">
        <v>0.25193199381761944</v>
      </c>
      <c r="F5" s="298">
        <v>1.9999999999999998</v>
      </c>
      <c r="G5" s="298">
        <v>2</v>
      </c>
      <c r="H5" s="231">
        <v>1.0122783083219646</v>
      </c>
      <c r="I5" s="298">
        <v>2</v>
      </c>
      <c r="J5" s="298">
        <v>2</v>
      </c>
      <c r="K5" s="233">
        <v>1.1821409066084105</v>
      </c>
      <c r="L5" s="298">
        <v>2</v>
      </c>
      <c r="M5" s="298">
        <v>2</v>
      </c>
      <c r="N5" s="233">
        <v>1.3041095890410959</v>
      </c>
      <c r="W5"/>
      <c r="X5"/>
      <c r="AG5" s="319"/>
      <c r="AH5" t="s">
        <v>137</v>
      </c>
      <c r="AJ5" s="126">
        <v>1</v>
      </c>
      <c r="AK5" s="126">
        <v>2</v>
      </c>
      <c r="AL5" s="331">
        <v>0.88735632183908053</v>
      </c>
      <c r="AM5" s="298">
        <v>1.9999999999999998</v>
      </c>
      <c r="AN5" s="298">
        <v>2</v>
      </c>
      <c r="AO5" s="332">
        <v>1.0122783083219646</v>
      </c>
      <c r="AP5" s="298">
        <v>3</v>
      </c>
      <c r="AQ5" s="298">
        <v>2</v>
      </c>
      <c r="AR5" s="333">
        <v>1.1378763866877972</v>
      </c>
      <c r="AS5" s="298">
        <v>4</v>
      </c>
      <c r="AT5" s="298">
        <v>2</v>
      </c>
      <c r="AU5" s="333">
        <v>1.2519015659955255</v>
      </c>
      <c r="AV5" s="339">
        <v>4</v>
      </c>
      <c r="AW5" s="339">
        <v>1.5</v>
      </c>
      <c r="AX5" s="333">
        <v>1.430942895086321</v>
      </c>
      <c r="AY5" s="339">
        <v>4</v>
      </c>
      <c r="AZ5" s="339">
        <v>2.5</v>
      </c>
      <c r="BA5" s="333">
        <v>1.2073281747837961</v>
      </c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11"/>
      <c r="BM5" s="311"/>
      <c r="BN5" s="311"/>
      <c r="BO5" s="312"/>
      <c r="BP5" s="311"/>
      <c r="BQ5" s="311"/>
      <c r="BR5" s="312"/>
      <c r="BS5" s="311"/>
      <c r="BT5" s="311"/>
      <c r="BU5" s="312"/>
      <c r="BV5" s="311"/>
    </row>
    <row r="6" spans="1:74">
      <c r="C6" s="110">
        <v>1.8567950777469926</v>
      </c>
      <c r="D6" s="110">
        <v>1.8745143785555654</v>
      </c>
      <c r="E6" s="313" t="s">
        <v>160</v>
      </c>
      <c r="F6" s="298">
        <v>1.7244859502745671</v>
      </c>
      <c r="G6" s="298">
        <v>1.8620437666761234</v>
      </c>
      <c r="H6" s="314" t="s">
        <v>159</v>
      </c>
      <c r="I6" s="298">
        <v>1.6675509814966889</v>
      </c>
      <c r="J6" s="298">
        <v>1.8598545888468172</v>
      </c>
      <c r="K6" s="315" t="s">
        <v>161</v>
      </c>
      <c r="L6" s="3">
        <v>1.6243092448767955</v>
      </c>
      <c r="M6" s="3">
        <v>1.861998142682151</v>
      </c>
      <c r="N6" s="316" t="s">
        <v>162</v>
      </c>
      <c r="W6"/>
      <c r="X6"/>
      <c r="AG6" s="319"/>
      <c r="AH6" t="s">
        <v>171</v>
      </c>
      <c r="AJ6" s="126">
        <v>0.87831635420700915</v>
      </c>
      <c r="AK6" s="126">
        <v>1.8635663290066686</v>
      </c>
      <c r="AL6" s="325" t="s">
        <v>160</v>
      </c>
      <c r="AM6" s="298">
        <v>1.7244859502745671</v>
      </c>
      <c r="AN6" s="298">
        <v>1.8620437666761234</v>
      </c>
      <c r="AO6" s="314" t="s">
        <v>159</v>
      </c>
      <c r="AP6" s="298">
        <v>2.529519746123281</v>
      </c>
      <c r="AQ6" s="298">
        <v>1.861470162081682</v>
      </c>
      <c r="AR6" s="327" t="s">
        <v>161</v>
      </c>
      <c r="AS6" s="3">
        <v>3.2930551005024702</v>
      </c>
      <c r="AT6" s="3">
        <v>1.8623605576124316</v>
      </c>
      <c r="AU6" s="344" t="s">
        <v>162</v>
      </c>
      <c r="AV6" s="339">
        <v>3.7132258320242739</v>
      </c>
      <c r="AW6" s="339">
        <v>1.4942111786698753</v>
      </c>
      <c r="AX6" s="344" t="s">
        <v>162</v>
      </c>
      <c r="AY6" s="339">
        <v>3.0983676103941225</v>
      </c>
      <c r="AZ6" s="339">
        <v>2.1993009999988584</v>
      </c>
      <c r="BA6" s="344" t="s">
        <v>162</v>
      </c>
      <c r="BB6" s="305"/>
      <c r="BC6" s="311"/>
      <c r="BD6" s="305"/>
      <c r="BE6" s="305"/>
      <c r="BF6" s="305"/>
      <c r="BG6" s="305"/>
      <c r="BH6" s="305"/>
      <c r="BI6" s="305"/>
      <c r="BJ6" s="305"/>
      <c r="BK6" s="305"/>
      <c r="BL6" s="305"/>
      <c r="BM6" s="311"/>
      <c r="BN6" s="305"/>
      <c r="BO6" s="305"/>
      <c r="BP6" s="305"/>
      <c r="BQ6" s="305"/>
      <c r="BR6" s="305"/>
      <c r="BS6" s="305"/>
      <c r="BT6" s="305"/>
      <c r="BU6" s="305"/>
      <c r="BV6" s="305"/>
    </row>
    <row r="7" spans="1:74">
      <c r="B7" s="317" t="s">
        <v>156</v>
      </c>
      <c r="C7" s="110">
        <v>1.725664736792073</v>
      </c>
      <c r="D7" s="110">
        <v>1.7590134319647874</v>
      </c>
      <c r="E7" s="318">
        <v>0.2</v>
      </c>
      <c r="F7" s="298">
        <v>1.4897780513006031</v>
      </c>
      <c r="G7" s="298">
        <v>1.7411859583464393</v>
      </c>
      <c r="H7" s="318">
        <v>0.4</v>
      </c>
      <c r="I7" s="298">
        <v>1.3953392726099518</v>
      </c>
      <c r="J7" s="298">
        <v>1.7379039866007324</v>
      </c>
      <c r="K7" s="318">
        <v>0.6</v>
      </c>
      <c r="L7" s="3">
        <v>1.32632156397018</v>
      </c>
      <c r="M7" s="3">
        <v>1.7403104592673873</v>
      </c>
      <c r="N7" s="318">
        <v>0.8</v>
      </c>
      <c r="W7"/>
      <c r="X7"/>
      <c r="AG7" s="319"/>
      <c r="AI7" s="334" t="s">
        <v>57</v>
      </c>
      <c r="AJ7" s="126">
        <v>0.77274093393218368</v>
      </c>
      <c r="AK7" s="126">
        <v>1.7433182557378746</v>
      </c>
      <c r="AL7" s="335">
        <v>1</v>
      </c>
      <c r="AM7" s="298">
        <v>1.4897780513006031</v>
      </c>
      <c r="AN7" s="298">
        <v>1.7411859583464393</v>
      </c>
      <c r="AO7" s="336">
        <v>2</v>
      </c>
      <c r="AP7" s="298">
        <v>2.1373940063546835</v>
      </c>
      <c r="AQ7" s="298">
        <v>1.7402641719234779</v>
      </c>
      <c r="AR7" s="337">
        <v>3</v>
      </c>
      <c r="AS7" s="3">
        <v>2.7175945333194611</v>
      </c>
      <c r="AT7" s="3">
        <v>1.7411416008338432</v>
      </c>
      <c r="AU7" s="335">
        <v>4</v>
      </c>
      <c r="AV7" s="339">
        <v>3.4485079998995918</v>
      </c>
      <c r="AW7" s="339">
        <v>1.4872995338557868</v>
      </c>
      <c r="AX7" s="335">
        <v>4</v>
      </c>
      <c r="AY7" s="339">
        <v>2.4075373741999604</v>
      </c>
      <c r="AZ7" s="339">
        <v>1.9538335634761395</v>
      </c>
      <c r="BA7" s="335">
        <v>4</v>
      </c>
      <c r="BB7" s="144"/>
      <c r="BC7" s="311"/>
      <c r="BD7" s="144"/>
      <c r="BE7" s="144"/>
      <c r="BF7" s="144"/>
      <c r="BG7" s="144"/>
      <c r="BH7" s="144"/>
      <c r="BI7" s="144"/>
      <c r="BJ7" s="144"/>
      <c r="BK7" s="144"/>
      <c r="BL7" s="144"/>
      <c r="BM7" s="311"/>
      <c r="BN7" s="144"/>
      <c r="BO7" s="144"/>
      <c r="BP7" s="144"/>
      <c r="BQ7" s="144"/>
      <c r="BR7" s="144"/>
      <c r="BS7" s="144"/>
      <c r="BT7" s="144"/>
      <c r="BU7" s="144"/>
      <c r="BV7" s="144"/>
    </row>
    <row r="8" spans="1:74">
      <c r="C8" s="110">
        <v>1.6056132230728195</v>
      </c>
      <c r="D8" s="110">
        <v>1.6527228314746436</v>
      </c>
      <c r="E8" s="298" t="s">
        <v>164</v>
      </c>
      <c r="F8" s="298">
        <v>1.2899682707323465</v>
      </c>
      <c r="G8" s="298">
        <v>1.6354265816357214</v>
      </c>
      <c r="H8" s="298" t="s">
        <v>164</v>
      </c>
      <c r="I8" s="298">
        <v>1.1726748111181637</v>
      </c>
      <c r="J8" s="298">
        <v>1.6321437774016383</v>
      </c>
      <c r="K8" s="298" t="s">
        <v>164</v>
      </c>
      <c r="L8" s="3">
        <v>1.0901637042457337</v>
      </c>
      <c r="M8" s="3">
        <v>1.6338944618914357</v>
      </c>
      <c r="N8" s="298" t="s">
        <v>164</v>
      </c>
      <c r="W8"/>
      <c r="X8"/>
      <c r="AG8" s="319"/>
      <c r="AJ8" s="126">
        <v>0.68124618572967588</v>
      </c>
      <c r="AK8" s="126">
        <v>1.6374535181067453</v>
      </c>
      <c r="AL8" s="296"/>
      <c r="AM8" s="298">
        <v>1.2899682707323465</v>
      </c>
      <c r="AN8" s="298">
        <v>1.6354265816357214</v>
      </c>
      <c r="AO8" s="297"/>
      <c r="AP8" s="298">
        <v>1.8107030079973268</v>
      </c>
      <c r="AQ8" s="298">
        <v>1.6344560391564991</v>
      </c>
      <c r="AR8" s="299"/>
      <c r="AS8" s="3">
        <v>2.2492549252272553</v>
      </c>
      <c r="AT8" s="3">
        <v>1.6349686386357574</v>
      </c>
      <c r="AU8" s="350">
        <v>2</v>
      </c>
      <c r="AV8" s="346">
        <v>3.2041360017372273</v>
      </c>
      <c r="AW8" s="347">
        <v>1.4794711266811684</v>
      </c>
      <c r="AX8" s="350">
        <v>1.5</v>
      </c>
      <c r="AY8" s="346">
        <v>1.878799553311072</v>
      </c>
      <c r="AZ8" s="347">
        <v>1.7542646666459776</v>
      </c>
      <c r="BA8" s="348">
        <v>2.5</v>
      </c>
      <c r="BB8" s="144"/>
      <c r="BC8" s="311"/>
      <c r="BD8" s="310"/>
      <c r="BE8" s="310"/>
      <c r="BF8" s="310"/>
      <c r="BG8" s="144"/>
      <c r="BH8" s="144"/>
      <c r="BI8" s="144"/>
      <c r="BJ8" s="144"/>
      <c r="BK8" s="144"/>
      <c r="BL8" s="144"/>
      <c r="BM8" s="311"/>
      <c r="BN8" s="310"/>
      <c r="BO8" s="310"/>
      <c r="BP8" s="310"/>
      <c r="BQ8" s="144"/>
      <c r="BR8" s="144"/>
      <c r="BS8" s="144"/>
      <c r="BT8" s="144"/>
      <c r="BU8" s="144"/>
      <c r="BV8" s="144"/>
    </row>
    <row r="9" spans="1:74">
      <c r="B9" t="s">
        <v>166</v>
      </c>
      <c r="C9" s="110">
        <v>1.4957251233424351</v>
      </c>
      <c r="D9" s="110">
        <v>1.5549267743645991</v>
      </c>
      <c r="E9" s="42">
        <v>-2</v>
      </c>
      <c r="F9" s="298">
        <v>1.1199883051797344</v>
      </c>
      <c r="G9" s="298">
        <v>1.5429838572310519</v>
      </c>
      <c r="H9" s="42">
        <v>-4.37</v>
      </c>
      <c r="I9" s="298">
        <v>0.99074652780370065</v>
      </c>
      <c r="J9" s="298">
        <v>1.5407196980445754</v>
      </c>
      <c r="K9" s="42">
        <v>-7.59</v>
      </c>
      <c r="L9" s="3">
        <v>0.90323168645213836</v>
      </c>
      <c r="M9" s="3">
        <v>1.5415047140864266</v>
      </c>
      <c r="N9" s="42">
        <v>-11.4</v>
      </c>
      <c r="W9"/>
      <c r="X9"/>
      <c r="AG9" s="319"/>
      <c r="AJ9" s="126">
        <v>0.60204731743764595</v>
      </c>
      <c r="AK9" s="126">
        <v>1.5443578204820918</v>
      </c>
      <c r="AL9" s="326"/>
      <c r="AM9" s="298">
        <v>1.1199883051797344</v>
      </c>
      <c r="AN9" s="298">
        <v>1.5429838572310519</v>
      </c>
      <c r="AO9" s="323"/>
      <c r="AP9" s="298">
        <v>1.5386457329575713</v>
      </c>
      <c r="AQ9" s="298">
        <v>1.5422868552668765</v>
      </c>
      <c r="AR9" s="322"/>
      <c r="AS9" s="3">
        <v>1.8681898075743164</v>
      </c>
      <c r="AT9" s="3">
        <v>1.5424206523916202</v>
      </c>
      <c r="AU9" s="351" t="s">
        <v>51</v>
      </c>
      <c r="AV9" s="196">
        <v>2.9785336921600214</v>
      </c>
      <c r="AW9" s="228">
        <v>1.4709067306693107</v>
      </c>
      <c r="AX9" s="351" t="s">
        <v>51</v>
      </c>
      <c r="AY9" s="196">
        <v>1.4746119942635985</v>
      </c>
      <c r="AZ9" s="228">
        <v>1.5926327000251181</v>
      </c>
      <c r="BA9" s="349" t="s">
        <v>51</v>
      </c>
      <c r="BB9" s="305"/>
      <c r="BC9" s="7"/>
      <c r="BD9" s="144"/>
      <c r="BE9" s="144"/>
      <c r="BF9" s="305"/>
      <c r="BG9" s="144"/>
      <c r="BH9" s="144"/>
      <c r="BI9" s="305"/>
      <c r="BJ9" s="144"/>
      <c r="BK9" s="144"/>
      <c r="BL9" s="305"/>
      <c r="BM9" s="7"/>
      <c r="BN9" s="144"/>
      <c r="BO9" s="144"/>
      <c r="BP9" s="305"/>
      <c r="BQ9" s="144"/>
      <c r="BR9" s="144"/>
      <c r="BS9" s="305"/>
      <c r="BT9" s="144"/>
      <c r="BU9" s="144"/>
      <c r="BV9" s="305"/>
    </row>
    <row r="10" spans="1:74">
      <c r="C10" s="110">
        <v>1.3951590203577817</v>
      </c>
      <c r="D10" s="110">
        <v>1.464963672548639</v>
      </c>
      <c r="E10" s="42" t="s">
        <v>165</v>
      </c>
      <c r="F10" s="298">
        <v>0.97549183221698166</v>
      </c>
      <c r="G10" s="298">
        <v>1.4622725953237117</v>
      </c>
      <c r="H10" s="42" t="s">
        <v>165</v>
      </c>
      <c r="I10" s="298">
        <v>0.8422913800753451</v>
      </c>
      <c r="J10" s="298">
        <v>1.4619340810125196</v>
      </c>
      <c r="K10" s="298" t="s">
        <v>165</v>
      </c>
      <c r="L10" s="3">
        <v>0.75549993062641518</v>
      </c>
      <c r="M10" s="3">
        <v>1.4618128413732856</v>
      </c>
      <c r="N10" s="298" t="s">
        <v>165</v>
      </c>
      <c r="W10"/>
      <c r="X10"/>
      <c r="AG10" s="319"/>
      <c r="AJ10" s="126">
        <v>0.53357460365211729</v>
      </c>
      <c r="AK10" s="126">
        <v>1.462586497793583</v>
      </c>
      <c r="AL10" s="326"/>
      <c r="AM10" s="298">
        <v>0.97549183221698166</v>
      </c>
      <c r="AN10" s="298">
        <v>1.4622725953237117</v>
      </c>
      <c r="AO10" s="323"/>
      <c r="AP10" s="298">
        <v>1.3121927297222995</v>
      </c>
      <c r="AQ10" s="298">
        <v>1.4621610221038943</v>
      </c>
      <c r="AR10" s="299"/>
      <c r="AS10" s="3">
        <v>1.5582282163853396</v>
      </c>
      <c r="AT10" s="3">
        <v>1.4620931510961137</v>
      </c>
      <c r="AU10" s="338"/>
      <c r="AV10" s="196">
        <v>2.7702485511547739</v>
      </c>
      <c r="AW10" s="196">
        <v>1.4617645570612408</v>
      </c>
      <c r="AX10" s="7"/>
      <c r="AY10" s="196">
        <v>1.1660490651463182</v>
      </c>
      <c r="AZ10" s="196">
        <v>1.4622044700846459</v>
      </c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</row>
    <row r="11" spans="1:74">
      <c r="B11" t="s">
        <v>167</v>
      </c>
      <c r="C11" s="96">
        <v>1.3914157986100095</v>
      </c>
      <c r="D11" s="96">
        <v>1.4616059968409485</v>
      </c>
      <c r="E11" s="42">
        <v>0</v>
      </c>
      <c r="F11" s="298">
        <v>0.97431464056774231</v>
      </c>
      <c r="G11" s="298">
        <v>1.4616059968409476</v>
      </c>
      <c r="H11" s="42">
        <v>1.64</v>
      </c>
      <c r="I11" s="298">
        <v>0.84169001691482959</v>
      </c>
      <c r="J11" s="298">
        <v>1.4616059968409481</v>
      </c>
      <c r="K11" s="318">
        <v>2.4300000000000002</v>
      </c>
      <c r="L11" s="3">
        <v>0.75513292451300384</v>
      </c>
      <c r="M11" s="3">
        <v>1.4616059968409472</v>
      </c>
      <c r="N11" s="318">
        <v>3.01</v>
      </c>
      <c r="W11"/>
      <c r="X11"/>
      <c r="AG11" s="319"/>
      <c r="AJ11" s="126">
        <v>0.53276027822736305</v>
      </c>
      <c r="AK11" s="126">
        <v>1.4616059968409472</v>
      </c>
      <c r="AL11" s="326"/>
      <c r="AM11" s="298">
        <v>0.97431464056774231</v>
      </c>
      <c r="AN11" s="298">
        <v>1.4616059968409476</v>
      </c>
      <c r="AO11" s="323"/>
      <c r="AP11" s="298">
        <v>1.3106581896287777</v>
      </c>
      <c r="AQ11" s="298">
        <v>1.4616059968409474</v>
      </c>
      <c r="AR11" s="328"/>
      <c r="AS11" s="3">
        <v>1.5564082710618012</v>
      </c>
      <c r="AT11" s="3">
        <v>1.4616059968409481</v>
      </c>
      <c r="AU11" s="345"/>
      <c r="AV11" s="196">
        <v>2.7668712108694602</v>
      </c>
      <c r="AW11" s="196">
        <v>1.4616059968409476</v>
      </c>
      <c r="AX11" s="7"/>
      <c r="AY11" s="196">
        <v>1.164672644998261</v>
      </c>
      <c r="AZ11" s="196">
        <v>1.4616059968409485</v>
      </c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4">
      <c r="C12" s="96">
        <v>1.2484838075298474</v>
      </c>
      <c r="D12" s="96">
        <v>1.3318800244760602</v>
      </c>
      <c r="F12" s="298">
        <v>0.74575352770416159</v>
      </c>
      <c r="G12" s="298">
        <v>1.3226503340259448</v>
      </c>
      <c r="I12" s="298">
        <v>0.65590010962592737</v>
      </c>
      <c r="J12" s="298">
        <v>1.3480755622924769</v>
      </c>
      <c r="K12" s="317" t="s">
        <v>168</v>
      </c>
      <c r="L12" s="3">
        <v>0.61753531396275319</v>
      </c>
      <c r="M12" s="3">
        <v>1.3730820723128627</v>
      </c>
      <c r="N12" s="317" t="s">
        <v>168</v>
      </c>
      <c r="W12"/>
      <c r="X12"/>
      <c r="AG12" s="319"/>
      <c r="AJ12" s="126">
        <v>0.42350600189798637</v>
      </c>
      <c r="AK12" s="126">
        <v>1.3242568647554982</v>
      </c>
      <c r="AM12" s="298">
        <v>0.74575352770416159</v>
      </c>
      <c r="AN12" s="298">
        <v>1.3226503340259448</v>
      </c>
      <c r="AP12" s="298">
        <v>0.97194561082046704</v>
      </c>
      <c r="AQ12" s="298">
        <v>1.325258005807036</v>
      </c>
      <c r="AR12" s="329"/>
      <c r="AS12" s="3">
        <v>1.1283961571685248</v>
      </c>
      <c r="AT12" s="3">
        <v>1.3292885714977807</v>
      </c>
      <c r="AU12" s="329"/>
      <c r="AV12" s="196">
        <v>1.8080135998617213</v>
      </c>
      <c r="AW12" s="196">
        <v>1.3705715280361512</v>
      </c>
      <c r="AX12" s="309"/>
      <c r="AY12" s="352">
        <v>0.8748139592772084</v>
      </c>
      <c r="AZ12" s="352">
        <v>1.323727680280687</v>
      </c>
      <c r="BA12" s="311"/>
      <c r="BB12" s="311"/>
      <c r="BC12" s="311"/>
      <c r="BD12" s="311"/>
      <c r="BE12" s="309"/>
      <c r="BF12" s="309"/>
      <c r="BG12" s="309"/>
      <c r="BH12" s="311"/>
      <c r="BI12" s="309"/>
      <c r="BJ12" s="309"/>
      <c r="BK12" s="309"/>
      <c r="BL12" s="311"/>
      <c r="BM12" s="311"/>
      <c r="BN12" s="311"/>
      <c r="BO12" s="309"/>
      <c r="BP12" s="309"/>
      <c r="BQ12" s="309"/>
      <c r="BR12" s="311"/>
      <c r="BS12" s="309"/>
      <c r="BT12" s="309"/>
      <c r="BU12" s="309"/>
      <c r="BV12" s="7"/>
    </row>
    <row r="13" spans="1:74">
      <c r="C13" s="96">
        <v>1.1227635021009608</v>
      </c>
      <c r="D13" s="96">
        <v>1.215035665499004</v>
      </c>
      <c r="F13" s="298">
        <v>0.57223939953897451</v>
      </c>
      <c r="G13" s="298">
        <v>1.201196899413703</v>
      </c>
      <c r="I13" s="298">
        <v>0.5102722060477789</v>
      </c>
      <c r="J13" s="298">
        <v>1.2374055370854704</v>
      </c>
      <c r="K13" s="317" t="s">
        <v>169</v>
      </c>
      <c r="L13" s="3">
        <v>0.50146092126045705</v>
      </c>
      <c r="M13" s="3">
        <v>1.277115382629832</v>
      </c>
      <c r="N13" s="317" t="s">
        <v>169</v>
      </c>
      <c r="W13"/>
      <c r="X13"/>
      <c r="AG13" s="319"/>
      <c r="AJ13" s="126">
        <v>0.3358614461734758</v>
      </c>
      <c r="AK13" s="126">
        <v>1.2037150594299422</v>
      </c>
      <c r="AM13" s="298">
        <v>0.57223939953897451</v>
      </c>
      <c r="AN13" s="298">
        <v>1.201196899413703</v>
      </c>
      <c r="AP13" s="298">
        <v>0.72499508986561412</v>
      </c>
      <c r="AQ13" s="298">
        <v>1.203671420905517</v>
      </c>
      <c r="AR13" s="329"/>
      <c r="AS13" s="3">
        <v>0.82475607117333682</v>
      </c>
      <c r="AT13" s="3">
        <v>1.2077797302286495</v>
      </c>
      <c r="AU13" s="329"/>
      <c r="AV13" s="196">
        <v>1.2010363218941429</v>
      </c>
      <c r="AW13" s="196">
        <v>1.2487666408994249</v>
      </c>
      <c r="AX13" s="7"/>
      <c r="AY13" s="196">
        <v>0.65987769310709254</v>
      </c>
      <c r="AZ13" s="196">
        <v>1.2021557866077861</v>
      </c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4">
      <c r="C14" s="96">
        <v>1.0123078735052724</v>
      </c>
      <c r="D14" s="96">
        <v>1.109917655294846</v>
      </c>
      <c r="F14" s="298">
        <v>0.44107067674026557</v>
      </c>
      <c r="G14" s="298">
        <v>1.0961751967187214</v>
      </c>
      <c r="I14" s="298">
        <v>0.39591961682736326</v>
      </c>
      <c r="J14" s="298">
        <v>1.1306294039088651</v>
      </c>
      <c r="L14" s="3">
        <v>0.40234470118902649</v>
      </c>
      <c r="M14" s="3">
        <v>1.1729909202985762</v>
      </c>
      <c r="W14"/>
      <c r="X14"/>
      <c r="AG14" s="319"/>
      <c r="AH14" s="144"/>
      <c r="AI14" s="144"/>
      <c r="AJ14" s="324">
        <v>0.2662290466081127</v>
      </c>
      <c r="AK14" s="324">
        <v>1.0986741849964525</v>
      </c>
      <c r="AL14" s="306"/>
      <c r="AM14" s="324">
        <v>0.44107067674026557</v>
      </c>
      <c r="AN14" s="324">
        <v>1.0961751967187214</v>
      </c>
      <c r="AO14" s="306"/>
      <c r="AP14" s="324">
        <v>0.54503110856260928</v>
      </c>
      <c r="AQ14" s="324">
        <v>1.0976683578440132</v>
      </c>
      <c r="AR14" s="306"/>
      <c r="AS14" s="324">
        <v>0.60892132009620492</v>
      </c>
      <c r="AT14" s="324">
        <v>1.1004480699241646</v>
      </c>
      <c r="AU14" s="306"/>
      <c r="AV14" s="196">
        <v>0.81217510981684327</v>
      </c>
      <c r="AW14" s="228">
        <v>1.1278832296371919</v>
      </c>
      <c r="AX14" s="144"/>
      <c r="AY14" s="228">
        <v>0.50081774708311877</v>
      </c>
      <c r="AZ14" s="228">
        <v>1.096689184474106</v>
      </c>
      <c r="BA14" s="144"/>
      <c r="BB14" s="306"/>
      <c r="BC14" s="7"/>
      <c r="BD14" s="144"/>
      <c r="BE14" s="144"/>
      <c r="BF14" s="144"/>
      <c r="BG14" s="144"/>
      <c r="BH14" s="144"/>
      <c r="BI14" s="144"/>
      <c r="BJ14" s="306"/>
      <c r="BK14" s="306"/>
      <c r="BL14" s="306"/>
      <c r="BM14" s="7"/>
      <c r="BN14" s="144"/>
      <c r="BO14" s="144"/>
      <c r="BP14" s="144"/>
      <c r="BQ14" s="144"/>
      <c r="BR14" s="144"/>
      <c r="BS14" s="144"/>
      <c r="BT14" s="306"/>
      <c r="BU14" s="306"/>
      <c r="BV14" s="306"/>
    </row>
    <row r="15" spans="1:74">
      <c r="C15" s="96">
        <v>0.91537829818652161</v>
      </c>
      <c r="D15" s="96">
        <v>1.0154636310867446</v>
      </c>
      <c r="F15" s="298">
        <v>0.34253654930988808</v>
      </c>
      <c r="G15" s="298">
        <v>1.006280829205346</v>
      </c>
      <c r="I15" s="298">
        <v>0.30635303143606663</v>
      </c>
      <c r="J15" s="298">
        <v>1.0281680300134821</v>
      </c>
      <c r="L15" s="3">
        <v>0.31693518619616834</v>
      </c>
      <c r="M15" s="3">
        <v>1.0586441151655475</v>
      </c>
      <c r="W15"/>
      <c r="X15"/>
      <c r="AG15" s="319"/>
      <c r="AH15" s="144"/>
      <c r="AI15" s="144"/>
      <c r="AJ15" s="324">
        <v>0.21154881563209216</v>
      </c>
      <c r="AK15" s="324">
        <v>1.0078908953699792</v>
      </c>
      <c r="AL15" s="306"/>
      <c r="AM15" s="324">
        <v>0.34253654930988808</v>
      </c>
      <c r="AN15" s="324">
        <v>1.006280829205346</v>
      </c>
      <c r="AO15" s="306"/>
      <c r="AP15" s="324">
        <v>0.41425397250311979</v>
      </c>
      <c r="AQ15" s="324">
        <v>1.0068296628345523</v>
      </c>
      <c r="AR15" s="306"/>
      <c r="AS15" s="324">
        <v>0.45560623594930783</v>
      </c>
      <c r="AT15" s="324">
        <v>1.0080711191014355</v>
      </c>
      <c r="AU15" s="306"/>
      <c r="AV15" s="196">
        <v>0.5612669269806223</v>
      </c>
      <c r="AW15" s="228">
        <v>1.0204051816219126</v>
      </c>
      <c r="AX15" s="144"/>
      <c r="AY15" s="228">
        <v>0.38360464623986923</v>
      </c>
      <c r="AZ15" s="228">
        <v>1.0064235430975419</v>
      </c>
      <c r="BA15" s="144"/>
      <c r="BB15" s="306"/>
      <c r="BC15" s="7"/>
      <c r="BD15" s="144"/>
      <c r="BE15" s="144"/>
      <c r="BF15" s="144"/>
      <c r="BG15" s="144"/>
      <c r="BH15" s="144"/>
      <c r="BI15" s="144"/>
      <c r="BJ15" s="306"/>
      <c r="BK15" s="306"/>
      <c r="BL15" s="306"/>
      <c r="BM15" s="7"/>
      <c r="BN15" s="144"/>
      <c r="BO15" s="144"/>
      <c r="BP15" s="144"/>
      <c r="BQ15" s="144"/>
      <c r="BR15" s="144"/>
      <c r="BS15" s="144"/>
      <c r="BT15" s="306"/>
      <c r="BU15" s="306"/>
      <c r="BV15" s="306"/>
    </row>
    <row r="16" spans="1:74">
      <c r="C16" s="96">
        <v>0.83042317964999024</v>
      </c>
      <c r="D16" s="96">
        <v>0.93069751973707993</v>
      </c>
      <c r="F16" s="298">
        <v>0.26916538782504273</v>
      </c>
      <c r="G16" s="298">
        <v>0.93012741271816513</v>
      </c>
      <c r="I16" s="298">
        <v>0.23678559045955772</v>
      </c>
      <c r="J16" s="298">
        <v>0.93011394550379167</v>
      </c>
      <c r="L16" s="3">
        <v>0.24297461148739496</v>
      </c>
      <c r="M16" s="3">
        <v>0.93013502236403145</v>
      </c>
      <c r="W16"/>
      <c r="X16"/>
      <c r="AG16" s="319"/>
      <c r="AH16" s="144"/>
      <c r="AI16" s="144"/>
      <c r="AJ16" s="324">
        <v>0.16921330895979758</v>
      </c>
      <c r="AK16" s="324">
        <v>0.93018439886221671</v>
      </c>
      <c r="AL16" s="306"/>
      <c r="AM16" s="324">
        <v>0.26916538782504273</v>
      </c>
      <c r="AN16" s="324">
        <v>0.93012741271816513</v>
      </c>
      <c r="AO16" s="306"/>
      <c r="AP16" s="324">
        <v>0.31974749004517244</v>
      </c>
      <c r="AQ16" s="324">
        <v>0.93011291341001956</v>
      </c>
      <c r="AR16" s="306"/>
      <c r="AS16" s="324">
        <v>0.34710406308132802</v>
      </c>
      <c r="AT16" s="324">
        <v>0.93010723309304444</v>
      </c>
      <c r="AU16" s="306"/>
      <c r="AV16" s="196">
        <v>0.39905446272390943</v>
      </c>
      <c r="AW16" s="228">
        <v>0.9300982351258188</v>
      </c>
      <c r="AX16" s="144"/>
      <c r="AY16" s="228">
        <v>0.29781677869910406</v>
      </c>
      <c r="AZ16" s="228">
        <v>0.93011783401296622</v>
      </c>
      <c r="BA16" s="144"/>
      <c r="BB16" s="306"/>
      <c r="BC16" s="7"/>
      <c r="BD16" s="144"/>
      <c r="BE16" s="144"/>
      <c r="BF16" s="144"/>
      <c r="BG16" s="144"/>
      <c r="BH16" s="144"/>
      <c r="BI16" s="144"/>
      <c r="BJ16" s="306"/>
      <c r="BK16" s="306"/>
      <c r="BL16" s="306"/>
      <c r="BM16" s="7"/>
      <c r="BN16" s="144"/>
      <c r="BO16" s="144"/>
      <c r="BP16" s="144"/>
      <c r="BQ16" s="144"/>
      <c r="BR16" s="144"/>
      <c r="BS16" s="144"/>
      <c r="BT16" s="306"/>
      <c r="BU16" s="306"/>
      <c r="BV16" s="306"/>
    </row>
    <row r="17" spans="1:74">
      <c r="C17" s="129">
        <v>0.82975155074701479</v>
      </c>
      <c r="D17" s="129">
        <v>0.93001918678854101</v>
      </c>
      <c r="F17" s="298">
        <v>0.26906789478980486</v>
      </c>
      <c r="G17" s="298">
        <v>0.93001918678854134</v>
      </c>
      <c r="I17" s="298">
        <v>0.23672546013712714</v>
      </c>
      <c r="J17" s="298">
        <v>0.93001918678854045</v>
      </c>
      <c r="L17" s="3">
        <v>0.24291672898977906</v>
      </c>
      <c r="M17" s="3">
        <v>0.93001918678854067</v>
      </c>
      <c r="W17"/>
      <c r="X17"/>
      <c r="AG17" s="319"/>
      <c r="AH17" s="144"/>
      <c r="AI17" s="144"/>
      <c r="AJ17" s="324">
        <v>0.1691280339529343</v>
      </c>
      <c r="AK17" s="324">
        <v>0.93001918678854067</v>
      </c>
      <c r="AL17" s="306"/>
      <c r="AM17" s="324">
        <v>0.26906789478980486</v>
      </c>
      <c r="AN17" s="324">
        <v>0.93001918678854134</v>
      </c>
      <c r="AO17" s="306"/>
      <c r="AP17" s="324">
        <v>0.31964083558232348</v>
      </c>
      <c r="AQ17" s="324">
        <v>0.93001918678854067</v>
      </c>
      <c r="AR17" s="306"/>
      <c r="AS17" s="324">
        <v>0.34699188404782344</v>
      </c>
      <c r="AT17" s="324">
        <v>0.93001918678854079</v>
      </c>
      <c r="AU17" s="306"/>
      <c r="AV17" s="196">
        <v>0.39892918143944867</v>
      </c>
      <c r="AW17" s="228">
        <v>0.93001918678854067</v>
      </c>
      <c r="AX17" s="144"/>
      <c r="AY17" s="228">
        <v>0.2977137904779148</v>
      </c>
      <c r="AZ17" s="228">
        <v>0.93001918678854134</v>
      </c>
      <c r="BA17" s="144"/>
      <c r="BB17" s="306"/>
      <c r="BC17" s="7"/>
      <c r="BD17" s="144"/>
      <c r="BE17" s="144"/>
      <c r="BF17" s="144"/>
      <c r="BG17" s="144"/>
      <c r="BH17" s="144"/>
      <c r="BI17" s="144"/>
      <c r="BJ17" s="306"/>
      <c r="BK17" s="306"/>
      <c r="BL17" s="306"/>
      <c r="BM17" s="7"/>
      <c r="BN17" s="144"/>
      <c r="BO17" s="144"/>
      <c r="BP17" s="144"/>
      <c r="BQ17" s="144"/>
      <c r="BR17" s="144"/>
      <c r="BS17" s="144"/>
      <c r="BT17" s="306"/>
      <c r="BU17" s="306"/>
      <c r="BV17" s="306"/>
    </row>
    <row r="18" spans="1:74">
      <c r="A18" s="84"/>
      <c r="B18" s="84"/>
      <c r="C18" s="129">
        <v>0.77196460718457527</v>
      </c>
      <c r="D18" s="129">
        <v>0.87061314320806393</v>
      </c>
      <c r="F18" s="298">
        <v>0.23122581006860901</v>
      </c>
      <c r="G18" s="298">
        <v>0.88442474728771359</v>
      </c>
      <c r="I18" s="298">
        <v>0.21702144333561407</v>
      </c>
      <c r="J18" s="298">
        <v>0.89658444085686018</v>
      </c>
      <c r="L18" s="3">
        <v>0.22836209141931368</v>
      </c>
      <c r="M18" s="3">
        <v>0.89899295500636522</v>
      </c>
      <c r="W18"/>
      <c r="X18"/>
      <c r="AG18" s="319"/>
      <c r="AH18" s="144"/>
      <c r="AI18" s="144"/>
      <c r="AJ18" s="324">
        <v>0.14737893948204342</v>
      </c>
      <c r="AK18" s="324">
        <v>0.88500965474080251</v>
      </c>
      <c r="AL18" s="306"/>
      <c r="AM18" s="324">
        <v>0.23122581006860901</v>
      </c>
      <c r="AN18" s="324">
        <v>0.88442474728771359</v>
      </c>
      <c r="AO18" s="306"/>
      <c r="AP18" s="324">
        <v>0.2721966954213843</v>
      </c>
      <c r="AQ18" s="324">
        <v>0.88422531437306595</v>
      </c>
      <c r="AR18" s="306"/>
      <c r="AS18" s="324">
        <v>0.29420701444789832</v>
      </c>
      <c r="AT18" s="324">
        <v>0.88418433822909559</v>
      </c>
      <c r="AU18" s="306"/>
      <c r="AV18" s="196">
        <v>0.33448716798094952</v>
      </c>
      <c r="AW18" s="196">
        <v>0.88426141080785703</v>
      </c>
      <c r="AX18" s="7"/>
      <c r="AY18" s="196">
        <v>0.25402584256262967</v>
      </c>
      <c r="AZ18" s="196">
        <v>0.88428050072791231</v>
      </c>
      <c r="BA18" s="7"/>
      <c r="BB18" s="306"/>
      <c r="BC18" s="7"/>
      <c r="BD18" s="7"/>
      <c r="BE18" s="7"/>
      <c r="BF18" s="7"/>
      <c r="BG18" s="7"/>
      <c r="BH18" s="7"/>
      <c r="BI18" s="7"/>
      <c r="BJ18" s="306"/>
      <c r="BK18" s="306"/>
      <c r="BL18" s="306"/>
      <c r="BM18" s="7"/>
      <c r="BN18" s="7"/>
      <c r="BO18" s="7"/>
      <c r="BP18" s="7"/>
      <c r="BQ18" s="7"/>
      <c r="BR18" s="7"/>
      <c r="BS18" s="7"/>
      <c r="BT18" s="306"/>
      <c r="BU18" s="306"/>
      <c r="BV18" s="306"/>
    </row>
    <row r="19" spans="1:74">
      <c r="A19" s="84"/>
      <c r="B19" s="84"/>
      <c r="C19" s="129">
        <v>0.71884016503820392</v>
      </c>
      <c r="D19" s="129">
        <v>0.81401984122538584</v>
      </c>
      <c r="F19" s="298">
        <v>0.19706118661994043</v>
      </c>
      <c r="G19" s="298">
        <v>0.83570812630722879</v>
      </c>
      <c r="I19" s="298">
        <v>0.19681416442569133</v>
      </c>
      <c r="J19" s="298">
        <v>0.85660957151996986</v>
      </c>
      <c r="L19" s="3">
        <v>0.21261803167026574</v>
      </c>
      <c r="M19" s="3">
        <v>0.86074226129534359</v>
      </c>
      <c r="W19"/>
      <c r="X19"/>
      <c r="AG19" s="319"/>
      <c r="AH19" s="144"/>
      <c r="AI19" s="144"/>
      <c r="AJ19" s="324">
        <v>0.12705107728500956</v>
      </c>
      <c r="AK19" s="324">
        <v>0.83663414551301907</v>
      </c>
      <c r="AL19" s="306"/>
      <c r="AM19" s="324">
        <v>0.19706118661994043</v>
      </c>
      <c r="AN19" s="324">
        <v>0.83570812630722879</v>
      </c>
      <c r="AO19" s="306"/>
      <c r="AP19" s="324">
        <v>0.2302546421417338</v>
      </c>
      <c r="AQ19" s="324">
        <v>0.83532949755506802</v>
      </c>
      <c r="AR19" s="306"/>
      <c r="AS19" s="324">
        <v>0.24806331417752608</v>
      </c>
      <c r="AT19" s="324">
        <v>0.83520508114734771</v>
      </c>
      <c r="AU19" s="306"/>
      <c r="AV19" s="196">
        <v>0.27940215641038346</v>
      </c>
      <c r="AW19" s="196">
        <v>0.83513262543430899</v>
      </c>
      <c r="AX19" s="7"/>
      <c r="AY19" s="196">
        <v>0.21508727149045673</v>
      </c>
      <c r="AZ19" s="196">
        <v>0.83544733571291308</v>
      </c>
      <c r="BA19" s="7"/>
      <c r="BB19" s="306"/>
      <c r="BC19" s="7"/>
      <c r="BD19" s="7"/>
      <c r="BE19" s="7"/>
      <c r="BF19" s="7"/>
      <c r="BG19" s="7"/>
      <c r="BH19" s="7"/>
      <c r="BI19" s="7"/>
      <c r="BJ19" s="306"/>
      <c r="BK19" s="306"/>
      <c r="BL19" s="306"/>
      <c r="BM19" s="7"/>
      <c r="BN19" s="7"/>
      <c r="BO19" s="7"/>
      <c r="BP19" s="7"/>
      <c r="BQ19" s="7"/>
      <c r="BR19" s="7"/>
      <c r="BS19" s="7"/>
      <c r="BT19" s="306"/>
      <c r="BU19" s="306"/>
      <c r="BV19" s="306"/>
    </row>
    <row r="20" spans="1:74">
      <c r="A20" s="84"/>
      <c r="B20" s="84"/>
      <c r="C20" s="129">
        <v>0.67004941866820911</v>
      </c>
      <c r="D20" s="129">
        <v>0.76015409437222647</v>
      </c>
      <c r="F20" s="298">
        <v>0.16617394297931884</v>
      </c>
      <c r="G20" s="298">
        <v>0.78304233720895833</v>
      </c>
      <c r="I20" s="298">
        <v>0.17583343957199496</v>
      </c>
      <c r="J20" s="298">
        <v>0.80746570212942559</v>
      </c>
      <c r="L20" s="3">
        <v>0.1953347730088571</v>
      </c>
      <c r="M20" s="3">
        <v>0.81223501650661434</v>
      </c>
      <c r="W20"/>
      <c r="X20"/>
      <c r="AG20" s="319"/>
      <c r="AH20" s="144"/>
      <c r="AI20" s="144"/>
      <c r="AJ20" s="324">
        <v>0.10811155352271175</v>
      </c>
      <c r="AK20" s="324">
        <v>0.78401079325832512</v>
      </c>
      <c r="AL20" s="306"/>
      <c r="AM20" s="324">
        <v>0.16617394297931884</v>
      </c>
      <c r="AN20" s="324">
        <v>0.78304233720895833</v>
      </c>
      <c r="AO20" s="306"/>
      <c r="AP20" s="324">
        <v>0.19301384632390448</v>
      </c>
      <c r="AQ20" s="324">
        <v>0.78259548093564724</v>
      </c>
      <c r="AR20" s="306"/>
      <c r="AS20" s="324">
        <v>0.207481010014613</v>
      </c>
      <c r="AT20" s="324">
        <v>0.78241798923557515</v>
      </c>
      <c r="AU20" s="306"/>
      <c r="AV20" s="196">
        <v>0.23186732713876115</v>
      </c>
      <c r="AW20" s="196">
        <v>0.78218814162412853</v>
      </c>
      <c r="AX20" s="7"/>
      <c r="AY20" s="196"/>
      <c r="AZ20" s="196"/>
      <c r="BA20" s="7"/>
      <c r="BB20" s="306"/>
      <c r="BC20" s="7"/>
      <c r="BD20" s="7"/>
      <c r="BE20" s="7"/>
      <c r="BF20" s="7"/>
      <c r="BG20" s="7"/>
      <c r="BH20" s="7"/>
      <c r="BI20" s="7"/>
      <c r="BJ20" s="306"/>
      <c r="BK20" s="306"/>
      <c r="BL20" s="306"/>
      <c r="BM20" s="7"/>
      <c r="BN20" s="7"/>
      <c r="BO20" s="7"/>
      <c r="BP20" s="7"/>
      <c r="BQ20" s="7"/>
      <c r="BR20" s="7"/>
      <c r="BS20" s="7"/>
      <c r="BT20" s="306"/>
      <c r="BU20" s="306"/>
      <c r="BV20" s="306"/>
    </row>
    <row r="21" spans="1:74">
      <c r="A21" s="84"/>
      <c r="B21" s="84"/>
      <c r="C21" s="129">
        <v>0.62528581614940348</v>
      </c>
      <c r="D21" s="129">
        <v>0.70893173811206722</v>
      </c>
      <c r="F21" s="298">
        <v>0.13827480852702806</v>
      </c>
      <c r="G21" s="298">
        <v>0.72516987713149195</v>
      </c>
      <c r="I21" s="298">
        <v>0.15371615235126113</v>
      </c>
      <c r="J21" s="298">
        <v>0.7447211686100903</v>
      </c>
      <c r="L21" s="3">
        <v>0.17600621756464724</v>
      </c>
      <c r="M21" s="3">
        <v>0.74840790319685879</v>
      </c>
      <c r="W21"/>
      <c r="X21"/>
      <c r="AG21" s="319"/>
      <c r="AH21" s="144"/>
      <c r="AI21" s="144"/>
      <c r="AJ21" s="324">
        <v>9.0557614219338445E-2</v>
      </c>
      <c r="AK21" s="324">
        <v>0.72584944397858142</v>
      </c>
      <c r="AL21" s="306"/>
      <c r="AM21" s="324">
        <v>0.13827480852702806</v>
      </c>
      <c r="AN21" s="324">
        <v>0.72516987713149195</v>
      </c>
      <c r="AO21" s="306"/>
      <c r="AP21" s="324">
        <v>0.15988338089983845</v>
      </c>
      <c r="AQ21" s="324">
        <v>0.72482851693670813</v>
      </c>
      <c r="AR21" s="306"/>
      <c r="AS21" s="324">
        <v>0.1716650808193588</v>
      </c>
      <c r="AT21" s="324">
        <v>0.72467764104559884</v>
      </c>
      <c r="AU21" s="306"/>
      <c r="AV21" s="196"/>
      <c r="AW21" s="196"/>
      <c r="AX21" s="7"/>
      <c r="AY21" s="196"/>
      <c r="AZ21" s="196"/>
      <c r="BA21" s="7"/>
      <c r="BB21" s="306"/>
      <c r="BC21" s="7"/>
      <c r="BD21" s="7"/>
      <c r="BE21" s="7"/>
      <c r="BF21" s="7"/>
      <c r="BG21" s="7"/>
      <c r="BH21" s="7"/>
      <c r="BI21" s="7"/>
      <c r="BJ21" s="306"/>
      <c r="BK21" s="306"/>
      <c r="BL21" s="306"/>
      <c r="BM21" s="7"/>
      <c r="BN21" s="7"/>
      <c r="BO21" s="7"/>
      <c r="BP21" s="7"/>
      <c r="BQ21" s="7"/>
      <c r="BR21" s="7"/>
      <c r="BS21" s="7"/>
      <c r="BT21" s="306"/>
      <c r="BU21" s="306"/>
      <c r="BV21" s="306"/>
    </row>
    <row r="22" spans="1:74">
      <c r="A22" s="84"/>
      <c r="B22" s="84"/>
      <c r="C22" s="129">
        <v>0.58426344112185769</v>
      </c>
      <c r="D22" s="129">
        <v>0.66026977846928547</v>
      </c>
      <c r="F22" s="298">
        <v>0.11318589908763219</v>
      </c>
      <c r="G22" s="298">
        <v>0.66008932461617897</v>
      </c>
      <c r="I22" s="298">
        <v>0.12993134956675351</v>
      </c>
      <c r="J22" s="298">
        <v>0.66015938567539023</v>
      </c>
      <c r="L22" s="3">
        <v>0.15385360601167802</v>
      </c>
      <c r="M22" s="3">
        <v>0.66008788346980929</v>
      </c>
      <c r="W22"/>
      <c r="X22"/>
      <c r="AG22" s="319"/>
      <c r="AH22" s="144"/>
      <c r="AI22" s="144"/>
      <c r="AJ22" s="324">
        <v>7.4425785683583531E-2</v>
      </c>
      <c r="AK22" s="324">
        <v>0.66013817838640143</v>
      </c>
      <c r="AL22" s="306"/>
      <c r="AM22" s="324">
        <v>0.11318589908763219</v>
      </c>
      <c r="AN22" s="324">
        <v>0.66008932461617897</v>
      </c>
      <c r="AO22" s="306"/>
      <c r="AP22" s="324">
        <v>0.13046033273065821</v>
      </c>
      <c r="AQ22" s="324">
        <v>0.66007703583354516</v>
      </c>
      <c r="AR22" s="306"/>
      <c r="AS22" s="324">
        <v>0.14006322271544297</v>
      </c>
      <c r="AT22" s="324">
        <v>0.66007237131873908</v>
      </c>
      <c r="AU22" s="306"/>
      <c r="AV22" s="196"/>
      <c r="AW22" s="196"/>
      <c r="AX22" s="7"/>
      <c r="AY22" s="196"/>
      <c r="AZ22" s="196"/>
      <c r="BA22" s="7"/>
      <c r="BB22" s="7"/>
      <c r="BC22" s="7"/>
      <c r="BD22" s="7"/>
      <c r="BE22" s="7"/>
      <c r="BF22" s="7"/>
      <c r="BG22" s="7"/>
      <c r="BH22" s="30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</row>
    <row r="23" spans="1:74">
      <c r="A23" s="84"/>
      <c r="B23" s="84"/>
      <c r="C23" s="131">
        <v>0.58404292623613319</v>
      </c>
      <c r="D23" s="131">
        <v>0.66000334397619986</v>
      </c>
      <c r="F23" s="298">
        <v>0.11315663425561727</v>
      </c>
      <c r="G23" s="298">
        <v>0.66000334397619942</v>
      </c>
      <c r="I23" s="298">
        <v>0.12989269995541924</v>
      </c>
      <c r="J23" s="298">
        <v>0.66000390632805828</v>
      </c>
      <c r="L23" s="3">
        <v>0.153803787625239</v>
      </c>
      <c r="M23" s="3">
        <v>0.65986824421071677</v>
      </c>
      <c r="W23"/>
      <c r="X23"/>
      <c r="AG23" s="319"/>
      <c r="AH23" s="144"/>
      <c r="AI23" s="144"/>
      <c r="AJ23" s="324">
        <v>7.4396328583176088E-2</v>
      </c>
      <c r="AK23" s="324">
        <v>0.6600033439761992</v>
      </c>
      <c r="AL23" s="306"/>
      <c r="AM23" s="324">
        <v>0.11315663425561727</v>
      </c>
      <c r="AN23" s="324">
        <v>0.66000334397619942</v>
      </c>
      <c r="AO23" s="306"/>
      <c r="AP23" s="324">
        <v>0.13043088453380122</v>
      </c>
      <c r="AQ23" s="324">
        <v>0.66000334397619953</v>
      </c>
      <c r="AR23" s="306"/>
      <c r="AS23" s="324">
        <v>0.14003358492961179</v>
      </c>
      <c r="AT23" s="324">
        <v>0.66000334397619942</v>
      </c>
      <c r="AU23" s="306"/>
      <c r="AV23" s="196"/>
      <c r="AW23" s="196"/>
      <c r="AX23" s="7"/>
      <c r="AY23" s="196"/>
      <c r="AZ23" s="196"/>
      <c r="BA23" s="7"/>
      <c r="BB23" s="7"/>
      <c r="BC23" s="7"/>
      <c r="BD23" s="7"/>
      <c r="BE23" s="7"/>
      <c r="BF23" s="144"/>
      <c r="BG23" s="7"/>
      <c r="BH23" s="7"/>
      <c r="BI23" s="7"/>
      <c r="BJ23" s="7"/>
      <c r="BK23" s="7"/>
      <c r="BL23" s="144"/>
      <c r="BM23" s="7"/>
      <c r="BN23" s="7"/>
      <c r="BO23" s="7"/>
      <c r="BP23" s="7"/>
      <c r="BQ23" s="7"/>
      <c r="BR23" s="7"/>
      <c r="BS23" s="7"/>
      <c r="BT23" s="7"/>
      <c r="BU23" s="7"/>
      <c r="BV23" s="7"/>
    </row>
    <row r="24" spans="1:74">
      <c r="A24" s="85"/>
      <c r="B24" s="85"/>
      <c r="C24" s="131">
        <v>0.55663911178364145</v>
      </c>
      <c r="D24" s="131">
        <v>0.62617599428765158</v>
      </c>
      <c r="F24" s="298">
        <v>0.10664263383380958</v>
      </c>
      <c r="G24" s="298">
        <v>0.6396439948523539</v>
      </c>
      <c r="I24" s="298">
        <v>0.12487611477993604</v>
      </c>
      <c r="J24" s="298">
        <v>0.63887086810432059</v>
      </c>
      <c r="L24" s="3">
        <v>0.14890891728094477</v>
      </c>
      <c r="M24" s="3">
        <v>0.63746044344162001</v>
      </c>
      <c r="W24"/>
      <c r="X24"/>
      <c r="AG24" s="319"/>
      <c r="AH24" s="144"/>
      <c r="AI24" s="144"/>
      <c r="AJ24" s="324">
        <v>7.0159764306251232E-2</v>
      </c>
      <c r="AK24" s="324">
        <v>0.63944159940172141</v>
      </c>
      <c r="AL24" s="306"/>
      <c r="AM24" s="324">
        <v>0.10664263383380958</v>
      </c>
      <c r="AN24" s="324">
        <v>0.6396439948523539</v>
      </c>
      <c r="AO24" s="306"/>
      <c r="AP24" s="324">
        <v>0.12281195727093178</v>
      </c>
      <c r="AQ24" s="324">
        <v>0.63968574342314044</v>
      </c>
      <c r="AR24" s="306"/>
      <c r="AS24" s="324">
        <v>0.13185373146705415</v>
      </c>
      <c r="AT24" s="324">
        <v>0.6396838298476043</v>
      </c>
      <c r="AU24" s="306"/>
      <c r="AV24" s="196"/>
      <c r="AW24" s="196"/>
      <c r="AX24" s="7"/>
      <c r="AY24" s="196"/>
      <c r="AZ24" s="196"/>
      <c r="BA24" s="7"/>
      <c r="BB24" s="7"/>
      <c r="BC24" s="7"/>
      <c r="BD24" s="7"/>
      <c r="BE24" s="7"/>
      <c r="BF24" s="144"/>
      <c r="BG24" s="7"/>
      <c r="BH24" s="7"/>
      <c r="BI24" s="7"/>
      <c r="BJ24" s="7"/>
      <c r="BK24" s="7"/>
      <c r="BL24" s="144"/>
      <c r="BM24" s="7"/>
      <c r="BN24" s="7"/>
      <c r="BO24" s="7"/>
      <c r="BP24" s="7"/>
      <c r="BQ24" s="7"/>
      <c r="BR24" s="7"/>
      <c r="BS24" s="7"/>
      <c r="BT24" s="7"/>
      <c r="BU24" s="7"/>
      <c r="BV24" s="7"/>
    </row>
    <row r="25" spans="1:74">
      <c r="C25" s="131">
        <v>0.53039887622218651</v>
      </c>
      <c r="D25" s="131">
        <v>0.59235947879676187</v>
      </c>
      <c r="F25" s="298">
        <v>9.9717364445721449E-2</v>
      </c>
      <c r="G25" s="298">
        <v>0.61499256812831571</v>
      </c>
      <c r="I25" s="298">
        <v>0.11936961636006437</v>
      </c>
      <c r="J25" s="298">
        <v>0.61335869148417077</v>
      </c>
      <c r="L25" s="3">
        <v>0.14353156095719405</v>
      </c>
      <c r="M25" s="3">
        <v>0.61087942432980302</v>
      </c>
      <c r="W25"/>
      <c r="X25"/>
      <c r="AG25" s="319"/>
      <c r="AH25" s="144"/>
      <c r="AI25" s="144"/>
      <c r="AJ25" s="324">
        <v>6.5636956124927037E-2</v>
      </c>
      <c r="AK25" s="324">
        <v>0.61460540022765764</v>
      </c>
      <c r="AL25" s="306"/>
      <c r="AM25" s="324">
        <v>9.9717364445721449E-2</v>
      </c>
      <c r="AN25" s="324">
        <v>0.61499256812831571</v>
      </c>
      <c r="AO25" s="306"/>
      <c r="AP25" s="324">
        <v>0.11473600232653439</v>
      </c>
      <c r="AQ25" s="324">
        <v>0.61507621957380443</v>
      </c>
      <c r="AR25" s="306"/>
      <c r="AS25" s="324">
        <v>0.12319818695663096</v>
      </c>
      <c r="AT25" s="324">
        <v>0.61507528582162674</v>
      </c>
      <c r="AU25" s="306"/>
      <c r="AV25" s="196"/>
      <c r="AW25" s="196"/>
      <c r="AX25" s="7"/>
      <c r="AY25" s="196"/>
      <c r="AZ25" s="196"/>
      <c r="BA25" s="7"/>
      <c r="BB25" s="7"/>
      <c r="BC25" s="7"/>
      <c r="BD25" s="7"/>
      <c r="BE25" s="7"/>
      <c r="BF25" s="144"/>
      <c r="BG25" s="7"/>
      <c r="BH25" s="7"/>
      <c r="BI25" s="7"/>
      <c r="BJ25" s="7"/>
      <c r="BK25" s="7"/>
      <c r="BL25" s="144"/>
      <c r="BM25" s="7"/>
      <c r="BN25" s="7"/>
      <c r="BO25" s="7"/>
      <c r="BP25" s="7"/>
      <c r="BQ25" s="7"/>
      <c r="BR25" s="7"/>
      <c r="BS25" s="7"/>
      <c r="BT25" s="7"/>
      <c r="BU25" s="7"/>
      <c r="BV25" s="7"/>
    </row>
    <row r="26" spans="1:74">
      <c r="C26" s="131">
        <v>0.50528028588620399</v>
      </c>
      <c r="D26" s="131">
        <v>0.55854810467171812</v>
      </c>
      <c r="F26" s="298">
        <v>9.2272708012122145E-2</v>
      </c>
      <c r="G26" s="298">
        <v>0.58431306732801991</v>
      </c>
      <c r="I26" s="298">
        <v>0.11326348446904466</v>
      </c>
      <c r="J26" s="298">
        <v>0.58196116899673056</v>
      </c>
      <c r="L26" s="3">
        <v>0.13757685943958065</v>
      </c>
      <c r="M26" s="3">
        <v>0.5789085808678136</v>
      </c>
      <c r="W26"/>
      <c r="X26"/>
      <c r="AG26" s="319"/>
      <c r="AH26" s="7"/>
      <c r="AI26" s="7"/>
      <c r="AJ26" s="196">
        <v>6.0760005892471491E-2</v>
      </c>
      <c r="AK26" s="196">
        <v>0.58380821324623167</v>
      </c>
      <c r="AL26" s="7"/>
      <c r="AM26" s="196">
        <v>9.2272708012122145E-2</v>
      </c>
      <c r="AN26" s="196">
        <v>0.58431306732801991</v>
      </c>
      <c r="AO26" s="7"/>
      <c r="AP26" s="196">
        <v>0.10607540509916322</v>
      </c>
      <c r="AQ26" s="196">
        <v>0.58442719027916579</v>
      </c>
      <c r="AR26" s="7"/>
      <c r="AS26" s="196">
        <v>0.11392973687565293</v>
      </c>
      <c r="AT26" s="196">
        <v>0.58442923933588498</v>
      </c>
      <c r="AU26" s="7"/>
      <c r="AV26" s="196"/>
      <c r="AW26" s="196"/>
      <c r="AX26" s="7"/>
      <c r="AY26" s="196"/>
      <c r="AZ26" s="196"/>
      <c r="BA26" s="7"/>
      <c r="BB26" s="7"/>
      <c r="BC26" s="7"/>
      <c r="BD26" s="7"/>
      <c r="BE26" s="7"/>
      <c r="BF26" s="144"/>
      <c r="BG26" s="7"/>
      <c r="BH26" s="7"/>
      <c r="BI26" s="7"/>
      <c r="BJ26" s="7"/>
      <c r="BK26" s="7"/>
      <c r="BL26" s="144"/>
      <c r="BM26" s="7"/>
      <c r="BN26" s="7"/>
      <c r="BO26" s="7"/>
      <c r="BP26" s="7"/>
      <c r="BQ26" s="7"/>
      <c r="BR26" s="7"/>
      <c r="BS26" s="7"/>
      <c r="BT26" s="7"/>
      <c r="BU26" s="7"/>
      <c r="BV26" s="7"/>
    </row>
    <row r="27" spans="1:74">
      <c r="C27" s="131">
        <v>0.48124402799657784</v>
      </c>
      <c r="D27" s="131">
        <v>0.52473527090436733</v>
      </c>
      <c r="F27" s="298">
        <v>8.4154054737426071E-2</v>
      </c>
      <c r="G27" s="298">
        <v>0.54471299307162646</v>
      </c>
      <c r="I27" s="298">
        <v>0.1064078495088672</v>
      </c>
      <c r="J27" s="298">
        <v>0.54239704335363603</v>
      </c>
      <c r="L27" s="3">
        <v>0.13092092104174508</v>
      </c>
      <c r="M27" s="3">
        <v>0.53982410355594279</v>
      </c>
      <c r="W27"/>
      <c r="X27"/>
      <c r="AG27" s="319"/>
      <c r="AH27" s="7"/>
      <c r="AI27" s="7"/>
      <c r="AJ27" s="196">
        <v>5.5432093394782209E-2</v>
      </c>
      <c r="AK27" s="196">
        <v>0.54427240121255438</v>
      </c>
      <c r="AL27" s="7"/>
      <c r="AM27" s="196">
        <v>8.4154054737426071E-2</v>
      </c>
      <c r="AN27" s="196">
        <v>0.54471299307162646</v>
      </c>
      <c r="AO27" s="7"/>
      <c r="AP27" s="196">
        <v>9.6647994111864532E-2</v>
      </c>
      <c r="AQ27" s="196">
        <v>0.54481698301883763</v>
      </c>
      <c r="AR27" s="7"/>
      <c r="AS27" s="196">
        <v>0.10385289467073733</v>
      </c>
      <c r="AT27" s="196">
        <v>0.54482033422274301</v>
      </c>
      <c r="AU27" s="7"/>
      <c r="AV27" s="196"/>
      <c r="AW27" s="196"/>
      <c r="AX27" s="7"/>
      <c r="AY27" s="196"/>
      <c r="AZ27" s="196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</row>
    <row r="28" spans="1:74">
      <c r="C28" s="131">
        <v>0.45825327316387882</v>
      </c>
      <c r="D28" s="131">
        <v>0.49091347675920805</v>
      </c>
      <c r="F28" s="298">
        <v>7.5125726375983956E-2</v>
      </c>
      <c r="G28" s="298">
        <v>0.49093062464601023</v>
      </c>
      <c r="I28" s="298">
        <v>9.859049169334877E-2</v>
      </c>
      <c r="J28" s="298">
        <v>0.49104065828764104</v>
      </c>
      <c r="L28" s="3">
        <v>0.12339804878089401</v>
      </c>
      <c r="M28" s="3">
        <v>0.49110635123400703</v>
      </c>
      <c r="W28"/>
      <c r="X28"/>
      <c r="AG28" s="319"/>
      <c r="AH28" s="7"/>
      <c r="AI28" s="7"/>
      <c r="AJ28" s="196">
        <v>4.9506674172358031E-2</v>
      </c>
      <c r="AK28" s="196">
        <v>0.49102494639013461</v>
      </c>
      <c r="AL28" s="7"/>
      <c r="AM28" s="196">
        <v>7.5125726375983956E-2</v>
      </c>
      <c r="AN28" s="196">
        <v>0.49093062464601023</v>
      </c>
      <c r="AO28" s="7"/>
      <c r="AP28" s="196">
        <v>8.6176026558474311E-2</v>
      </c>
      <c r="AQ28" s="196">
        <v>0.49090643989371363</v>
      </c>
      <c r="AR28" s="7"/>
      <c r="AS28" s="196">
        <v>9.2669957340827974E-2</v>
      </c>
      <c r="AT28" s="196">
        <v>0.49089755391476753</v>
      </c>
      <c r="AU28" s="7"/>
      <c r="AV28" s="196"/>
      <c r="AW28" s="196"/>
      <c r="AX28" s="7"/>
      <c r="AY28" s="196"/>
      <c r="AZ28" s="196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</row>
    <row r="29" spans="1:74">
      <c r="C29" s="101">
        <v>0.45814605276080628</v>
      </c>
      <c r="D29" s="101">
        <v>0.49075210650337264</v>
      </c>
      <c r="F29" s="298">
        <v>7.5098856705437353E-2</v>
      </c>
      <c r="G29" s="298">
        <v>0.49075210526579482</v>
      </c>
      <c r="I29" s="298">
        <v>9.8549461757120815E-2</v>
      </c>
      <c r="J29" s="298">
        <v>0.49075210650337203</v>
      </c>
      <c r="L29" s="3">
        <v>0.12334605621339598</v>
      </c>
      <c r="M29" s="3">
        <v>0.4907521065033722</v>
      </c>
      <c r="W29"/>
      <c r="X29"/>
      <c r="AG29" s="319"/>
      <c r="AH29" s="7"/>
      <c r="AI29" s="7"/>
      <c r="AJ29" s="196">
        <v>4.9479330594227697E-2</v>
      </c>
      <c r="AK29" s="196">
        <v>0.4907521065007337</v>
      </c>
      <c r="AL29" s="7"/>
      <c r="AM29" s="196">
        <v>7.5098856705437353E-2</v>
      </c>
      <c r="AN29" s="196">
        <v>0.49075210526579482</v>
      </c>
      <c r="AO29" s="7"/>
      <c r="AP29" s="196">
        <v>8.6149265955833706E-2</v>
      </c>
      <c r="AQ29" s="196">
        <v>0.49075254136969149</v>
      </c>
      <c r="AR29" s="7"/>
      <c r="AS29" s="196">
        <v>9.2643203545959008E-2</v>
      </c>
      <c r="AT29" s="196">
        <v>0.49075336506203115</v>
      </c>
      <c r="AU29" s="7"/>
      <c r="AV29" s="196"/>
      <c r="AW29" s="196"/>
      <c r="AX29" s="7"/>
      <c r="AY29" s="196"/>
      <c r="AZ29" s="196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</row>
    <row r="30" spans="1:74">
      <c r="C30" s="101">
        <v>0.4434289536691477</v>
      </c>
      <c r="D30" s="101">
        <v>0.46810047534904664</v>
      </c>
      <c r="F30" s="298">
        <v>7.2826527900651764E-2</v>
      </c>
      <c r="G30" s="298">
        <v>0.47499171335269352</v>
      </c>
      <c r="I30" s="298">
        <v>9.6158769755583143E-2</v>
      </c>
      <c r="J30" s="298">
        <v>0.47340855954860311</v>
      </c>
      <c r="L30" s="3">
        <v>0.12074412839300859</v>
      </c>
      <c r="M30" s="3">
        <v>0.47256115051160841</v>
      </c>
      <c r="W30"/>
      <c r="X30"/>
      <c r="AG30" s="319"/>
      <c r="AH30" s="7"/>
      <c r="AI30" s="7"/>
      <c r="AJ30" s="196">
        <v>4.7955214465152912E-2</v>
      </c>
      <c r="AK30" s="196">
        <v>0.47488845878912678</v>
      </c>
      <c r="AL30" s="7"/>
      <c r="AM30" s="196">
        <v>7.2826527900651764E-2</v>
      </c>
      <c r="AN30" s="196">
        <v>0.47499171335269352</v>
      </c>
      <c r="AO30" s="7"/>
      <c r="AP30" s="196">
        <v>8.3530203423021282E-2</v>
      </c>
      <c r="AQ30" s="196">
        <v>0.47502332743065034</v>
      </c>
      <c r="AR30" s="7"/>
      <c r="AS30" s="196">
        <v>8.9850059583148678E-2</v>
      </c>
      <c r="AT30" s="196">
        <v>0.4750307746458895</v>
      </c>
      <c r="AU30" s="7"/>
      <c r="AV30" s="196"/>
      <c r="AW30" s="196"/>
      <c r="AX30" s="7"/>
      <c r="AY30" s="196"/>
      <c r="AZ30" s="196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</row>
    <row r="31" spans="1:74">
      <c r="C31" s="101">
        <v>0.42884492244326278</v>
      </c>
      <c r="D31" s="101">
        <v>0.4446190078894226</v>
      </c>
      <c r="F31" s="298">
        <v>7.0341392144411083E-2</v>
      </c>
      <c r="G31" s="298">
        <v>0.4561609340668823</v>
      </c>
      <c r="I31" s="298">
        <v>9.3558780286579657E-2</v>
      </c>
      <c r="J31" s="298">
        <v>0.45332396551591353</v>
      </c>
      <c r="L31" s="3">
        <v>0.11793270954200387</v>
      </c>
      <c r="M31" s="3">
        <v>0.4518617590304741</v>
      </c>
      <c r="W31"/>
      <c r="X31"/>
      <c r="AG31" s="319"/>
      <c r="AH31" s="7"/>
      <c r="AI31" s="7"/>
      <c r="AJ31" s="196">
        <v>4.6289395052053803E-2</v>
      </c>
      <c r="AK31" s="196">
        <v>0.45598295382469284</v>
      </c>
      <c r="AL31" s="7"/>
      <c r="AM31" s="196">
        <v>7.0341392144411083E-2</v>
      </c>
      <c r="AN31" s="196">
        <v>0.4561609340668823</v>
      </c>
      <c r="AO31" s="7"/>
      <c r="AP31" s="196">
        <v>8.0665953011904448E-2</v>
      </c>
      <c r="AQ31" s="196">
        <v>0.45621573478676775</v>
      </c>
      <c r="AR31" s="7"/>
      <c r="AS31" s="196">
        <v>8.679584737198788E-2</v>
      </c>
      <c r="AT31" s="196">
        <v>0.45622777941411935</v>
      </c>
      <c r="AU31" s="7"/>
      <c r="AV31" s="196"/>
      <c r="AW31" s="196"/>
      <c r="AX31" s="7"/>
      <c r="AY31" s="196"/>
      <c r="AZ31" s="196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</row>
    <row r="32" spans="1:74">
      <c r="C32" s="101">
        <v>0.41438491460600352</v>
      </c>
      <c r="D32" s="101">
        <v>0.4202417035902391</v>
      </c>
      <c r="F32" s="298">
        <v>6.7599423899444677E-2</v>
      </c>
      <c r="G32" s="298">
        <v>0.43327299320536711</v>
      </c>
      <c r="I32" s="298">
        <v>9.0715105896982673E-2</v>
      </c>
      <c r="J32" s="298">
        <v>0.42983758120085014</v>
      </c>
      <c r="L32" s="3">
        <v>0.11488200507944417</v>
      </c>
      <c r="M32" s="3">
        <v>0.42814337324275981</v>
      </c>
      <c r="W32"/>
      <c r="X32"/>
      <c r="AG32" s="319"/>
      <c r="AH32" s="7"/>
      <c r="AI32" s="7"/>
      <c r="AJ32" s="196">
        <v>4.445318509690175E-2</v>
      </c>
      <c r="AK32" s="196">
        <v>0.43307584223096268</v>
      </c>
      <c r="AL32" s="7"/>
      <c r="AM32" s="196">
        <v>6.7599423899444677E-2</v>
      </c>
      <c r="AN32" s="196">
        <v>0.43327299320536711</v>
      </c>
      <c r="AO32" s="7"/>
      <c r="AP32" s="196">
        <v>7.7505392667610334E-2</v>
      </c>
      <c r="AQ32" s="196">
        <v>0.43333488421702082</v>
      </c>
      <c r="AR32" s="7"/>
      <c r="AS32" s="196">
        <v>8.3425981832102439E-2</v>
      </c>
      <c r="AT32" s="196">
        <v>0.43334738086688895</v>
      </c>
      <c r="AU32" s="7"/>
      <c r="AV32" s="196"/>
      <c r="AW32" s="196"/>
      <c r="AX32" s="7"/>
      <c r="AY32" s="196"/>
      <c r="AZ32" s="196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</row>
    <row r="33" spans="3:74">
      <c r="C33" s="101">
        <v>0.40004002299820918</v>
      </c>
      <c r="D33" s="101">
        <v>0.39489424804551521</v>
      </c>
      <c r="F33" s="298">
        <v>6.4541604530753069E-2</v>
      </c>
      <c r="G33" s="298">
        <v>0.40486992851905057</v>
      </c>
      <c r="I33" s="298">
        <v>8.7584743771147416E-2</v>
      </c>
      <c r="J33" s="298">
        <v>0.40206616784840932</v>
      </c>
      <c r="L33" s="3">
        <v>0.11155596659689722</v>
      </c>
      <c r="M33" s="3">
        <v>0.40075394154382515</v>
      </c>
      <c r="W33"/>
      <c r="X33"/>
      <c r="AG33" s="319"/>
      <c r="AH33" s="7"/>
      <c r="AI33" s="7"/>
      <c r="AJ33" s="196">
        <v>4.2408317227349765E-2</v>
      </c>
      <c r="AK33" s="196">
        <v>0.40475844628066082</v>
      </c>
      <c r="AL33" s="7"/>
      <c r="AM33" s="196">
        <v>6.4541604530753069E-2</v>
      </c>
      <c r="AN33" s="196">
        <v>0.40486992851905057</v>
      </c>
      <c r="AO33" s="7"/>
      <c r="AP33" s="196">
        <v>7.3979887251603177E-2</v>
      </c>
      <c r="AQ33" s="196">
        <v>0.4049078482680063</v>
      </c>
      <c r="AR33" s="7"/>
      <c r="AS33" s="196">
        <v>7.9667149554644129E-2</v>
      </c>
      <c r="AT33" s="196">
        <v>0.40491271513804772</v>
      </c>
      <c r="AU33" s="7"/>
      <c r="AV33" s="196"/>
      <c r="AW33" s="196"/>
      <c r="AX33" s="7"/>
      <c r="AY33" s="196"/>
      <c r="AZ33" s="196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</row>
    <row r="34" spans="3:74">
      <c r="C34" s="101">
        <v>0.38580144910584685</v>
      </c>
      <c r="D34" s="101">
        <v>0.36849263670822324</v>
      </c>
      <c r="F34" s="298">
        <v>6.1086272150196637E-2</v>
      </c>
      <c r="G34" s="298">
        <v>0.36870434438802224</v>
      </c>
      <c r="I34" s="298">
        <v>8.4113050558092317E-2</v>
      </c>
      <c r="J34" s="298">
        <v>0.36880423716986799</v>
      </c>
      <c r="L34" s="3">
        <v>0.10791050098142549</v>
      </c>
      <c r="M34" s="3">
        <v>0.3688489432111054</v>
      </c>
      <c r="W34"/>
      <c r="X34"/>
      <c r="AG34" s="319"/>
      <c r="AH34" s="7"/>
      <c r="AI34" s="7"/>
      <c r="AJ34" s="196">
        <v>4.0102162812419705E-2</v>
      </c>
      <c r="AK34" s="196">
        <v>0.36887694709100816</v>
      </c>
      <c r="AL34" s="7"/>
      <c r="AM34" s="196">
        <v>6.1086272150196637E-2</v>
      </c>
      <c r="AN34" s="196">
        <v>0.36870434438802224</v>
      </c>
      <c r="AO34" s="7"/>
      <c r="AP34" s="196">
        <v>6.9994291991023153E-2</v>
      </c>
      <c r="AQ34" s="196">
        <v>0.36865846759213594</v>
      </c>
      <c r="AR34" s="7"/>
      <c r="AS34" s="196">
        <v>7.5417670618788291E-2</v>
      </c>
      <c r="AT34" s="196">
        <v>0.36864001638919297</v>
      </c>
      <c r="AU34" s="7"/>
      <c r="AV34" s="196"/>
      <c r="AW34" s="196"/>
      <c r="AX34" s="7"/>
      <c r="AY34" s="196"/>
      <c r="AZ34" s="196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</row>
    <row r="35" spans="3:74">
      <c r="C35" s="134">
        <v>0.38573186850342223</v>
      </c>
      <c r="D35" s="134">
        <v>0.36836040959449967</v>
      </c>
      <c r="F35" s="229">
        <v>6.1055416224026791E-2</v>
      </c>
      <c r="G35" s="23">
        <v>0.36836040959449856</v>
      </c>
      <c r="H35" s="28"/>
      <c r="I35" s="23">
        <v>8.4068538622578015E-2</v>
      </c>
      <c r="J35" s="235">
        <v>0.36836040959449956</v>
      </c>
      <c r="L35" s="3">
        <v>0.10785640944012506</v>
      </c>
      <c r="M35" s="3">
        <v>0.36836040959449917</v>
      </c>
      <c r="W35"/>
      <c r="X35"/>
      <c r="AG35" s="319"/>
      <c r="AH35" s="7"/>
      <c r="AI35" s="7"/>
      <c r="AJ35" s="196">
        <v>4.0070949696973057E-2</v>
      </c>
      <c r="AK35" s="196">
        <v>0.36836040959449373</v>
      </c>
      <c r="AL35" s="7"/>
      <c r="AM35" s="196">
        <v>6.1055416224026791E-2</v>
      </c>
      <c r="AN35" s="196">
        <v>0.36836040959449856</v>
      </c>
      <c r="AO35" s="7"/>
      <c r="AP35" s="196">
        <v>6.9963533738884504E-2</v>
      </c>
      <c r="AQ35" s="196">
        <v>0.36836040959449901</v>
      </c>
      <c r="AR35" s="7"/>
      <c r="AS35" s="196">
        <v>7.5386930328783117E-2</v>
      </c>
      <c r="AT35" s="196">
        <v>0.36836040959449901</v>
      </c>
      <c r="AU35" s="7"/>
      <c r="AV35" s="196"/>
      <c r="AW35" s="196"/>
      <c r="AX35" s="7"/>
      <c r="AY35" s="196"/>
      <c r="AZ35" s="196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</row>
    <row r="36" spans="3:74">
      <c r="C36" s="134">
        <v>0.37685081733192649</v>
      </c>
      <c r="D36" s="134">
        <v>0.35111378135377302</v>
      </c>
      <c r="F36" s="23">
        <v>5.9839715643654513E-2</v>
      </c>
      <c r="G36" s="23">
        <v>0.35438270131726196</v>
      </c>
      <c r="H36" s="28"/>
      <c r="I36" s="23">
        <v>8.2598588953604932E-2</v>
      </c>
      <c r="J36" s="23">
        <v>0.35335930300747659</v>
      </c>
      <c r="L36" s="3">
        <v>0.1061729102907206</v>
      </c>
      <c r="M36" s="3">
        <v>0.3528522502271666</v>
      </c>
      <c r="W36"/>
      <c r="X36"/>
      <c r="AG36" s="319"/>
      <c r="AH36" s="7"/>
      <c r="AI36" s="7"/>
      <c r="AJ36" s="196">
        <v>3.925066475466852E-2</v>
      </c>
      <c r="AK36" s="196">
        <v>0.35436025019215101</v>
      </c>
      <c r="AL36" s="7"/>
      <c r="AM36" s="196">
        <v>5.9839715643654513E-2</v>
      </c>
      <c r="AN36" s="196">
        <v>0.35438270131726196</v>
      </c>
      <c r="AO36" s="7"/>
      <c r="AP36" s="196">
        <v>6.8566083173893011E-2</v>
      </c>
      <c r="AQ36" s="196">
        <v>0.35439083452404707</v>
      </c>
      <c r="AR36" s="7"/>
      <c r="AS36" s="196">
        <v>7.3898283955263225E-2</v>
      </c>
      <c r="AT36" s="196">
        <v>0.35439185907597842</v>
      </c>
      <c r="AU36" s="7"/>
      <c r="AV36" s="196"/>
      <c r="AW36" s="196"/>
      <c r="AX36" s="7"/>
      <c r="AY36" s="196"/>
      <c r="AZ36" s="196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</row>
    <row r="37" spans="3:74">
      <c r="C37" s="134">
        <v>0.36783252007190703</v>
      </c>
      <c r="D37" s="134">
        <v>0.332820814989291</v>
      </c>
      <c r="F37" s="298">
        <v>5.8521465346407064E-2</v>
      </c>
      <c r="G37" s="298">
        <v>0.33825051423127062</v>
      </c>
      <c r="I37" s="298">
        <v>8.1021005747511768E-2</v>
      </c>
      <c r="J37" s="298">
        <v>0.33649967952210669</v>
      </c>
      <c r="L37" s="3">
        <v>0.10437737406696358</v>
      </c>
      <c r="M37" s="3">
        <v>0.33565284780662552</v>
      </c>
      <c r="W37"/>
      <c r="X37"/>
      <c r="AG37" s="319"/>
      <c r="AH37" s="7"/>
      <c r="AI37" s="7"/>
      <c r="AJ37" s="196">
        <v>3.8361849429268763E-2</v>
      </c>
      <c r="AK37" s="196">
        <v>0.33822837735446032</v>
      </c>
      <c r="AL37" s="7"/>
      <c r="AM37" s="196">
        <v>5.8521465346407064E-2</v>
      </c>
      <c r="AN37" s="196">
        <v>0.33825051423127062</v>
      </c>
      <c r="AO37" s="7"/>
      <c r="AP37" s="196">
        <v>6.7050487809497322E-2</v>
      </c>
      <c r="AQ37" s="196">
        <v>0.33826015840677687</v>
      </c>
      <c r="AR37" s="7"/>
      <c r="AS37" s="196">
        <v>7.2283748502738707E-2</v>
      </c>
      <c r="AT37" s="196">
        <v>0.33826014956179989</v>
      </c>
      <c r="AU37" s="7"/>
      <c r="AV37" s="196"/>
      <c r="AW37" s="196"/>
      <c r="AX37" s="7"/>
      <c r="AY37" s="196"/>
      <c r="AZ37" s="196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</row>
    <row r="38" spans="3:74">
      <c r="C38" s="134">
        <v>0.35866405733067741</v>
      </c>
      <c r="D38" s="134">
        <v>0.31337205803339724</v>
      </c>
      <c r="F38" s="298">
        <v>5.708426621334619E-2</v>
      </c>
      <c r="G38" s="298">
        <v>0.31945396146273569</v>
      </c>
      <c r="I38" s="298">
        <v>7.9322097721575072E-2</v>
      </c>
      <c r="J38" s="298">
        <v>0.31744451614757313</v>
      </c>
      <c r="L38" s="3">
        <v>0.10245731079447945</v>
      </c>
      <c r="M38" s="3">
        <v>0.3164978595148944</v>
      </c>
      <c r="W38"/>
      <c r="X38"/>
      <c r="AF38" s="295"/>
      <c r="AG38" s="320"/>
      <c r="AH38" s="7"/>
      <c r="AI38" s="7"/>
      <c r="AJ38" s="196">
        <v>3.7393692676884263E-2</v>
      </c>
      <c r="AK38" s="196">
        <v>0.3194669509319672</v>
      </c>
      <c r="AL38" s="7"/>
      <c r="AM38" s="196">
        <v>5.708426621334619E-2</v>
      </c>
      <c r="AN38" s="196">
        <v>0.31945396146273569</v>
      </c>
      <c r="AO38" s="7"/>
      <c r="AP38" s="196">
        <v>6.5397772744477056E-2</v>
      </c>
      <c r="AQ38" s="196">
        <v>0.31945486510872267</v>
      </c>
      <c r="AR38" s="7"/>
      <c r="AS38" s="196">
        <v>7.0523077726312194E-2</v>
      </c>
      <c r="AT38" s="196">
        <v>0.31945067958374895</v>
      </c>
      <c r="AU38" s="7"/>
      <c r="AV38" s="196"/>
      <c r="AW38" s="196"/>
      <c r="AX38" s="7"/>
      <c r="AY38" s="196"/>
      <c r="AZ38" s="196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</row>
    <row r="39" spans="3:74">
      <c r="C39" s="134">
        <v>0.34933127471780989</v>
      </c>
      <c r="D39" s="134">
        <v>0.29264143433266909</v>
      </c>
      <c r="F39" s="298">
        <v>5.5507686563201583E-2</v>
      </c>
      <c r="G39" s="298">
        <v>0.29731396689352185</v>
      </c>
      <c r="I39" s="298">
        <v>7.7485622904650567E-2</v>
      </c>
      <c r="J39" s="298">
        <v>0.29577424118167561</v>
      </c>
      <c r="L39" s="3">
        <v>0.10039823417804952</v>
      </c>
      <c r="M39" s="3">
        <v>0.29506803210172206</v>
      </c>
      <c r="W39"/>
      <c r="X39"/>
      <c r="AF39" s="295"/>
      <c r="AG39" s="320"/>
      <c r="AH39" s="7"/>
      <c r="AI39" s="7"/>
      <c r="AJ39" s="196">
        <v>3.6332761702695927E-2</v>
      </c>
      <c r="AK39" s="196">
        <v>0.29741528682010648</v>
      </c>
      <c r="AL39" s="7"/>
      <c r="AM39" s="196">
        <v>5.5507686563201583E-2</v>
      </c>
      <c r="AN39" s="196">
        <v>0.29731396689352185</v>
      </c>
      <c r="AO39" s="7"/>
      <c r="AP39" s="196">
        <v>6.3584277338631395E-2</v>
      </c>
      <c r="AQ39" s="196">
        <v>0.29729030324285094</v>
      </c>
      <c r="AR39" s="7"/>
      <c r="AS39" s="196">
        <v>6.8591019531614617E-2</v>
      </c>
      <c r="AT39" s="196">
        <v>0.2972771353170463</v>
      </c>
      <c r="AU39" s="7"/>
      <c r="AV39" s="196"/>
      <c r="AW39" s="196"/>
      <c r="AX39" s="7"/>
      <c r="AY39" s="196"/>
      <c r="AZ39" s="196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</row>
    <row r="40" spans="3:74">
      <c r="C40" s="134">
        <v>0.33981858650738467</v>
      </c>
      <c r="D40" s="134">
        <v>0.27048289615911919</v>
      </c>
      <c r="F40" s="298">
        <v>5.3765867093005897E-2</v>
      </c>
      <c r="G40" s="298">
        <v>0.27090734905059011</v>
      </c>
      <c r="I40" s="298">
        <v>7.5492145761867982E-2</v>
      </c>
      <c r="J40" s="298">
        <v>0.27096066997539436</v>
      </c>
      <c r="L40" s="3">
        <v>9.8183237090052208E-2</v>
      </c>
      <c r="M40" s="3">
        <v>0.27097471001467804</v>
      </c>
      <c r="W40"/>
      <c r="X40"/>
      <c r="AF40" s="295"/>
      <c r="AG40" s="320"/>
      <c r="AH40" s="7"/>
      <c r="AI40" s="7"/>
      <c r="AJ40" s="196">
        <v>3.5162108450978252E-2</v>
      </c>
      <c r="AK40" s="196">
        <v>0.2711788594051362</v>
      </c>
      <c r="AL40" s="7"/>
      <c r="AM40" s="196">
        <v>5.3765867093005897E-2</v>
      </c>
      <c r="AN40" s="196">
        <v>0.27090734905059011</v>
      </c>
      <c r="AO40" s="7"/>
      <c r="AP40" s="196">
        <v>6.158002679026827E-2</v>
      </c>
      <c r="AQ40" s="196">
        <v>0.27083455085034153</v>
      </c>
      <c r="AR40" s="7"/>
      <c r="AS40" s="196">
        <v>6.6455574007535115E-2</v>
      </c>
      <c r="AT40" s="196">
        <v>0.27080499448103035</v>
      </c>
      <c r="AU40" s="7"/>
      <c r="AV40" s="196"/>
      <c r="AW40" s="196"/>
      <c r="AX40" s="7"/>
      <c r="AY40" s="196"/>
      <c r="AZ40" s="196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</row>
    <row r="41" spans="3:74">
      <c r="C41" s="136">
        <v>0.33976368374121446</v>
      </c>
      <c r="D41" s="136">
        <v>0.27035186996590788</v>
      </c>
      <c r="F41" s="298">
        <v>5.3730665726754244E-2</v>
      </c>
      <c r="G41" s="298">
        <v>0.27035186996590804</v>
      </c>
      <c r="I41" s="298">
        <v>7.544457585246131E-2</v>
      </c>
      <c r="J41" s="298">
        <v>0.27035186996590732</v>
      </c>
      <c r="L41" s="3">
        <v>9.8127273875937893E-2</v>
      </c>
      <c r="M41" s="3">
        <v>0.2703518699659076</v>
      </c>
      <c r="W41"/>
      <c r="X41"/>
      <c r="AF41" s="295"/>
      <c r="AG41" s="320"/>
      <c r="AH41" s="7"/>
      <c r="AI41" s="7"/>
      <c r="AJ41" s="196">
        <v>3.5126648803748738E-2</v>
      </c>
      <c r="AK41" s="196">
        <v>0.27035186996591182</v>
      </c>
      <c r="AL41" s="7"/>
      <c r="AM41" s="196">
        <v>5.3730665726754244E-2</v>
      </c>
      <c r="AN41" s="196">
        <v>0.27035186996590804</v>
      </c>
      <c r="AO41" s="7"/>
      <c r="AP41" s="196">
        <v>6.1544899363543189E-2</v>
      </c>
      <c r="AQ41" s="196">
        <v>0.27035186996590799</v>
      </c>
      <c r="AR41" s="7"/>
      <c r="AS41" s="196">
        <v>6.6420461743740486E-2</v>
      </c>
      <c r="AT41" s="196">
        <v>0.27035186996590782</v>
      </c>
      <c r="AU41" s="7"/>
      <c r="AV41" s="196"/>
      <c r="AW41" s="196"/>
      <c r="AX41" s="7"/>
      <c r="AY41" s="196"/>
      <c r="AZ41" s="196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</row>
    <row r="42" spans="3:74">
      <c r="C42" s="136">
        <v>0.33364626102999195</v>
      </c>
      <c r="D42" s="136">
        <v>0.25544943365514067</v>
      </c>
      <c r="F42" s="298">
        <v>5.2914124976195992E-2</v>
      </c>
      <c r="G42" s="298">
        <v>0.25714679168466348</v>
      </c>
      <c r="I42" s="298">
        <v>7.4379587787976736E-2</v>
      </c>
      <c r="J42" s="298">
        <v>0.25645893470232312</v>
      </c>
      <c r="L42" s="3">
        <v>9.6868345729190855E-2</v>
      </c>
      <c r="M42" s="3">
        <v>0.25610611929671662</v>
      </c>
      <c r="R42" t="s">
        <v>48</v>
      </c>
      <c r="W42"/>
      <c r="X42"/>
      <c r="AF42" s="295"/>
      <c r="AG42" s="320"/>
      <c r="AH42" s="7"/>
      <c r="AI42" s="7"/>
      <c r="AJ42" s="196">
        <v>3.4575105974261167E-2</v>
      </c>
      <c r="AK42" s="196">
        <v>0.25716785908272721</v>
      </c>
      <c r="AL42" s="7"/>
      <c r="AM42" s="196">
        <v>5.2914124976195992E-2</v>
      </c>
      <c r="AN42" s="196">
        <v>0.25714679168466348</v>
      </c>
      <c r="AO42" s="7"/>
      <c r="AP42" s="196">
        <v>6.0606848374388296E-2</v>
      </c>
      <c r="AQ42" s="196">
        <v>0.25714226714140342</v>
      </c>
      <c r="AR42" s="7"/>
      <c r="AS42" s="196">
        <v>6.5421422429914208E-2</v>
      </c>
      <c r="AT42" s="196">
        <v>0.25713930775141591</v>
      </c>
      <c r="AU42" s="7"/>
      <c r="AV42" s="196"/>
      <c r="AW42" s="196"/>
      <c r="AX42" s="7"/>
      <c r="AY42" s="196"/>
      <c r="AZ42" s="196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</row>
    <row r="43" spans="3:74">
      <c r="C43" s="136">
        <v>0.32734086935702</v>
      </c>
      <c r="D43" s="136">
        <v>0.23944148017748257</v>
      </c>
      <c r="F43" s="298">
        <v>5.2037529307901023E-2</v>
      </c>
      <c r="G43" s="298">
        <v>0.24226903604477493</v>
      </c>
      <c r="I43" s="298">
        <v>7.3246774560703734E-2</v>
      </c>
      <c r="J43" s="298">
        <v>0.24111793698221046</v>
      </c>
      <c r="L43" s="3">
        <v>9.553631322880525E-2</v>
      </c>
      <c r="M43" s="3">
        <v>0.24053685877424219</v>
      </c>
      <c r="W43"/>
      <c r="X43"/>
      <c r="AF43" s="295"/>
      <c r="AG43" s="320"/>
      <c r="AH43" s="7"/>
      <c r="AI43" s="7"/>
      <c r="AJ43" s="196">
        <v>3.3983375674018219E-2</v>
      </c>
      <c r="AK43" s="196">
        <v>0.24233139919548102</v>
      </c>
      <c r="AL43" s="7"/>
      <c r="AM43" s="196">
        <v>5.2037529307901023E-2</v>
      </c>
      <c r="AN43" s="196">
        <v>0.24226903604477493</v>
      </c>
      <c r="AO43" s="7"/>
      <c r="AP43" s="196">
        <v>5.9599634919629552E-2</v>
      </c>
      <c r="AQ43" s="196">
        <v>0.24225418904268495</v>
      </c>
      <c r="AR43" s="7"/>
      <c r="AS43" s="196">
        <v>6.434867737953695E-2</v>
      </c>
      <c r="AT43" s="196">
        <v>0.2422462614867264</v>
      </c>
      <c r="AU43" s="7"/>
      <c r="AV43" s="196"/>
      <c r="AW43" s="196"/>
      <c r="AX43" s="7"/>
      <c r="AY43" s="196"/>
      <c r="AZ43" s="196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</row>
    <row r="44" spans="3:74">
      <c r="C44" s="136">
        <v>0.32083174851009599</v>
      </c>
      <c r="D44" s="136">
        <v>0.22219740021111989</v>
      </c>
      <c r="F44" s="298">
        <v>5.1093061949957122E-2</v>
      </c>
      <c r="G44" s="298">
        <v>0.22540513361184522</v>
      </c>
      <c r="I44" s="298">
        <v>7.203891902231345E-2</v>
      </c>
      <c r="J44" s="298">
        <v>0.22411276444797776</v>
      </c>
      <c r="L44" s="3">
        <v>9.4124263078567069E-2</v>
      </c>
      <c r="M44" s="3">
        <v>0.22347068061675063</v>
      </c>
      <c r="W44"/>
      <c r="X44"/>
      <c r="AF44" s="28"/>
      <c r="AG44" s="320"/>
      <c r="AH44" s="7"/>
      <c r="AI44" s="7"/>
      <c r="AJ44" s="196">
        <v>3.334628510476164E-2</v>
      </c>
      <c r="AK44" s="196">
        <v>0.22553626104020583</v>
      </c>
      <c r="AL44" s="7"/>
      <c r="AM44" s="196">
        <v>5.1093061949957122E-2</v>
      </c>
      <c r="AN44" s="196">
        <v>0.22540513361184522</v>
      </c>
      <c r="AO44" s="7"/>
      <c r="AP44" s="196">
        <v>5.851422634292712E-2</v>
      </c>
      <c r="AQ44" s="196">
        <v>0.22537203251170584</v>
      </c>
      <c r="AR44" s="7"/>
      <c r="AS44" s="196">
        <v>6.3192590044721858E-2</v>
      </c>
      <c r="AT44" s="196">
        <v>0.22535641981875337</v>
      </c>
      <c r="AU44" s="7"/>
      <c r="AV44" s="196"/>
      <c r="AW44" s="196"/>
      <c r="AX44" s="7"/>
      <c r="AY44" s="196"/>
      <c r="AZ44" s="196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</row>
    <row r="45" spans="3:74">
      <c r="C45" s="136">
        <v>0.31410125747651463</v>
      </c>
      <c r="D45" s="136">
        <v>0.20356496991423956</v>
      </c>
      <c r="F45" s="298">
        <v>5.0071398976448606E-2</v>
      </c>
      <c r="G45" s="298">
        <v>0.20616166973204486</v>
      </c>
      <c r="I45" s="298">
        <v>7.0747703744178644E-2</v>
      </c>
      <c r="J45" s="298">
        <v>0.20518450097406199</v>
      </c>
      <c r="L45" s="3">
        <v>9.2624359622202806E-2</v>
      </c>
      <c r="M45" s="3">
        <v>0.2047043718951907</v>
      </c>
      <c r="W45"/>
      <c r="X45"/>
      <c r="AF45" s="28"/>
      <c r="AG45" s="320"/>
      <c r="AH45" s="7"/>
      <c r="AI45" s="7"/>
      <c r="AJ45" s="196">
        <v>3.2657675572655954E-2</v>
      </c>
      <c r="AK45" s="196">
        <v>0.20639903585050978</v>
      </c>
      <c r="AL45" s="7"/>
      <c r="AM45" s="196">
        <v>5.0071398976448606E-2</v>
      </c>
      <c r="AN45" s="196">
        <v>0.20616166973204486</v>
      </c>
      <c r="AO45" s="7"/>
      <c r="AP45" s="196">
        <v>5.7339842389098519E-2</v>
      </c>
      <c r="AQ45" s="196">
        <v>0.20609942141697302</v>
      </c>
      <c r="AR45" s="7"/>
      <c r="AS45" s="196">
        <v>6.19416574092162E-2</v>
      </c>
      <c r="AT45" s="196">
        <v>0.20607242745924367</v>
      </c>
      <c r="AU45" s="7"/>
      <c r="AV45" s="196"/>
      <c r="AW45" s="196"/>
      <c r="AX45" s="7"/>
      <c r="AY45" s="196"/>
      <c r="AZ45" s="196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</row>
    <row r="46" spans="3:74">
      <c r="C46" s="136">
        <v>0.30712955554727933</v>
      </c>
      <c r="D46" s="136">
        <v>0.18336567202539325</v>
      </c>
      <c r="F46" s="298">
        <v>4.8961313107354694E-2</v>
      </c>
      <c r="G46" s="298">
        <v>0.18403883794145151</v>
      </c>
      <c r="I46" s="298">
        <v>6.9363488178337457E-2</v>
      </c>
      <c r="J46" s="298">
        <v>0.18402067425389196</v>
      </c>
      <c r="L46" s="3">
        <v>9.102768329231252E-2</v>
      </c>
      <c r="M46" s="3">
        <v>0.1839984828583332</v>
      </c>
      <c r="W46"/>
      <c r="X46"/>
      <c r="AF46" s="28"/>
      <c r="AG46" s="320"/>
      <c r="AH46" s="7"/>
      <c r="AI46" s="7"/>
      <c r="AJ46" s="196">
        <v>3.1910146466480188E-2</v>
      </c>
      <c r="AK46" s="196">
        <v>0.184433922088859</v>
      </c>
      <c r="AL46" s="7"/>
      <c r="AM46" s="196">
        <v>4.8961313107354694E-2</v>
      </c>
      <c r="AN46" s="196">
        <v>0.18403883794145151</v>
      </c>
      <c r="AO46" s="7"/>
      <c r="AP46" s="196">
        <v>5.6063494121978544E-2</v>
      </c>
      <c r="AQ46" s="196">
        <v>0.18393238638249132</v>
      </c>
      <c r="AR46" s="7"/>
      <c r="AS46" s="196">
        <v>6.0582016978741889E-2</v>
      </c>
      <c r="AT46" s="196">
        <v>0.18388894330313826</v>
      </c>
      <c r="AU46" s="7"/>
      <c r="AV46" s="196"/>
      <c r="AW46" s="196"/>
      <c r="AX46" s="7"/>
      <c r="AY46" s="196"/>
      <c r="AZ46" s="196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</row>
    <row r="47" spans="3:74">
      <c r="C47" s="128">
        <v>0.30707987075759102</v>
      </c>
      <c r="D47" s="128">
        <v>0.18321833372345617</v>
      </c>
      <c r="F47" s="298">
        <v>4.8921348350677775E-2</v>
      </c>
      <c r="G47" s="298">
        <v>0.18321833372345592</v>
      </c>
      <c r="I47" s="298">
        <v>6.9312157332080515E-2</v>
      </c>
      <c r="J47" s="298">
        <v>0.18321833372345647</v>
      </c>
      <c r="L47" s="3">
        <v>9.0968641949320306E-2</v>
      </c>
      <c r="M47" s="3">
        <v>0.183218333723456</v>
      </c>
      <c r="W47"/>
      <c r="X47"/>
      <c r="AG47" s="320"/>
      <c r="AH47" s="7"/>
      <c r="AI47" s="7"/>
      <c r="AJ47" s="196">
        <v>3.1869994283327707E-2</v>
      </c>
      <c r="AK47" s="196">
        <v>0.18321833372344398</v>
      </c>
      <c r="AL47" s="7"/>
      <c r="AM47" s="196">
        <v>4.8921348350677775E-2</v>
      </c>
      <c r="AN47" s="196">
        <v>0.18321833372345592</v>
      </c>
      <c r="AO47" s="7"/>
      <c r="AP47" s="196">
        <v>5.6023584402993279E-2</v>
      </c>
      <c r="AQ47" s="196">
        <v>0.18321833372345622</v>
      </c>
      <c r="AR47" s="7"/>
      <c r="AS47" s="196">
        <v>6.0542118461325421E-2</v>
      </c>
      <c r="AT47" s="196">
        <v>0.18321833372345625</v>
      </c>
      <c r="AU47" s="7"/>
      <c r="AV47" s="196"/>
      <c r="AW47" s="196"/>
      <c r="AX47" s="7"/>
      <c r="AY47" s="196"/>
      <c r="AZ47" s="196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</row>
    <row r="48" spans="3:74">
      <c r="C48" s="128">
        <v>0.30197449901336376</v>
      </c>
      <c r="D48" s="128">
        <v>0.16775312000474107</v>
      </c>
      <c r="F48" s="298">
        <v>4.8239147205330374E-2</v>
      </c>
      <c r="G48" s="298">
        <v>0.16889161215934442</v>
      </c>
      <c r="I48" s="298">
        <v>6.837315969195934E-2</v>
      </c>
      <c r="J48" s="298">
        <v>0.16827018270114741</v>
      </c>
      <c r="L48" s="3">
        <v>8.9830060660554087E-2</v>
      </c>
      <c r="M48" s="3">
        <v>0.16792922408642014</v>
      </c>
      <c r="W48"/>
      <c r="X48"/>
      <c r="AG48" s="319"/>
      <c r="AH48" s="7"/>
      <c r="AI48" s="7"/>
      <c r="AJ48" s="196">
        <v>3.1409203145147842E-2</v>
      </c>
      <c r="AK48" s="196">
        <v>0.16894489231934157</v>
      </c>
      <c r="AL48" s="7"/>
      <c r="AM48" s="196">
        <v>4.8239147205330374E-2</v>
      </c>
      <c r="AN48" s="196">
        <v>0.16889161215934442</v>
      </c>
      <c r="AO48" s="7"/>
      <c r="AP48" s="196">
        <v>5.5239970136321155E-2</v>
      </c>
      <c r="AQ48" s="196">
        <v>0.16887806075567702</v>
      </c>
      <c r="AR48" s="7"/>
      <c r="AS48" s="196">
        <v>5.9707583624933259E-2</v>
      </c>
      <c r="AT48" s="196">
        <v>0.16887174412397654</v>
      </c>
      <c r="AU48" s="7"/>
      <c r="AV48" s="196"/>
      <c r="AW48" s="196"/>
      <c r="AX48" s="7"/>
      <c r="AY48" s="196"/>
      <c r="AZ48" s="196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</row>
    <row r="49" spans="1:74">
      <c r="C49" s="128">
        <v>0.29664648796844051</v>
      </c>
      <c r="D49" s="128">
        <v>0.15090857031833599</v>
      </c>
      <c r="F49" s="298">
        <v>4.75079931335761E-2</v>
      </c>
      <c r="G49" s="298">
        <v>0.15284849289904154</v>
      </c>
      <c r="I49" s="298">
        <v>6.7374928293328293E-2</v>
      </c>
      <c r="J49" s="298">
        <v>0.15180662769581699</v>
      </c>
      <c r="L49" s="3">
        <v>8.862556369380073E-2</v>
      </c>
      <c r="M49" s="3">
        <v>0.15124284380058672</v>
      </c>
      <c r="W49"/>
      <c r="X49"/>
      <c r="AG49" s="319"/>
      <c r="AH49" s="7"/>
      <c r="AI49" s="7"/>
      <c r="AJ49" s="196">
        <v>3.0915650073426233E-2</v>
      </c>
      <c r="AK49" s="196">
        <v>0.15297838016614612</v>
      </c>
      <c r="AL49" s="7"/>
      <c r="AM49" s="196">
        <v>4.75079931335761E-2</v>
      </c>
      <c r="AN49" s="196">
        <v>0.15284849289904154</v>
      </c>
      <c r="AO49" s="7"/>
      <c r="AP49" s="196">
        <v>5.4399984818112042E-2</v>
      </c>
      <c r="AQ49" s="196">
        <v>0.15281481479318199</v>
      </c>
      <c r="AR49" s="7"/>
      <c r="AS49" s="196">
        <v>5.8812967843017726E-2</v>
      </c>
      <c r="AT49" s="196">
        <v>0.15279974479740932</v>
      </c>
      <c r="AU49" s="7"/>
      <c r="AV49" s="196"/>
      <c r="AW49" s="196"/>
      <c r="AX49" s="7"/>
      <c r="AY49" s="196"/>
      <c r="AZ49" s="196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</row>
    <row r="50" spans="1:74">
      <c r="A50" s="28"/>
      <c r="C50" s="128">
        <v>0.29107476424777351</v>
      </c>
      <c r="D50" s="128">
        <v>0.1324956355039498</v>
      </c>
      <c r="F50" s="23">
        <v>4.6721877114203732E-2</v>
      </c>
      <c r="G50" s="23">
        <v>0.13478994727902566</v>
      </c>
      <c r="H50" s="28"/>
      <c r="I50" s="23">
        <v>6.6311340943622482E-2</v>
      </c>
      <c r="J50" s="23">
        <v>0.13360983000999846</v>
      </c>
      <c r="K50" s="28"/>
      <c r="L50" s="36">
        <v>8.7349024436510242E-2</v>
      </c>
      <c r="M50" s="36">
        <v>0.13298035048464718</v>
      </c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G50" s="319"/>
      <c r="AH50" s="7"/>
      <c r="AI50" s="7"/>
      <c r="AJ50" s="196">
        <v>3.0385354828438762E-2</v>
      </c>
      <c r="AK50" s="196">
        <v>0.13502690359497627</v>
      </c>
      <c r="AL50" s="7"/>
      <c r="AM50" s="196">
        <v>4.6721877114203732E-2</v>
      </c>
      <c r="AN50" s="196">
        <v>0.13478994727902566</v>
      </c>
      <c r="AO50" s="7"/>
      <c r="AP50" s="196">
        <v>5.3496687901777203E-2</v>
      </c>
      <c r="AQ50" s="196">
        <v>0.13472750943691025</v>
      </c>
      <c r="AR50" s="7"/>
      <c r="AS50" s="196">
        <v>5.7850866121805483E-2</v>
      </c>
      <c r="AT50" s="196">
        <v>0.13470051302386943</v>
      </c>
      <c r="AU50" s="7"/>
      <c r="AV50" s="196"/>
      <c r="AW50" s="196"/>
      <c r="AX50" s="7"/>
      <c r="AY50" s="196"/>
      <c r="AZ50" s="196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</row>
    <row r="51" spans="1:74">
      <c r="B51" s="28"/>
      <c r="C51" s="128">
        <v>0.2852353006622107</v>
      </c>
      <c r="D51" s="128">
        <v>0.11228952633092294</v>
      </c>
      <c r="E51" s="28"/>
      <c r="F51" s="298">
        <v>4.587371620587128E-2</v>
      </c>
      <c r="G51" s="298">
        <v>0.11434692233598874</v>
      </c>
      <c r="I51" s="298">
        <v>6.5175377585265412E-2</v>
      </c>
      <c r="J51" s="298">
        <v>0.11342067049533189</v>
      </c>
      <c r="L51" s="3">
        <v>8.5993518351571749E-2</v>
      </c>
      <c r="M51" s="3">
        <v>0.11293301187740062</v>
      </c>
      <c r="W51"/>
      <c r="X51"/>
      <c r="AD51" s="28"/>
      <c r="AE51" s="7"/>
      <c r="AG51" s="319"/>
      <c r="AH51" s="7"/>
      <c r="AI51" s="7"/>
      <c r="AJ51" s="196">
        <v>2.9813633444580032E-2</v>
      </c>
      <c r="AK51" s="196">
        <v>0.11473096315043138</v>
      </c>
      <c r="AL51" s="7"/>
      <c r="AM51" s="196">
        <v>4.587371620587128E-2</v>
      </c>
      <c r="AN51" s="196">
        <v>0.11434692233598874</v>
      </c>
      <c r="AO51" s="7"/>
      <c r="AP51" s="196">
        <v>5.2521894556158071E-2</v>
      </c>
      <c r="AQ51" s="196">
        <v>0.11424432677268127</v>
      </c>
      <c r="AR51" s="7"/>
      <c r="AS51" s="196">
        <v>5.6812544505989618E-2</v>
      </c>
      <c r="AT51" s="196">
        <v>0.11420124475105949</v>
      </c>
      <c r="AU51" s="7"/>
      <c r="AV51" s="196"/>
      <c r="AW51" s="196"/>
      <c r="AX51" s="7"/>
      <c r="AY51" s="196"/>
      <c r="AZ51" s="196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</row>
    <row r="52" spans="1:74">
      <c r="C52" s="128">
        <v>0.27910054379679616</v>
      </c>
      <c r="D52" s="128">
        <v>9.0020928168231068E-2</v>
      </c>
      <c r="F52" s="298">
        <v>4.495509517851623E-2</v>
      </c>
      <c r="G52" s="298">
        <v>9.1059294252272799E-2</v>
      </c>
      <c r="I52" s="298">
        <v>6.3958946549298956E-2</v>
      </c>
      <c r="J52" s="298">
        <v>9.092888134378517E-2</v>
      </c>
      <c r="L52" s="3">
        <v>8.4551187188675409E-2</v>
      </c>
      <c r="M52" s="3">
        <v>9.0855956727204812E-2</v>
      </c>
      <c r="R52" s="7"/>
      <c r="S52" s="7"/>
      <c r="T52" s="7"/>
      <c r="U52" s="7"/>
      <c r="V52" s="7"/>
      <c r="W52" s="7"/>
      <c r="X52" s="7"/>
      <c r="Y52" s="7"/>
      <c r="Z52" s="7"/>
      <c r="AD52" s="28"/>
      <c r="AE52" s="14"/>
      <c r="AF52" s="7"/>
      <c r="AG52" s="319"/>
      <c r="AH52" s="7"/>
      <c r="AI52" s="7"/>
      <c r="AJ52" s="196">
        <v>2.9194930829853825E-2</v>
      </c>
      <c r="AK52" s="196">
        <v>9.1643367998294409E-2</v>
      </c>
      <c r="AL52" s="7"/>
      <c r="AM52" s="196">
        <v>4.495509517851623E-2</v>
      </c>
      <c r="AN52" s="196">
        <v>9.1059294252272799E-2</v>
      </c>
      <c r="AO52" s="7"/>
      <c r="AP52" s="196">
        <v>5.1465875324662208E-2</v>
      </c>
      <c r="AQ52" s="196">
        <v>9.0901386644803156E-2</v>
      </c>
      <c r="AR52" s="7"/>
      <c r="AS52" s="196">
        <v>5.5687618940609522E-2</v>
      </c>
      <c r="AT52" s="196">
        <v>9.0836724076960987E-2</v>
      </c>
      <c r="AU52" s="7"/>
      <c r="AV52" s="196"/>
      <c r="AW52" s="196"/>
      <c r="AX52" s="7"/>
      <c r="AY52" s="196"/>
      <c r="AZ52" s="196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</row>
    <row r="53" spans="1:74">
      <c r="C53" s="111">
        <v>0.27905021013399983</v>
      </c>
      <c r="D53" s="111">
        <v>8.9833694127448876E-2</v>
      </c>
      <c r="F53" s="298">
        <v>4.4908033540325916E-2</v>
      </c>
      <c r="G53" s="298">
        <v>8.9833694127444172E-2</v>
      </c>
      <c r="I53" s="298">
        <v>6.3900942808464964E-2</v>
      </c>
      <c r="J53" s="298">
        <v>8.983369412744846E-2</v>
      </c>
      <c r="L53" s="3">
        <v>8.4485600001045158E-2</v>
      </c>
      <c r="M53" s="3">
        <v>8.9833694127449057E-2</v>
      </c>
      <c r="R53" s="7"/>
      <c r="S53" s="7"/>
      <c r="T53" s="7"/>
      <c r="U53" s="7"/>
      <c r="V53" s="7"/>
      <c r="W53" s="7"/>
      <c r="X53" s="7"/>
      <c r="Y53" s="7"/>
      <c r="Z53" s="7"/>
      <c r="AD53" s="28"/>
      <c r="AE53" s="7"/>
      <c r="AF53" s="144"/>
      <c r="AG53" s="321"/>
      <c r="AH53" s="7"/>
      <c r="AI53" s="7"/>
      <c r="AJ53" s="196">
        <v>2.9147738480589117E-2</v>
      </c>
      <c r="AK53" s="196">
        <v>8.9833694127313138E-2</v>
      </c>
      <c r="AL53" s="7"/>
      <c r="AM53" s="196">
        <v>4.4908033540325916E-2</v>
      </c>
      <c r="AN53" s="196">
        <v>8.9833694127444172E-2</v>
      </c>
      <c r="AO53" s="7"/>
      <c r="AP53" s="196">
        <v>5.1418853151222702E-2</v>
      </c>
      <c r="AQ53" s="196">
        <v>8.9833694127447711E-2</v>
      </c>
      <c r="AR53" s="7"/>
      <c r="AS53" s="196">
        <v>5.5640603917272442E-2</v>
      </c>
      <c r="AT53" s="196">
        <v>8.9833694127448543E-2</v>
      </c>
      <c r="AU53" s="7"/>
      <c r="AV53" s="196"/>
      <c r="AW53" s="196"/>
      <c r="AX53" s="7"/>
      <c r="AY53" s="196"/>
      <c r="AZ53" s="228"/>
      <c r="BA53" s="144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</row>
    <row r="54" spans="1:74">
      <c r="C54" s="111">
        <v>0.27228645653397271</v>
      </c>
      <c r="D54" s="111">
        <v>6.3865993391991255E-2</v>
      </c>
      <c r="F54" s="298">
        <v>4.3995008967718838E-2</v>
      </c>
      <c r="G54" s="298">
        <v>6.5318298750246737E-2</v>
      </c>
      <c r="I54" s="298">
        <v>6.2569552489771474E-2</v>
      </c>
      <c r="J54" s="298">
        <v>6.4037180545178735E-2</v>
      </c>
      <c r="L54" s="3">
        <v>8.2820198649909027E-2</v>
      </c>
      <c r="M54" s="3">
        <v>6.3265267389030308E-2</v>
      </c>
      <c r="R54" s="7"/>
      <c r="S54" s="7"/>
      <c r="T54" s="7"/>
      <c r="U54" s="7"/>
      <c r="V54" s="7"/>
      <c r="W54" s="7"/>
      <c r="X54" s="7"/>
      <c r="Y54" s="7"/>
      <c r="Z54" s="7"/>
      <c r="AD54" s="28"/>
      <c r="AE54" s="7"/>
      <c r="AF54" s="144"/>
      <c r="AG54" s="321"/>
      <c r="AH54" s="144"/>
      <c r="AI54" s="144"/>
      <c r="AJ54" s="228">
        <v>2.8530134068958501E-2</v>
      </c>
      <c r="AK54" s="196">
        <v>6.5406071235104488E-2</v>
      </c>
      <c r="AL54" s="7"/>
      <c r="AM54" s="196">
        <v>4.3995008967718838E-2</v>
      </c>
      <c r="AN54" s="196">
        <v>6.5318298750246737E-2</v>
      </c>
      <c r="AO54" s="7"/>
      <c r="AP54" s="196">
        <v>5.0370615781328218E-2</v>
      </c>
      <c r="AQ54" s="196">
        <v>6.5295873903718729E-2</v>
      </c>
      <c r="AR54" s="7"/>
      <c r="AS54" s="196">
        <v>5.4524437829200766E-2</v>
      </c>
      <c r="AT54" s="196">
        <v>6.5285430371854275E-2</v>
      </c>
      <c r="AU54" s="7"/>
      <c r="AV54" s="196"/>
      <c r="AW54" s="228"/>
      <c r="AX54" s="144"/>
      <c r="AY54" s="196"/>
      <c r="AZ54" s="228"/>
      <c r="BA54" s="144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</row>
    <row r="55" spans="1:74">
      <c r="C55" s="111">
        <v>0.26499251443240907</v>
      </c>
      <c r="D55" s="111">
        <v>3.4008968448296331E-2</v>
      </c>
      <c r="F55" s="298">
        <v>4.2987605878743368E-2</v>
      </c>
      <c r="G55" s="298">
        <v>3.6604833540627359E-2</v>
      </c>
      <c r="I55" s="298">
        <v>6.1112964649747643E-2</v>
      </c>
      <c r="J55" s="298">
        <v>3.4350957218540798E-2</v>
      </c>
      <c r="L55" s="3">
        <v>8.1008670937440588E-2</v>
      </c>
      <c r="M55" s="3">
        <v>3.3018340572994236E-2</v>
      </c>
      <c r="R55" s="7"/>
      <c r="S55" s="7"/>
      <c r="T55" s="7"/>
      <c r="U55" s="7"/>
      <c r="V55" s="7"/>
      <c r="W55" s="7"/>
      <c r="X55" s="7"/>
      <c r="Y55" s="7"/>
      <c r="Z55" s="7"/>
      <c r="AD55" s="28"/>
      <c r="AE55" s="7"/>
      <c r="AF55" s="144"/>
      <c r="AG55" s="321"/>
      <c r="AH55" s="144"/>
      <c r="AI55" s="144"/>
      <c r="AJ55" s="228">
        <v>2.7849167078055948E-2</v>
      </c>
      <c r="AK55" s="196">
        <v>3.6829030077813192E-2</v>
      </c>
      <c r="AL55" s="7"/>
      <c r="AM55" s="196">
        <v>4.2987605878743368E-2</v>
      </c>
      <c r="AN55" s="196">
        <v>3.6604833540627359E-2</v>
      </c>
      <c r="AO55" s="7"/>
      <c r="AP55" s="196">
        <v>4.9213800219653936E-2</v>
      </c>
      <c r="AQ55" s="196">
        <v>3.6546455807931727E-2</v>
      </c>
      <c r="AR55" s="7"/>
      <c r="AS55" s="196">
        <v>5.3292577275529898E-2</v>
      </c>
      <c r="AT55" s="196">
        <v>3.6520333849046016E-2</v>
      </c>
      <c r="AU55" s="7"/>
      <c r="AV55" s="196"/>
      <c r="AW55" s="228"/>
      <c r="AX55" s="144"/>
      <c r="AY55" s="228"/>
      <c r="AZ55" s="228"/>
      <c r="BA55" s="144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</row>
    <row r="56" spans="1:74">
      <c r="C56" s="111">
        <v>0.25708480224919389</v>
      </c>
      <c r="D56" s="111">
        <v>-6.3727325111893884E-4</v>
      </c>
      <c r="F56" s="298">
        <v>4.1869101099136052E-2</v>
      </c>
      <c r="G56" s="298">
        <v>2.6351755261725396E-3</v>
      </c>
      <c r="I56" s="298">
        <v>5.9511756268027377E-2</v>
      </c>
      <c r="J56" s="298">
        <v>-6.7744970336208743E-5</v>
      </c>
      <c r="L56" s="3">
        <v>7.9030264794818589E-2</v>
      </c>
      <c r="M56" s="3">
        <v>-1.6298034837825826E-3</v>
      </c>
      <c r="R56" s="7"/>
      <c r="S56" s="7"/>
      <c r="T56" s="7"/>
      <c r="U56" s="7"/>
      <c r="V56" s="7"/>
      <c r="W56" s="7"/>
      <c r="X56" s="7"/>
      <c r="Y56" s="7"/>
      <c r="Z56" s="7"/>
      <c r="AD56" s="28"/>
      <c r="AE56" s="7"/>
      <c r="AF56" s="144"/>
      <c r="AG56" s="321"/>
      <c r="AH56" s="144"/>
      <c r="AI56" s="144"/>
      <c r="AJ56" s="228">
        <v>2.7093704223595697E-2</v>
      </c>
      <c r="AK56" s="196">
        <v>3.0657025668781035E-3</v>
      </c>
      <c r="AL56" s="7"/>
      <c r="AM56" s="196">
        <v>4.1869101099136052E-2</v>
      </c>
      <c r="AN56" s="196">
        <v>2.6351755261725396E-3</v>
      </c>
      <c r="AO56" s="7"/>
      <c r="AP56" s="196">
        <v>4.7929120601890265E-2</v>
      </c>
      <c r="AQ56" s="196">
        <v>2.5212824827392233E-3</v>
      </c>
      <c r="AR56" s="7"/>
      <c r="AS56" s="196">
        <v>5.1924454601909101E-2</v>
      </c>
      <c r="AT56" s="196">
        <v>2.4719891190825433E-3</v>
      </c>
      <c r="AU56" s="7"/>
      <c r="AV56" s="196"/>
      <c r="AW56" s="228"/>
      <c r="AX56" s="144"/>
      <c r="AY56" s="228"/>
      <c r="AZ56" s="228"/>
      <c r="BA56" s="144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</row>
    <row r="57" spans="1:74">
      <c r="C57" s="111">
        <v>0.24845963964750828</v>
      </c>
      <c r="D57" s="111">
        <v>-4.1265158389532208E-2</v>
      </c>
      <c r="F57" s="298">
        <v>4.061839807496654E-2</v>
      </c>
      <c r="G57" s="298">
        <v>-3.8013620171863036E-2</v>
      </c>
      <c r="I57" s="298">
        <v>5.7742166527313836E-2</v>
      </c>
      <c r="J57" s="298">
        <v>-4.0306532080004467E-2</v>
      </c>
      <c r="L57" s="3">
        <v>7.6860040099017896E-2</v>
      </c>
      <c r="M57" s="3">
        <v>-4.159028837260087E-2</v>
      </c>
      <c r="R57" s="7"/>
      <c r="S57" s="7"/>
      <c r="T57" s="7"/>
      <c r="U57" s="7"/>
      <c r="V57" s="7"/>
      <c r="W57" s="7"/>
      <c r="X57" s="7"/>
      <c r="Y57" s="7"/>
      <c r="Z57" s="7"/>
      <c r="AD57" s="28"/>
      <c r="AE57" s="7"/>
      <c r="AF57" s="144"/>
      <c r="AG57" s="321"/>
      <c r="AH57" s="144"/>
      <c r="AI57" s="144"/>
      <c r="AJ57" s="228">
        <v>2.6249726720317335E-2</v>
      </c>
      <c r="AK57" s="196">
        <v>-3.7274974620265119E-2</v>
      </c>
      <c r="AL57" s="7"/>
      <c r="AM57" s="196">
        <v>4.061839807496654E-2</v>
      </c>
      <c r="AN57" s="196">
        <v>-3.8013620171863036E-2</v>
      </c>
      <c r="AO57" s="7"/>
      <c r="AP57" s="196">
        <v>4.6492234510184263E-2</v>
      </c>
      <c r="AQ57" s="196">
        <v>-3.8211680390595318E-2</v>
      </c>
      <c r="AR57" s="7"/>
      <c r="AS57" s="196">
        <v>5.0394104590824579E-2</v>
      </c>
      <c r="AT57" s="196">
        <v>-3.8295024613173217E-2</v>
      </c>
      <c r="AU57" s="7"/>
      <c r="AV57" s="196"/>
      <c r="AW57" s="228"/>
      <c r="AX57" s="144"/>
      <c r="AY57" s="228"/>
      <c r="AZ57" s="228"/>
      <c r="BA57" s="144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</row>
    <row r="58" spans="1:74">
      <c r="C58" s="111">
        <v>0.2389864367774874</v>
      </c>
      <c r="D58" s="111">
        <v>-8.9486620049809285E-2</v>
      </c>
      <c r="F58" s="298">
        <v>3.9208457297891644E-2</v>
      </c>
      <c r="G58" s="298">
        <v>-8.7294324455774633E-2</v>
      </c>
      <c r="I58" s="298">
        <v>5.5774795029840805E-2</v>
      </c>
      <c r="J58" s="298">
        <v>-8.7789383801011686E-2</v>
      </c>
      <c r="L58" s="3">
        <v>7.4467745295157664E-2</v>
      </c>
      <c r="M58" s="3">
        <v>-8.802522691134454E-2</v>
      </c>
      <c r="R58" s="7"/>
      <c r="S58" s="7"/>
      <c r="T58" s="7"/>
      <c r="U58" s="7"/>
      <c r="V58" s="7"/>
      <c r="W58" s="7"/>
      <c r="X58" s="7"/>
      <c r="Y58" s="7"/>
      <c r="Z58" s="7"/>
      <c r="AD58" s="28"/>
      <c r="AE58" s="7"/>
      <c r="AF58" s="144"/>
      <c r="AG58" s="321"/>
      <c r="AH58" s="144"/>
      <c r="AI58" s="144"/>
      <c r="AJ58" s="228">
        <v>2.5299304661042743E-2</v>
      </c>
      <c r="AK58" s="196">
        <v>-8.6096863629694612E-2</v>
      </c>
      <c r="AL58" s="7"/>
      <c r="AM58" s="196">
        <v>3.9208457297891644E-2</v>
      </c>
      <c r="AN58" s="196">
        <v>-8.7294324455774633E-2</v>
      </c>
      <c r="AO58" s="7"/>
      <c r="AP58" s="196">
        <v>4.4871923180640969E-2</v>
      </c>
      <c r="AQ58" s="196">
        <v>-8.7619207113164191E-2</v>
      </c>
      <c r="AR58" s="7"/>
      <c r="AS58" s="196">
        <v>4.8668220030087236E-2</v>
      </c>
      <c r="AT58" s="196">
        <v>-8.7752678842664245E-2</v>
      </c>
      <c r="AU58" s="7"/>
      <c r="AV58" s="196"/>
      <c r="AW58" s="228"/>
      <c r="AX58" s="144"/>
      <c r="AY58" s="228"/>
      <c r="AZ58" s="228"/>
      <c r="BA58" s="144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</row>
    <row r="59" spans="1:74">
      <c r="C59" s="128">
        <v>0.2389209259854623</v>
      </c>
      <c r="D59" s="128">
        <v>-8.9833694127449237E-2</v>
      </c>
      <c r="F59" s="298">
        <v>3.9138577932565075E-2</v>
      </c>
      <c r="G59" s="298">
        <v>-8.9833694126438851E-2</v>
      </c>
      <c r="I59" s="298">
        <v>5.5692719005261904E-2</v>
      </c>
      <c r="J59" s="298">
        <v>-8.9833694127435609E-2</v>
      </c>
      <c r="L59" s="3">
        <v>7.4377121036423799E-2</v>
      </c>
      <c r="M59" s="3">
        <v>-8.9833694127449654E-2</v>
      </c>
      <c r="R59" s="7"/>
      <c r="S59" s="7"/>
      <c r="T59" s="7"/>
      <c r="U59" s="7"/>
      <c r="V59" s="7"/>
      <c r="W59" s="7"/>
      <c r="X59" s="7"/>
      <c r="Y59" s="7"/>
      <c r="Z59" s="7"/>
      <c r="AD59" s="28"/>
      <c r="AE59" s="7"/>
      <c r="AF59" s="144"/>
      <c r="AG59" s="321"/>
      <c r="AH59" s="144"/>
      <c r="AI59" s="144"/>
      <c r="AJ59" s="228">
        <v>2.5229370998577111E-2</v>
      </c>
      <c r="AK59" s="196">
        <v>-8.9833694121345412E-2</v>
      </c>
      <c r="AL59" s="7"/>
      <c r="AM59" s="196">
        <v>3.9138577932565075E-2</v>
      </c>
      <c r="AN59" s="196">
        <v>-8.9833694126438851E-2</v>
      </c>
      <c r="AO59" s="7"/>
      <c r="AP59" s="196">
        <v>4.4802062507781085E-2</v>
      </c>
      <c r="AQ59" s="196">
        <v>-8.9833694127008271E-2</v>
      </c>
      <c r="AR59" s="7"/>
      <c r="AS59" s="196">
        <v>4.8598359402941632E-2</v>
      </c>
      <c r="AT59" s="196">
        <v>-8.9833694127151087E-2</v>
      </c>
      <c r="AU59" s="7"/>
      <c r="AV59" s="196"/>
      <c r="AW59" s="228"/>
      <c r="AX59" s="144"/>
      <c r="AY59" s="228"/>
      <c r="AZ59" s="228"/>
      <c r="BA59" s="144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</row>
    <row r="60" spans="1:74">
      <c r="C60" s="128">
        <v>0.23578301797952492</v>
      </c>
      <c r="D60" s="128">
        <v>-0.106650293801024</v>
      </c>
      <c r="F60" s="298">
        <v>3.8700639885414126E-2</v>
      </c>
      <c r="G60" s="298">
        <v>-0.10593297621034133</v>
      </c>
      <c r="I60" s="298">
        <v>5.5041130497132329E-2</v>
      </c>
      <c r="J60" s="298">
        <v>-0.10622258443572474</v>
      </c>
      <c r="L60" s="3">
        <v>7.3555436981888114E-2</v>
      </c>
      <c r="M60" s="3">
        <v>-0.10637766026101432</v>
      </c>
      <c r="R60" s="7"/>
      <c r="S60" s="7"/>
      <c r="T60" s="7"/>
      <c r="U60" s="7"/>
      <c r="V60" s="7"/>
      <c r="W60" s="7"/>
      <c r="X60" s="7"/>
      <c r="Y60" s="7"/>
      <c r="Z60" s="7"/>
      <c r="AD60" s="28"/>
      <c r="AE60" s="7"/>
      <c r="AF60" s="144"/>
      <c r="AG60" s="321"/>
      <c r="AH60" s="144"/>
      <c r="AI60" s="144"/>
      <c r="AJ60" s="228">
        <v>2.4937150651285253E-2</v>
      </c>
      <c r="AK60" s="196">
        <v>-0.10563991710971196</v>
      </c>
      <c r="AL60" s="7"/>
      <c r="AM60" s="196">
        <v>3.8700639885414126E-2</v>
      </c>
      <c r="AN60" s="196">
        <v>-0.10593297621034133</v>
      </c>
      <c r="AO60" s="7"/>
      <c r="AP60" s="196">
        <v>4.4297452463435513E-2</v>
      </c>
      <c r="AQ60" s="196">
        <v>-0.10601214149572863</v>
      </c>
      <c r="AR60" s="7"/>
      <c r="AS60" s="196">
        <v>4.806026138049229E-2</v>
      </c>
      <c r="AT60" s="196">
        <v>-0.10604481610952178</v>
      </c>
      <c r="AU60" s="7"/>
      <c r="AV60" s="196"/>
      <c r="AW60" s="228"/>
      <c r="AX60" s="144"/>
      <c r="AY60" s="228"/>
      <c r="AZ60" s="228"/>
      <c r="BA60" s="144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</row>
    <row r="61" spans="1:74">
      <c r="C61" s="128">
        <v>0.23256646752892732</v>
      </c>
      <c r="D61" s="128">
        <v>-0.12428253900498726</v>
      </c>
      <c r="F61" s="298">
        <v>3.8248902096289603E-2</v>
      </c>
      <c r="G61" s="298">
        <v>-0.12286816113522439</v>
      </c>
      <c r="I61" s="298">
        <v>5.4369888417711905E-2</v>
      </c>
      <c r="J61" s="298">
        <v>-0.12339778790176721</v>
      </c>
      <c r="L61" s="3">
        <v>7.2709763799699539E-2</v>
      </c>
      <c r="M61" s="3">
        <v>-0.12367731108236529</v>
      </c>
      <c r="R61" s="7"/>
      <c r="S61" s="7"/>
      <c r="T61" s="7"/>
      <c r="U61" s="7"/>
      <c r="V61" s="7"/>
      <c r="W61" s="7"/>
      <c r="X61" s="7"/>
      <c r="Y61" s="7"/>
      <c r="Z61" s="7"/>
      <c r="AD61" s="28"/>
      <c r="AE61" s="7"/>
      <c r="AF61" s="144"/>
      <c r="AG61" s="321"/>
      <c r="AH61" s="144"/>
      <c r="AI61" s="144"/>
      <c r="AJ61" s="228">
        <v>2.4635911043596231E-2</v>
      </c>
      <c r="AK61" s="196">
        <v>-0.12224969561573404</v>
      </c>
      <c r="AL61" s="7"/>
      <c r="AM61" s="196">
        <v>3.8248902096289603E-2</v>
      </c>
      <c r="AN61" s="196">
        <v>-0.12286816113522439</v>
      </c>
      <c r="AO61" s="7"/>
      <c r="AP61" s="196">
        <v>4.3776852742528259E-2</v>
      </c>
      <c r="AQ61" s="196">
        <v>-0.12303543973786224</v>
      </c>
      <c r="AR61" s="7"/>
      <c r="AS61" s="196">
        <v>4.7505075279275277E-2</v>
      </c>
      <c r="AT61" s="196">
        <v>-0.12310441177106128</v>
      </c>
      <c r="AU61" s="7"/>
      <c r="AV61" s="196"/>
      <c r="AW61" s="196"/>
      <c r="AX61" s="7"/>
      <c r="AY61" s="196"/>
      <c r="AZ61" s="196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</row>
    <row r="62" spans="1:74">
      <c r="C62" s="128">
        <v>0.22926736939894396</v>
      </c>
      <c r="D62" s="128">
        <v>-0.14278987896090234</v>
      </c>
      <c r="F62" s="298">
        <v>3.7782640648768906E-2</v>
      </c>
      <c r="G62" s="298">
        <v>-0.14070067537947023</v>
      </c>
      <c r="I62" s="298">
        <v>5.3678041305844471E-2</v>
      </c>
      <c r="J62" s="298">
        <v>-0.14141173822242864</v>
      </c>
      <c r="L62" s="3">
        <v>7.1838996581017459E-2</v>
      </c>
      <c r="M62" s="3">
        <v>-0.14178019338607212</v>
      </c>
      <c r="R62" s="7"/>
      <c r="S62" s="7"/>
      <c r="T62" s="7"/>
      <c r="U62" s="7"/>
      <c r="V62" s="7"/>
      <c r="W62" s="7"/>
      <c r="X62" s="7"/>
      <c r="Y62" s="7"/>
      <c r="Z62" s="7"/>
      <c r="AD62" s="28"/>
      <c r="AE62" s="7"/>
      <c r="AF62" s="144"/>
      <c r="AG62" s="321"/>
      <c r="AH62" s="144"/>
      <c r="AI62" s="144"/>
      <c r="AJ62" s="228">
        <v>2.4325189032240263E-2</v>
      </c>
      <c r="AK62" s="196">
        <v>-0.13972082125009672</v>
      </c>
      <c r="AL62" s="7"/>
      <c r="AM62" s="196">
        <v>3.7782640648768906E-2</v>
      </c>
      <c r="AN62" s="196">
        <v>-0.14070067537947023</v>
      </c>
      <c r="AO62" s="7"/>
      <c r="AP62" s="196">
        <v>4.3239419646646418E-2</v>
      </c>
      <c r="AQ62" s="196">
        <v>-0.14096603811146102</v>
      </c>
      <c r="AR62" s="7"/>
      <c r="AS62" s="196">
        <v>4.693189736910397E-2</v>
      </c>
      <c r="AT62" s="196">
        <v>-0.14107534325655305</v>
      </c>
      <c r="AU62" s="7"/>
      <c r="AV62" s="196"/>
      <c r="AW62" s="196"/>
      <c r="AX62" s="7"/>
      <c r="AY62" s="196"/>
      <c r="AZ62" s="196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</row>
    <row r="63" spans="1:74">
      <c r="C63" s="128">
        <v>0.22588153023591317</v>
      </c>
      <c r="D63" s="128">
        <v>-0.16223760933677589</v>
      </c>
      <c r="F63" s="298">
        <v>3.730107786930055E-2</v>
      </c>
      <c r="G63" s="298">
        <v>-0.15949783926447536</v>
      </c>
      <c r="I63" s="298">
        <v>5.2964573673847652E-2</v>
      </c>
      <c r="J63" s="298">
        <v>-0.16032138184374195</v>
      </c>
      <c r="L63" s="3">
        <v>7.0941960310738877E-2</v>
      </c>
      <c r="M63" s="3">
        <v>-0.16073769275431529</v>
      </c>
      <c r="R63" s="7"/>
      <c r="S63" s="7"/>
      <c r="T63" s="7"/>
      <c r="U63" s="7"/>
      <c r="V63" s="7"/>
      <c r="W63" s="7"/>
      <c r="X63" s="7"/>
      <c r="Y63" s="7"/>
      <c r="Z63" s="7"/>
      <c r="AD63" s="28"/>
      <c r="AE63" s="7"/>
      <c r="AF63" s="144"/>
      <c r="AG63" s="321"/>
      <c r="AH63" s="144"/>
      <c r="AI63" s="144"/>
      <c r="AJ63" s="228">
        <v>2.4004487821965938E-2</v>
      </c>
      <c r="AK63" s="196">
        <v>-0.15811651016648554</v>
      </c>
      <c r="AL63" s="7"/>
      <c r="AM63" s="196">
        <v>3.730107786930055E-2</v>
      </c>
      <c r="AN63" s="196">
        <v>-0.15949783926447536</v>
      </c>
      <c r="AO63" s="7"/>
      <c r="AP63" s="196">
        <v>4.2684246452620936E-2</v>
      </c>
      <c r="AQ63" s="196">
        <v>-0.15987241384767817</v>
      </c>
      <c r="AR63" s="7"/>
      <c r="AS63" s="196">
        <v>4.6339756252621746E-2</v>
      </c>
      <c r="AT63" s="196">
        <v>-0.1600265548742987</v>
      </c>
      <c r="AU63" s="7"/>
      <c r="AV63" s="196"/>
      <c r="AW63" s="196"/>
      <c r="AX63" s="7"/>
      <c r="AY63" s="196"/>
      <c r="AZ63" s="196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</row>
    <row r="64" spans="1:74">
      <c r="C64" s="128">
        <v>0.22240443988033864</v>
      </c>
      <c r="D64" s="128">
        <v>-0.18269760319703848</v>
      </c>
      <c r="F64" s="298">
        <v>3.6803377113636897E-2</v>
      </c>
      <c r="G64" s="298">
        <v>-0.17933357052113019</v>
      </c>
      <c r="I64" s="298">
        <v>5.2228400445602945E-2</v>
      </c>
      <c r="J64" s="298">
        <v>-0.18018865705778894</v>
      </c>
      <c r="L64" s="3">
        <v>7.0017404158684765E-2</v>
      </c>
      <c r="M64" s="3">
        <v>-0.18060541421874321</v>
      </c>
      <c r="R64" s="7"/>
      <c r="S64" s="7"/>
      <c r="T64" s="7"/>
      <c r="U64" s="7"/>
      <c r="V64" s="7"/>
      <c r="W64" s="7"/>
      <c r="X64" s="7"/>
      <c r="Y64" s="7"/>
      <c r="Z64" s="7"/>
      <c r="AD64" s="28"/>
      <c r="AE64" s="7"/>
      <c r="AF64" s="144"/>
      <c r="AG64" s="321"/>
      <c r="AH64" s="144"/>
      <c r="AI64" s="144"/>
      <c r="AJ64" s="228">
        <v>2.367327377355747E-2</v>
      </c>
      <c r="AK64" s="196">
        <v>-0.17750603623646366</v>
      </c>
      <c r="AL64" s="7"/>
      <c r="AM64" s="196">
        <v>3.6803377113636897E-2</v>
      </c>
      <c r="AN64" s="196">
        <v>-0.17933357052113019</v>
      </c>
      <c r="AO64" s="7"/>
      <c r="AP64" s="196">
        <v>4.2110357263019545E-2</v>
      </c>
      <c r="AQ64" s="196">
        <v>-0.17982979614430167</v>
      </c>
      <c r="AR64" s="7"/>
      <c r="AS64" s="196">
        <v>4.572760624704416E-2</v>
      </c>
      <c r="AT64" s="196">
        <v>-0.18003380536136199</v>
      </c>
      <c r="AU64" s="7"/>
      <c r="AV64" s="196"/>
      <c r="AW64" s="196"/>
      <c r="AX64" s="7"/>
      <c r="AY64" s="196"/>
      <c r="AZ64" s="196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</row>
    <row r="65" spans="3:74">
      <c r="C65" s="120">
        <v>0.22231704180049283</v>
      </c>
      <c r="D65" s="120">
        <v>-0.18321833372345642</v>
      </c>
      <c r="F65" s="298">
        <v>3.6707114502916818E-2</v>
      </c>
      <c r="G65" s="298">
        <v>-0.18321833372342641</v>
      </c>
      <c r="I65" s="298">
        <v>5.2117304077807521E-2</v>
      </c>
      <c r="J65" s="298">
        <v>-0.18321833372345564</v>
      </c>
      <c r="L65" s="3">
        <v>6.9896955842417174E-2</v>
      </c>
      <c r="M65" s="3">
        <v>-0.18321833372345581</v>
      </c>
      <c r="R65" s="7"/>
      <c r="S65" s="7"/>
      <c r="T65" s="7"/>
      <c r="U65" s="7"/>
      <c r="V65" s="7"/>
      <c r="W65" s="7"/>
      <c r="X65" s="7"/>
      <c r="Y65" s="7"/>
      <c r="Z65" s="7"/>
      <c r="AD65" s="28"/>
      <c r="AE65" s="7"/>
      <c r="AF65" s="144"/>
      <c r="AG65" s="321"/>
      <c r="AH65" s="144"/>
      <c r="AI65" s="144"/>
      <c r="AJ65" s="228">
        <v>2.3576976722140236E-2</v>
      </c>
      <c r="AK65" s="196">
        <v>-0.18321833372205243</v>
      </c>
      <c r="AL65" s="7"/>
      <c r="AM65" s="196">
        <v>3.6707114502916818E-2</v>
      </c>
      <c r="AN65" s="196">
        <v>-0.18321833372342641</v>
      </c>
      <c r="AO65" s="7"/>
      <c r="AP65" s="196">
        <v>4.201410881849757E-2</v>
      </c>
      <c r="AQ65" s="196">
        <v>-0.18321833372344964</v>
      </c>
      <c r="AR65" s="7"/>
      <c r="AS65" s="196">
        <v>4.5631354765130777E-2</v>
      </c>
      <c r="AT65" s="196">
        <v>-0.18321833372345325</v>
      </c>
      <c r="AU65" s="7"/>
      <c r="AV65" s="196"/>
      <c r="AW65" s="196"/>
      <c r="AX65" s="7"/>
      <c r="AY65" s="196"/>
      <c r="AZ65" s="196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</row>
    <row r="66" spans="3:74">
      <c r="C66" s="120">
        <v>0.2196084225352968</v>
      </c>
      <c r="D66" s="120">
        <v>-0.19948560791401748</v>
      </c>
      <c r="F66" s="298">
        <v>3.6332090686497252E-2</v>
      </c>
      <c r="G66" s="298">
        <v>-0.19847986787349678</v>
      </c>
      <c r="I66" s="298">
        <v>5.1550823219477529E-2</v>
      </c>
      <c r="J66" s="298">
        <v>-0.1987755640761287</v>
      </c>
      <c r="L66" s="3">
        <v>6.9177581376792599E-2</v>
      </c>
      <c r="M66" s="3">
        <v>-0.19892449294377368</v>
      </c>
      <c r="R66" s="7"/>
      <c r="S66" s="7"/>
      <c r="T66" s="7"/>
      <c r="U66" s="7"/>
      <c r="V66" s="7"/>
      <c r="W66" s="7"/>
      <c r="X66" s="7"/>
      <c r="Y66" s="7"/>
      <c r="Z66" s="7"/>
      <c r="AD66" s="28"/>
      <c r="AE66" s="7"/>
      <c r="AF66" s="144"/>
      <c r="AG66" s="321"/>
      <c r="AH66" s="144"/>
      <c r="AI66" s="144"/>
      <c r="AJ66" s="228">
        <v>2.3329883470304968E-2</v>
      </c>
      <c r="AK66" s="196">
        <v>-0.19800982350221694</v>
      </c>
      <c r="AL66" s="7"/>
      <c r="AM66" s="196">
        <v>3.6332090686497252E-2</v>
      </c>
      <c r="AN66" s="196">
        <v>-0.19847986787349678</v>
      </c>
      <c r="AO66" s="7"/>
      <c r="AP66" s="196">
        <v>4.1580558589267777E-2</v>
      </c>
      <c r="AQ66" s="196">
        <v>-0.19860709683563632</v>
      </c>
      <c r="AR66" s="7"/>
      <c r="AS66" s="196">
        <v>4.5168407630230806E-2</v>
      </c>
      <c r="AT66" s="196">
        <v>-0.19865945798041421</v>
      </c>
      <c r="AU66" s="7"/>
      <c r="AV66" s="196"/>
      <c r="AW66" s="196"/>
      <c r="AX66" s="7"/>
      <c r="AY66" s="196"/>
      <c r="AZ66" s="196"/>
      <c r="BA66" s="7"/>
      <c r="BB66" s="7"/>
      <c r="BC66" s="7"/>
      <c r="BD66" s="7"/>
      <c r="BE66" s="7"/>
      <c r="BF66" s="7"/>
      <c r="BG66" s="7"/>
      <c r="BH66" s="308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</row>
    <row r="67" spans="3:74">
      <c r="C67" s="120">
        <v>0.21686219615394881</v>
      </c>
      <c r="D67" s="120">
        <v>-0.21623464079257432</v>
      </c>
      <c r="F67" s="298">
        <v>3.5949946546596896E-2</v>
      </c>
      <c r="G67" s="298">
        <v>-0.21423068279328372</v>
      </c>
      <c r="I67" s="298">
        <v>5.0973566749843435E-2</v>
      </c>
      <c r="J67" s="298">
        <v>-0.21480983288586766</v>
      </c>
      <c r="L67" s="3">
        <v>6.8444576317623004E-2</v>
      </c>
      <c r="M67" s="3">
        <v>-0.21510053295394499</v>
      </c>
      <c r="R67" s="7"/>
      <c r="S67" s="7"/>
      <c r="T67" s="7"/>
      <c r="U67" s="7"/>
      <c r="V67" s="7"/>
      <c r="W67" s="7"/>
      <c r="X67" s="7"/>
      <c r="Y67" s="7"/>
      <c r="Z67" s="7"/>
      <c r="AD67" s="28"/>
      <c r="AE67" s="7"/>
      <c r="AF67" s="144"/>
      <c r="AG67" s="321"/>
      <c r="AH67" s="144"/>
      <c r="AI67" s="144"/>
      <c r="AJ67" s="228">
        <v>2.307825248423577E-2</v>
      </c>
      <c r="AK67" s="196">
        <v>-0.21325982559165688</v>
      </c>
      <c r="AL67" s="7"/>
      <c r="AM67" s="196">
        <v>3.5949946546596896E-2</v>
      </c>
      <c r="AN67" s="196">
        <v>-0.21423068279328372</v>
      </c>
      <c r="AO67" s="7"/>
      <c r="AP67" s="196">
        <v>4.1138703386659439E-2</v>
      </c>
      <c r="AQ67" s="196">
        <v>-0.21449369526708531</v>
      </c>
      <c r="AR67" s="7"/>
      <c r="AS67" s="196">
        <v>4.4696560964278834E-2</v>
      </c>
      <c r="AT67" s="196">
        <v>-0.21460191894960789</v>
      </c>
      <c r="AU67" s="7"/>
      <c r="AV67" s="196"/>
      <c r="AW67" s="196"/>
      <c r="AX67" s="7"/>
      <c r="AY67" s="196"/>
      <c r="AZ67" s="196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</row>
    <row r="68" spans="3:74">
      <c r="C68" s="120">
        <v>0.21407722174438537</v>
      </c>
      <c r="D68" s="120">
        <v>-0.23348746505914122</v>
      </c>
      <c r="F68" s="298">
        <v>3.5560452289419966E-2</v>
      </c>
      <c r="G68" s="298">
        <v>-0.23049308791037193</v>
      </c>
      <c r="I68" s="298">
        <v>5.0385202289804462E-2</v>
      </c>
      <c r="J68" s="298">
        <v>-0.2313414991574908</v>
      </c>
      <c r="L68" s="3">
        <v>6.769753059606054E-2</v>
      </c>
      <c r="M68" s="3">
        <v>-0.2317658205564456</v>
      </c>
      <c r="R68" s="7"/>
      <c r="S68" s="7"/>
      <c r="T68" s="7"/>
      <c r="U68" s="7"/>
      <c r="V68" s="7"/>
      <c r="W68" s="7"/>
      <c r="X68" s="7"/>
      <c r="Y68" s="7"/>
      <c r="Z68" s="7"/>
      <c r="AD68" s="28"/>
      <c r="AE68" s="7"/>
      <c r="AF68" s="144"/>
      <c r="AG68" s="321"/>
      <c r="AH68" s="144"/>
      <c r="AI68" s="144"/>
      <c r="AJ68" s="228">
        <v>2.2821942203579561E-2</v>
      </c>
      <c r="AK68" s="196">
        <v>-0.22898854540285069</v>
      </c>
      <c r="AL68" s="7"/>
      <c r="AM68" s="196">
        <v>3.5560452289419966E-2</v>
      </c>
      <c r="AN68" s="196">
        <v>-0.23049308791037193</v>
      </c>
      <c r="AO68" s="7"/>
      <c r="AP68" s="196">
        <v>4.068827272973826E-2</v>
      </c>
      <c r="AQ68" s="196">
        <v>-0.23090103728187275</v>
      </c>
      <c r="AR68" s="7"/>
      <c r="AS68" s="196">
        <v>4.4215523862311354E-2</v>
      </c>
      <c r="AT68" s="196">
        <v>-0.23106887067037729</v>
      </c>
      <c r="AU68" s="7"/>
      <c r="AV68" s="196"/>
      <c r="AW68" s="196"/>
      <c r="AX68" s="7"/>
      <c r="AY68" s="196"/>
      <c r="AZ68" s="196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</row>
    <row r="69" spans="3:74">
      <c r="C69" s="120">
        <v>0.21125230583616514</v>
      </c>
      <c r="D69" s="120">
        <v>-0.25126748587220121</v>
      </c>
      <c r="F69" s="298">
        <v>3.5163367573450087E-2</v>
      </c>
      <c r="G69" s="298">
        <v>-0.24729071988769602</v>
      </c>
      <c r="I69" s="298">
        <v>4.9785383190851996E-2</v>
      </c>
      <c r="J69" s="298">
        <v>-0.24839204113291014</v>
      </c>
      <c r="L69" s="3">
        <v>6.6936017147309512E-2</v>
      </c>
      <c r="M69" s="3">
        <v>-0.24894074445917949</v>
      </c>
      <c r="R69" s="7"/>
      <c r="S69" s="7"/>
      <c r="T69" s="7"/>
      <c r="U69" s="7"/>
      <c r="V69" s="7"/>
      <c r="W69" s="7"/>
      <c r="X69" s="7"/>
      <c r="Y69" s="7"/>
      <c r="Z69" s="7"/>
      <c r="AD69" s="28"/>
      <c r="AE69" s="7"/>
      <c r="AF69" s="144"/>
      <c r="AG69" s="321"/>
      <c r="AH69" s="144"/>
      <c r="AI69" s="144"/>
      <c r="AJ69" s="228">
        <v>2.2560804789601197E-2</v>
      </c>
      <c r="AK69" s="196">
        <v>-0.24521734958268776</v>
      </c>
      <c r="AM69" s="3">
        <v>3.5163367573450087E-2</v>
      </c>
      <c r="AN69" s="3">
        <v>-0.24729071988769602</v>
      </c>
      <c r="AP69" s="3">
        <v>4.0228983607264984E-2</v>
      </c>
      <c r="AQ69" s="3">
        <v>-0.24785340670934214</v>
      </c>
      <c r="AS69" s="3">
        <v>4.3724991893077922E-2</v>
      </c>
      <c r="AT69" s="3">
        <v>-0.24808486267640639</v>
      </c>
      <c r="AV69" s="3"/>
      <c r="AW69" s="3"/>
      <c r="AY69" s="3"/>
      <c r="AZ69" s="3"/>
    </row>
    <row r="70" spans="3:74">
      <c r="C70" s="120">
        <v>0.20838619910005479</v>
      </c>
      <c r="D70" s="120">
        <v>-0.26959958979283138</v>
      </c>
      <c r="F70" s="298">
        <v>3.4758440877693947E-2</v>
      </c>
      <c r="G70" s="298">
        <v>-0.2646486405230255</v>
      </c>
      <c r="I70" s="298">
        <v>4.9173747745899006E-2</v>
      </c>
      <c r="J70" s="298">
        <v>-0.26598413191285331</v>
      </c>
      <c r="L70" s="3">
        <v>6.6159591008760801E-2</v>
      </c>
      <c r="M70" s="3">
        <v>-0.26664678126404667</v>
      </c>
      <c r="R70" s="7"/>
      <c r="S70" s="7"/>
      <c r="T70" s="7"/>
      <c r="U70" s="7"/>
      <c r="V70" s="7"/>
      <c r="W70" s="7"/>
      <c r="X70" s="7"/>
      <c r="Y70" s="7"/>
      <c r="Z70" s="7"/>
      <c r="AD70" s="28"/>
      <c r="AE70" s="7"/>
      <c r="AF70" s="144"/>
      <c r="AG70" s="321"/>
      <c r="AH70" s="144"/>
      <c r="AI70" s="144"/>
      <c r="AJ70" s="228">
        <v>2.2294685761997234E-2</v>
      </c>
      <c r="AK70" s="196">
        <v>-0.26196884872026555</v>
      </c>
      <c r="AM70" s="3">
        <v>3.4758440877693947E-2</v>
      </c>
      <c r="AN70" s="3">
        <v>-0.2646486405230255</v>
      </c>
      <c r="AP70" s="3">
        <v>3.9760539720147162E-2</v>
      </c>
      <c r="AQ70" s="3">
        <v>-0.26537656536714688</v>
      </c>
      <c r="AS70" s="3">
        <v>4.3224646278215047E-2</v>
      </c>
      <c r="AT70" s="3">
        <v>-0.26567594429440033</v>
      </c>
      <c r="AV70" s="3"/>
      <c r="AW70" s="3"/>
      <c r="AY70" s="3"/>
      <c r="AZ70" s="3"/>
    </row>
    <row r="71" spans="3:74">
      <c r="C71" s="133">
        <v>0.20826957262261139</v>
      </c>
      <c r="D71" s="133">
        <v>-0.27035186996590765</v>
      </c>
      <c r="F71" s="298">
        <v>3.4626564069574095E-2</v>
      </c>
      <c r="G71" s="298">
        <v>-0.27035186996586758</v>
      </c>
      <c r="I71" s="298">
        <v>4.9023004101482352E-2</v>
      </c>
      <c r="J71" s="298">
        <v>-0.27035186996590643</v>
      </c>
      <c r="L71" s="3">
        <v>6.5998204154040674E-2</v>
      </c>
      <c r="M71" s="3">
        <v>-0.27035186996590821</v>
      </c>
      <c r="R71" s="7"/>
      <c r="S71" s="7"/>
      <c r="T71" s="7"/>
      <c r="U71" s="7"/>
      <c r="V71" s="7"/>
      <c r="W71" s="7"/>
      <c r="X71" s="7"/>
      <c r="Y71" s="7"/>
      <c r="Z71" s="7"/>
      <c r="AD71" s="28"/>
      <c r="AE71" s="7"/>
      <c r="AF71" s="144"/>
      <c r="AG71" s="321"/>
      <c r="AH71" s="144"/>
      <c r="AI71" s="144"/>
      <c r="AJ71" s="228">
        <v>2.216278449835999E-2</v>
      </c>
      <c r="AK71" s="196">
        <v>-0.2703518699642643</v>
      </c>
      <c r="AM71" s="3">
        <v>3.4626564069574095E-2</v>
      </c>
      <c r="AN71" s="3">
        <v>-0.27035186996586758</v>
      </c>
      <c r="AP71" s="3">
        <v>3.9628675710842311E-2</v>
      </c>
      <c r="AQ71" s="3">
        <v>-0.27035186996589744</v>
      </c>
      <c r="AS71" s="3">
        <v>4.3092776622040987E-2</v>
      </c>
      <c r="AT71" s="3">
        <v>-0.27035186996590138</v>
      </c>
      <c r="AV71" s="3"/>
      <c r="AW71" s="3"/>
      <c r="AY71" s="3"/>
      <c r="AZ71" s="3"/>
    </row>
    <row r="72" spans="3:74">
      <c r="C72" s="133">
        <v>0.20540291999353938</v>
      </c>
      <c r="D72" s="133">
        <v>-0.28896488091434946</v>
      </c>
      <c r="F72" s="298">
        <v>3.4234002433908131E-2</v>
      </c>
      <c r="G72" s="298">
        <v>-0.28745016794846912</v>
      </c>
      <c r="I72" s="298">
        <v>4.8422849804836403E-2</v>
      </c>
      <c r="J72" s="298">
        <v>-0.28784435387697593</v>
      </c>
      <c r="L72" s="3">
        <v>6.5231847065271659E-2</v>
      </c>
      <c r="M72" s="3">
        <v>-0.28804122213362249</v>
      </c>
      <c r="R72" s="7"/>
      <c r="S72" s="7"/>
      <c r="T72" s="7"/>
      <c r="U72" s="7"/>
      <c r="V72" s="7"/>
      <c r="W72" s="7"/>
      <c r="X72" s="7"/>
      <c r="Y72" s="7"/>
      <c r="Z72" s="7"/>
      <c r="AD72" s="28"/>
      <c r="AE72" s="7"/>
      <c r="AF72" s="144"/>
      <c r="AG72" s="321"/>
      <c r="AH72" s="144"/>
      <c r="AI72" s="144"/>
      <c r="AJ72" s="228">
        <v>2.1907093905112283E-2</v>
      </c>
      <c r="AK72" s="196">
        <v>-0.286731531340918</v>
      </c>
      <c r="AM72" s="3">
        <v>3.4234002433908131E-2</v>
      </c>
      <c r="AN72" s="3">
        <v>-0.28745016794846912</v>
      </c>
      <c r="AP72" s="3">
        <v>3.9173502666908423E-2</v>
      </c>
      <c r="AQ72" s="3">
        <v>-0.28764481018783217</v>
      </c>
      <c r="AS72" s="3">
        <v>4.2606154319478166E-2</v>
      </c>
      <c r="AT72" s="3">
        <v>-0.28772487385108669</v>
      </c>
      <c r="AV72" s="3"/>
      <c r="AW72" s="3"/>
      <c r="AY72" s="3"/>
      <c r="AZ72" s="3"/>
    </row>
    <row r="73" spans="3:74">
      <c r="C73" s="133">
        <v>0.20251533325716295</v>
      </c>
      <c r="D73" s="133">
        <v>-0.3079511376237522</v>
      </c>
      <c r="F73" s="298">
        <v>3.3836287095768913E-2</v>
      </c>
      <c r="G73" s="298">
        <v>-0.3049462386094014</v>
      </c>
      <c r="I73" s="298">
        <v>4.7814314810033641E-2</v>
      </c>
      <c r="J73" s="298">
        <v>-0.30574086533283973</v>
      </c>
      <c r="L73" s="3">
        <v>6.4454497233877292E-2</v>
      </c>
      <c r="M73" s="3">
        <v>-0.30613832767011595</v>
      </c>
      <c r="R73" s="7"/>
      <c r="S73" s="7"/>
      <c r="T73" s="7"/>
      <c r="U73" s="7"/>
      <c r="V73" s="7"/>
      <c r="W73" s="7"/>
      <c r="X73" s="7"/>
      <c r="Y73" s="7"/>
      <c r="Z73" s="7"/>
      <c r="AD73" s="28"/>
      <c r="AE73" s="7"/>
      <c r="AF73" s="144"/>
      <c r="AG73" s="321"/>
      <c r="AH73" s="144"/>
      <c r="AI73" s="144"/>
      <c r="AJ73" s="228">
        <v>2.1648193481691159E-2</v>
      </c>
      <c r="AK73" s="196">
        <v>-0.30347542680656414</v>
      </c>
      <c r="AM73" s="3">
        <v>3.3836287095768913E-2</v>
      </c>
      <c r="AN73" s="3">
        <v>-0.3049462386094014</v>
      </c>
      <c r="AP73" s="3">
        <v>3.8712282750604073E-2</v>
      </c>
      <c r="AQ73" s="3">
        <v>-0.30534490456125607</v>
      </c>
      <c r="AS73" s="3">
        <v>4.2113036600095993E-2</v>
      </c>
      <c r="AT73" s="3">
        <v>-0.30550889297573042</v>
      </c>
      <c r="AV73" s="3"/>
      <c r="AW73" s="3"/>
      <c r="AY73" s="3"/>
      <c r="AZ73" s="3"/>
    </row>
    <row r="74" spans="3:74">
      <c r="C74" s="133">
        <v>0.19960637542075907</v>
      </c>
      <c r="D74" s="133">
        <v>-0.32732297842335034</v>
      </c>
      <c r="F74" s="298">
        <v>3.3433297535855326E-2</v>
      </c>
      <c r="G74" s="298">
        <v>-0.32285347471989978</v>
      </c>
      <c r="I74" s="298">
        <v>4.7197204634417476E-2</v>
      </c>
      <c r="J74" s="298">
        <v>-0.32405451694107423</v>
      </c>
      <c r="L74" s="3">
        <v>6.3665900128854133E-2</v>
      </c>
      <c r="M74" s="3">
        <v>-0.32465621897785296</v>
      </c>
      <c r="R74" s="7"/>
      <c r="S74" s="7"/>
      <c r="T74" s="7"/>
      <c r="U74" s="7"/>
      <c r="V74" s="7"/>
      <c r="W74" s="7"/>
      <c r="X74" s="7"/>
      <c r="Y74" s="7"/>
      <c r="Z74" s="7"/>
      <c r="AD74" s="28"/>
      <c r="AE74" s="7"/>
      <c r="AF74" s="144"/>
      <c r="AG74" s="321"/>
      <c r="AH74" s="144"/>
      <c r="AI74" s="144"/>
      <c r="AJ74" s="228">
        <v>2.1386011500369135E-2</v>
      </c>
      <c r="AK74" s="196">
        <v>-0.32059527316909492</v>
      </c>
      <c r="AM74" s="3">
        <v>3.3433297535855326E-2</v>
      </c>
      <c r="AN74" s="3">
        <v>-0.32285347471989978</v>
      </c>
      <c r="AP74" s="3">
        <v>3.8244872835743668E-2</v>
      </c>
      <c r="AQ74" s="3">
        <v>-0.32346602891213311</v>
      </c>
      <c r="AS74" s="3">
        <v>4.1613268971117855E-2</v>
      </c>
      <c r="AT74" s="3">
        <v>-0.32371800317823368</v>
      </c>
      <c r="AV74" s="3"/>
      <c r="AW74" s="3"/>
      <c r="AY74" s="3"/>
      <c r="AZ74" s="3"/>
    </row>
    <row r="75" spans="3:74">
      <c r="C75" s="133">
        <v>0.19667559503442383</v>
      </c>
      <c r="D75" s="133">
        <v>-0.34709331294248724</v>
      </c>
      <c r="F75" s="298">
        <v>3.3024909156120615E-2</v>
      </c>
      <c r="G75" s="298">
        <v>-0.34118586219280106</v>
      </c>
      <c r="I75" s="298">
        <v>4.6571318454122171E-2</v>
      </c>
      <c r="J75" s="298">
        <v>-0.34279897183417302</v>
      </c>
      <c r="L75" s="3">
        <v>6.2865793047985841E-2</v>
      </c>
      <c r="M75" s="3">
        <v>-0.34360846315457594</v>
      </c>
      <c r="R75" s="7"/>
      <c r="S75" s="7"/>
      <c r="T75" s="7"/>
      <c r="U75" s="7"/>
      <c r="V75" s="7"/>
      <c r="W75" s="7"/>
      <c r="X75" s="7"/>
      <c r="Y75" s="7"/>
      <c r="Z75" s="7"/>
      <c r="AD75" s="28"/>
      <c r="AE75" s="7"/>
      <c r="AF75" s="144"/>
      <c r="AG75" s="321"/>
      <c r="AH75" s="144"/>
      <c r="AI75" s="144"/>
      <c r="AJ75" s="228">
        <v>2.1120473914703317E-2</v>
      </c>
      <c r="AK75" s="196">
        <v>-0.33810328279076335</v>
      </c>
      <c r="AM75" s="3">
        <v>3.3024909156120615E-2</v>
      </c>
      <c r="AN75" s="3">
        <v>-0.34118586219280106</v>
      </c>
      <c r="AP75" s="3">
        <v>3.7771124892908209E-2</v>
      </c>
      <c r="AQ75" s="3">
        <v>-0.3420226811745633</v>
      </c>
      <c r="AS75" s="3">
        <v>4.11066916211347E-2</v>
      </c>
      <c r="AT75" s="3">
        <v>-0.34236691448768364</v>
      </c>
      <c r="AV75" s="3"/>
      <c r="AW75" s="3"/>
      <c r="AY75" s="3"/>
      <c r="AZ75" s="3"/>
    </row>
    <row r="76" spans="3:74">
      <c r="C76" s="133">
        <v>0.19372252551765981</v>
      </c>
      <c r="D76" s="133">
        <v>-0.36727565633114567</v>
      </c>
      <c r="F76" s="298">
        <v>3.2610993098190266E-2</v>
      </c>
      <c r="G76" s="298">
        <v>-0.35995801278084277</v>
      </c>
      <c r="I76" s="298">
        <v>4.5936448836594743E-2</v>
      </c>
      <c r="J76" s="298">
        <v>-0.36198847212699548</v>
      </c>
      <c r="L76" s="3">
        <v>6.2053904781098589E-2</v>
      </c>
      <c r="M76" s="3">
        <v>-0.36300918886461131</v>
      </c>
      <c r="R76" s="7"/>
      <c r="S76" s="7"/>
      <c r="T76" s="7"/>
      <c r="U76" s="7"/>
      <c r="V76" s="7"/>
      <c r="W76" s="7"/>
      <c r="X76" s="7"/>
      <c r="Y76" s="7"/>
      <c r="Z76" s="7"/>
      <c r="AD76" s="28"/>
      <c r="AE76" s="7"/>
      <c r="AF76" s="144"/>
      <c r="AG76" s="321"/>
      <c r="AH76" s="144"/>
      <c r="AI76" s="144"/>
      <c r="AJ76" s="228">
        <v>2.0851504260979731E-2</v>
      </c>
      <c r="AK76" s="196">
        <v>-0.35601218966466863</v>
      </c>
      <c r="AM76" s="3">
        <v>3.2610993098190266E-2</v>
      </c>
      <c r="AN76" s="3">
        <v>-0.35995801278084277</v>
      </c>
      <c r="AP76" s="3">
        <v>3.7290885768453616E-2</v>
      </c>
      <c r="AQ76" s="3">
        <v>-0.3610300161129858</v>
      </c>
      <c r="AS76" s="3">
        <v>4.0593139179201397E-2</v>
      </c>
      <c r="AT76" s="3">
        <v>-0.36147100669702348</v>
      </c>
      <c r="AV76" s="3"/>
      <c r="AW76" s="3"/>
      <c r="AY76" s="3"/>
      <c r="AZ76" s="3"/>
    </row>
    <row r="77" spans="3:74">
      <c r="C77" s="101">
        <v>0.19356489876290511</v>
      </c>
      <c r="D77" s="101">
        <v>-0.36836040959450028</v>
      </c>
      <c r="F77" s="298">
        <v>3.2427097276084366E-2</v>
      </c>
      <c r="G77" s="298">
        <v>-0.36836040959446409</v>
      </c>
      <c r="I77" s="298">
        <v>4.5726929467835013E-2</v>
      </c>
      <c r="J77" s="298">
        <v>-0.36836040959449889</v>
      </c>
      <c r="L77" s="3">
        <v>6.18312158645851E-2</v>
      </c>
      <c r="M77" s="3">
        <v>-0.36836040959449895</v>
      </c>
      <c r="R77" s="7"/>
      <c r="S77" s="7"/>
      <c r="T77" s="7"/>
      <c r="U77" s="7"/>
      <c r="V77" s="7"/>
      <c r="W77" s="7"/>
      <c r="X77" s="7"/>
      <c r="Y77" s="7"/>
      <c r="Z77" s="7"/>
      <c r="AD77" s="28"/>
      <c r="AE77" s="7"/>
      <c r="AF77" s="144"/>
      <c r="AG77" s="321"/>
      <c r="AH77" s="144"/>
      <c r="AI77" s="144"/>
      <c r="AJ77" s="228">
        <v>2.0667577885804655E-2</v>
      </c>
      <c r="AK77" s="196">
        <v>-0.36836040959305316</v>
      </c>
      <c r="AM77" s="3">
        <v>3.2427097276084366E-2</v>
      </c>
      <c r="AN77" s="3">
        <v>-0.36836040959446409</v>
      </c>
      <c r="AP77" s="3">
        <v>3.7107006502884288E-2</v>
      </c>
      <c r="AQ77" s="3">
        <v>-0.36836040959448979</v>
      </c>
      <c r="AS77" s="3">
        <v>4.0409252640442248E-2</v>
      </c>
      <c r="AT77" s="3">
        <v>-0.36836040959449434</v>
      </c>
      <c r="AV77" s="3"/>
      <c r="AW77" s="3"/>
      <c r="AY77" s="3"/>
      <c r="AZ77" s="3"/>
    </row>
    <row r="78" spans="3:74">
      <c r="C78" s="101">
        <v>0.19015682620285421</v>
      </c>
      <c r="D78" s="101">
        <v>-0.39195223739182561</v>
      </c>
      <c r="F78" s="298">
        <v>3.1966469343270437E-2</v>
      </c>
      <c r="G78" s="298">
        <v>-0.38954294105617238</v>
      </c>
      <c r="I78" s="298">
        <v>4.5015645359512982E-2</v>
      </c>
      <c r="J78" s="298">
        <v>-0.39010667634647</v>
      </c>
      <c r="L78" s="3">
        <v>6.0918785453880936E-2</v>
      </c>
      <c r="M78" s="3">
        <v>-0.3903918857542949</v>
      </c>
      <c r="R78" s="7"/>
      <c r="S78" s="7"/>
      <c r="T78" s="7"/>
      <c r="U78" s="7"/>
      <c r="V78" s="7"/>
      <c r="W78" s="7"/>
      <c r="X78" s="7"/>
      <c r="Y78" s="7"/>
      <c r="Z78" s="7"/>
      <c r="AD78" s="28"/>
      <c r="AE78" s="7"/>
      <c r="AF78" s="144"/>
      <c r="AG78" s="321"/>
      <c r="AH78" s="144"/>
      <c r="AI78" s="144"/>
      <c r="AJ78" s="228">
        <v>2.0370892018882182E-2</v>
      </c>
      <c r="AK78" s="196">
        <v>-0.38842453507117403</v>
      </c>
      <c r="AM78" s="3">
        <v>3.1966469343270437E-2</v>
      </c>
      <c r="AN78" s="3">
        <v>-0.38954294105617238</v>
      </c>
      <c r="AP78" s="3">
        <v>3.6571388633127394E-2</v>
      </c>
      <c r="AQ78" s="3">
        <v>-0.38984595637082142</v>
      </c>
      <c r="AS78" s="3">
        <v>3.9835967398041905E-2</v>
      </c>
      <c r="AT78" s="3">
        <v>-0.38997057859341527</v>
      </c>
      <c r="AV78" s="3"/>
      <c r="AW78" s="3"/>
      <c r="AY78" s="3"/>
      <c r="AZ78" s="3"/>
    </row>
    <row r="79" spans="3:74">
      <c r="C79" s="101">
        <v>0.1867467764091853</v>
      </c>
      <c r="D79" s="101">
        <v>-0.4158216130452887</v>
      </c>
      <c r="F79" s="298">
        <v>3.1501826597655436E-2</v>
      </c>
      <c r="G79" s="298">
        <v>-0.41108898901980684</v>
      </c>
      <c r="I79" s="298">
        <v>4.4297000301990234E-2</v>
      </c>
      <c r="J79" s="298">
        <v>-0.41224434626969247</v>
      </c>
      <c r="L79" s="3">
        <v>5.9996213351257967E-2</v>
      </c>
      <c r="M79" s="3">
        <v>-0.41282997521066001</v>
      </c>
      <c r="R79" s="7"/>
      <c r="S79" s="7"/>
      <c r="T79" s="7"/>
      <c r="U79" s="7"/>
      <c r="V79" s="7"/>
      <c r="W79" s="7"/>
      <c r="X79" s="7"/>
      <c r="Y79" s="7"/>
      <c r="Z79" s="7"/>
      <c r="AD79" s="28"/>
      <c r="AE79" s="7"/>
      <c r="AF79" s="144"/>
      <c r="AG79" s="321"/>
      <c r="AH79" s="144"/>
      <c r="AI79" s="144"/>
      <c r="AJ79" s="228">
        <v>2.0071760910473344E-2</v>
      </c>
      <c r="AK79" s="196">
        <v>-0.40881412136939016</v>
      </c>
      <c r="AM79" s="3">
        <v>3.1501826597655436E-2</v>
      </c>
      <c r="AN79" s="3">
        <v>-0.41108898901980684</v>
      </c>
      <c r="AP79" s="3">
        <v>3.6031033346549557E-2</v>
      </c>
      <c r="AQ79" s="3">
        <v>-0.41170573190913212</v>
      </c>
      <c r="AS79" s="3">
        <v>3.9257581628225874E-2</v>
      </c>
      <c r="AT79" s="3">
        <v>-0.41195940210728932</v>
      </c>
      <c r="AV79" s="3"/>
      <c r="AW79" s="3"/>
      <c r="AY79" s="3"/>
      <c r="AZ79" s="3"/>
    </row>
    <row r="80" spans="3:74">
      <c r="C80" s="101">
        <v>0.18333470964395737</v>
      </c>
      <c r="D80" s="101">
        <v>-0.43997497084613996</v>
      </c>
      <c r="F80" s="298">
        <v>3.1033099833757447E-2</v>
      </c>
      <c r="G80" s="298">
        <v>-0.43300792658788362</v>
      </c>
      <c r="I80" s="298">
        <v>4.3570861272596281E-2</v>
      </c>
      <c r="J80" s="298">
        <v>-0.43478351785177105</v>
      </c>
      <c r="L80" s="3">
        <v>5.9063311654701044E-2</v>
      </c>
      <c r="M80" s="3">
        <v>-0.43568522476434945</v>
      </c>
      <c r="R80" s="7"/>
      <c r="S80" s="7"/>
      <c r="T80" s="7"/>
      <c r="U80" s="7"/>
      <c r="V80" s="7"/>
      <c r="W80" s="7"/>
      <c r="X80" s="7"/>
      <c r="Y80" s="7"/>
      <c r="Z80" s="7"/>
      <c r="AD80" s="28"/>
      <c r="AE80" s="7"/>
      <c r="AF80" s="144"/>
      <c r="AG80" s="321"/>
      <c r="AH80" s="144"/>
      <c r="AI80" s="144"/>
      <c r="AJ80" s="228">
        <v>1.9770144733498592E-2</v>
      </c>
      <c r="AK80" s="196">
        <v>-0.42953709678560315</v>
      </c>
      <c r="AM80" s="3">
        <v>3.1033099833757447E-2</v>
      </c>
      <c r="AN80" s="3">
        <v>-0.43300792658788362</v>
      </c>
      <c r="AP80" s="3">
        <v>3.5485857750157522E-2</v>
      </c>
      <c r="AQ80" s="3">
        <v>-0.43394953113022472</v>
      </c>
      <c r="AS80" s="3">
        <v>3.8674005544130724E-2</v>
      </c>
      <c r="AT80" s="3">
        <v>-0.43433685085083756</v>
      </c>
      <c r="AV80" s="3"/>
      <c r="AW80" s="3"/>
      <c r="AY80" s="3"/>
      <c r="AZ80" s="3"/>
    </row>
    <row r="81" spans="1:52">
      <c r="C81" s="101">
        <v>0.17992058542118083</v>
      </c>
      <c r="D81" s="101">
        <v>-0.46441896814097455</v>
      </c>
      <c r="F81" s="298">
        <v>3.056021805402042E-2</v>
      </c>
      <c r="G81" s="298">
        <v>-0.45530945074810331</v>
      </c>
      <c r="I81" s="298">
        <v>4.283709180322634E-2</v>
      </c>
      <c r="J81" s="298">
        <v>-0.45773463012805815</v>
      </c>
      <c r="L81" s="3">
        <v>5.8119887570146189E-2</v>
      </c>
      <c r="M81" s="3">
        <v>-0.45896853485404093</v>
      </c>
      <c r="R81" s="7"/>
      <c r="S81" s="7"/>
      <c r="T81" s="7"/>
      <c r="U81" s="7"/>
      <c r="V81" s="7"/>
      <c r="W81" s="7"/>
      <c r="X81" s="7"/>
      <c r="Y81" s="7"/>
      <c r="Z81" s="7"/>
      <c r="AD81" s="28"/>
      <c r="AE81" s="7"/>
      <c r="AF81" s="144"/>
      <c r="AG81" s="321"/>
      <c r="AH81" s="144"/>
      <c r="AI81" s="144"/>
      <c r="AJ81" s="228">
        <v>1.9466002686757956E-2</v>
      </c>
      <c r="AK81" s="196">
        <v>-0.45060164832253524</v>
      </c>
      <c r="AM81" s="3">
        <v>3.056021805402042E-2</v>
      </c>
      <c r="AN81" s="3">
        <v>-0.45530945074810331</v>
      </c>
      <c r="AP81" s="3">
        <v>3.4935776771908768E-2</v>
      </c>
      <c r="AQ81" s="3">
        <v>-0.45658749256762327</v>
      </c>
      <c r="AS81" s="3">
        <v>3.8085146984282524E-2</v>
      </c>
      <c r="AT81" s="3">
        <v>-0.45711324745300796</v>
      </c>
      <c r="AV81" s="3"/>
      <c r="AW81" s="3"/>
      <c r="AY81" s="3"/>
      <c r="AZ81" s="3"/>
    </row>
    <row r="82" spans="1:52">
      <c r="C82" s="101">
        <v>0.17650436248060644</v>
      </c>
      <c r="D82" s="101">
        <v>-0.48916049569634368</v>
      </c>
      <c r="F82" s="298">
        <v>3.008310840662021E-2</v>
      </c>
      <c r="G82" s="298">
        <v>-0.47800359645463403</v>
      </c>
      <c r="I82" s="298">
        <v>4.2095551863698066E-2</v>
      </c>
      <c r="J82" s="298">
        <v>-0.48110847690556069</v>
      </c>
      <c r="L82" s="3">
        <v>5.7165743246832296E-2</v>
      </c>
      <c r="M82" s="3">
        <v>-0.48269117413881613</v>
      </c>
      <c r="R82" s="7"/>
      <c r="S82" s="7"/>
      <c r="T82" s="7"/>
      <c r="U82" s="7"/>
      <c r="V82" s="7"/>
      <c r="W82" s="7"/>
      <c r="X82" s="7"/>
      <c r="Y82" s="7"/>
      <c r="Z82" s="7"/>
      <c r="AD82" s="28"/>
      <c r="AE82" s="7"/>
      <c r="AF82" s="144"/>
      <c r="AG82" s="321"/>
      <c r="AH82" s="144"/>
      <c r="AI82" s="144"/>
      <c r="AJ82" s="228">
        <v>1.9159292963017042E-2</v>
      </c>
      <c r="AK82" s="196">
        <v>-0.47201623230382384</v>
      </c>
      <c r="AM82" s="3">
        <v>3.008310840662021E-2</v>
      </c>
      <c r="AN82" s="3">
        <v>-0.47800359645463403</v>
      </c>
      <c r="AP82" s="3">
        <v>3.4380703083937939E-2</v>
      </c>
      <c r="AQ82" s="3">
        <v>-0.47963011353594875</v>
      </c>
      <c r="AS82" s="3">
        <v>3.7490911328412126E-2</v>
      </c>
      <c r="AT82" s="3">
        <v>-0.48029928208743156</v>
      </c>
      <c r="AV82" s="3"/>
      <c r="AW82" s="3"/>
      <c r="AY82" s="3"/>
      <c r="AZ82" s="3"/>
    </row>
    <row r="83" spans="1:52">
      <c r="C83" s="131">
        <v>0.17628594575314688</v>
      </c>
      <c r="D83" s="131">
        <v>-0.4907521065033762</v>
      </c>
      <c r="F83" s="298">
        <v>2.9816876705514118E-2</v>
      </c>
      <c r="G83" s="298">
        <v>-0.49075210650335316</v>
      </c>
      <c r="I83" s="298">
        <v>4.179127051003189E-2</v>
      </c>
      <c r="J83" s="298">
        <v>-0.49075210650337237</v>
      </c>
      <c r="L83" s="3">
        <v>5.684312922564036E-2</v>
      </c>
      <c r="M83" s="3">
        <v>-0.49075210650337187</v>
      </c>
      <c r="R83" s="7"/>
      <c r="S83" s="7"/>
      <c r="T83" s="7"/>
      <c r="U83" s="7"/>
      <c r="V83" s="7"/>
      <c r="W83" s="7"/>
      <c r="X83" s="7"/>
      <c r="Y83" s="7"/>
      <c r="Z83" s="7"/>
      <c r="AD83" s="28"/>
      <c r="AE83" s="7"/>
      <c r="AF83" s="144"/>
      <c r="AG83" s="321"/>
      <c r="AH83" s="144"/>
      <c r="AI83" s="144"/>
      <c r="AJ83" s="228">
        <v>1.8892972833770696E-2</v>
      </c>
      <c r="AK83" s="196">
        <v>-0.49075210650261514</v>
      </c>
      <c r="AM83" s="3">
        <v>2.9816876705514118E-2</v>
      </c>
      <c r="AN83" s="3">
        <v>-0.49075210650335316</v>
      </c>
      <c r="AP83" s="3">
        <v>3.411450721690247E-2</v>
      </c>
      <c r="AQ83" s="3">
        <v>-0.49075210650336931</v>
      </c>
      <c r="AS83" s="3">
        <v>3.7224710909028493E-2</v>
      </c>
      <c r="AT83" s="3">
        <v>-0.49075210650337087</v>
      </c>
      <c r="AV83" s="3"/>
      <c r="AW83" s="3"/>
      <c r="AY83" s="3"/>
      <c r="AZ83" s="3"/>
    </row>
    <row r="84" spans="1:52">
      <c r="C84" s="131">
        <v>0.17174484569616194</v>
      </c>
      <c r="D84" s="131">
        <v>-0.52403015154569776</v>
      </c>
      <c r="F84" s="298">
        <v>2.9212352629059028E-2</v>
      </c>
      <c r="G84" s="298">
        <v>-0.51987641157546294</v>
      </c>
      <c r="I84" s="298">
        <v>4.0851188698388302E-2</v>
      </c>
      <c r="J84" s="298">
        <v>-0.52069296911629537</v>
      </c>
      <c r="L84" s="3">
        <v>5.5633132889147729E-2</v>
      </c>
      <c r="M84" s="3">
        <v>-0.52112015042533977</v>
      </c>
      <c r="R84" s="7"/>
      <c r="S84" s="7"/>
      <c r="T84" s="7"/>
      <c r="U84" s="7"/>
      <c r="V84" s="7"/>
      <c r="W84" s="7"/>
      <c r="X84" s="7"/>
      <c r="Y84" s="7"/>
      <c r="Z84" s="7"/>
      <c r="AD84" s="28"/>
      <c r="AE84" s="7"/>
      <c r="AF84" s="144"/>
      <c r="AG84" s="321"/>
      <c r="AH84" s="144"/>
      <c r="AI84" s="144"/>
      <c r="AJ84" s="228">
        <v>1.8507385183512307E-2</v>
      </c>
      <c r="AK84" s="196">
        <v>-0.51806833037716349</v>
      </c>
      <c r="AM84" s="3">
        <v>2.9212352629059028E-2</v>
      </c>
      <c r="AN84" s="3">
        <v>-0.51987641157546294</v>
      </c>
      <c r="AP84" s="3">
        <v>3.3409844207901405E-2</v>
      </c>
      <c r="AQ84" s="3">
        <v>-0.52036634567510964</v>
      </c>
      <c r="AS84" s="3">
        <v>3.6469747795563043E-2</v>
      </c>
      <c r="AT84" s="3">
        <v>-0.52056782654868639</v>
      </c>
      <c r="AV84" s="3"/>
      <c r="AW84" s="3"/>
      <c r="AY84" s="3"/>
      <c r="AZ84" s="3"/>
    </row>
    <row r="85" spans="1:52">
      <c r="C85" s="131">
        <v>0.16724510232265657</v>
      </c>
      <c r="D85" s="131">
        <v>-0.55735649088971584</v>
      </c>
      <c r="F85" s="298">
        <v>2.8605242181540261E-2</v>
      </c>
      <c r="G85" s="298">
        <v>-0.54934275620558726</v>
      </c>
      <c r="I85" s="298">
        <v>3.9904474803056457E-2</v>
      </c>
      <c r="J85" s="298">
        <v>-0.55104691056708299</v>
      </c>
      <c r="L85" s="3">
        <v>5.4413076223871405E-2</v>
      </c>
      <c r="M85" s="3">
        <v>-0.55193743366710157</v>
      </c>
      <c r="R85" s="7"/>
      <c r="S85" s="7"/>
      <c r="T85" s="7"/>
      <c r="U85" s="7"/>
      <c r="V85" s="7"/>
      <c r="W85" s="7"/>
      <c r="X85" s="7"/>
      <c r="Y85" s="7"/>
      <c r="Z85" s="7"/>
      <c r="AD85" s="28"/>
      <c r="AE85" s="7"/>
      <c r="AF85" s="144"/>
      <c r="AG85" s="321"/>
      <c r="AH85" s="144"/>
      <c r="AI85" s="144"/>
      <c r="AJ85" s="228">
        <v>1.8120252518720032E-2</v>
      </c>
      <c r="AK85" s="196">
        <v>-0.54568483616470387</v>
      </c>
      <c r="AM85" s="3">
        <v>2.8605242181540261E-2</v>
      </c>
      <c r="AN85" s="3">
        <v>-0.54934275620558726</v>
      </c>
      <c r="AP85" s="3">
        <v>3.2702114602622186E-2</v>
      </c>
      <c r="AQ85" s="3">
        <v>-0.55033444370057705</v>
      </c>
      <c r="AS85" s="3">
        <v>3.5711476672555323E-2</v>
      </c>
      <c r="AT85" s="3">
        <v>-0.55074230159125015</v>
      </c>
      <c r="AV85" s="3"/>
      <c r="AW85" s="3"/>
      <c r="AY85" s="3"/>
      <c r="AZ85" s="3"/>
    </row>
    <row r="86" spans="1:52">
      <c r="C86" s="131">
        <v>0.16278675013595809</v>
      </c>
      <c r="D86" s="131">
        <v>-0.59073176943301808</v>
      </c>
      <c r="F86" s="298">
        <v>2.7995514853998881E-2</v>
      </c>
      <c r="G86" s="298">
        <v>-0.57915775437089356</v>
      </c>
      <c r="I86" s="298">
        <v>3.8951036976062683E-2</v>
      </c>
      <c r="J86" s="298">
        <v>-0.58182246085518496</v>
      </c>
      <c r="L86" s="3">
        <v>5.3182809866917487E-2</v>
      </c>
      <c r="M86" s="3">
        <v>-0.58321355973137967</v>
      </c>
      <c r="R86" s="7"/>
      <c r="S86" s="7"/>
      <c r="T86" s="7"/>
      <c r="U86" s="7"/>
      <c r="V86" s="7"/>
      <c r="W86" s="7"/>
      <c r="X86" s="7"/>
      <c r="Y86" s="7"/>
      <c r="Z86" s="7"/>
      <c r="AD86" s="28"/>
      <c r="AE86" s="7"/>
      <c r="AF86" s="144"/>
      <c r="AG86" s="321"/>
      <c r="AH86" s="144"/>
      <c r="AI86" s="144"/>
      <c r="AJ86" s="228">
        <v>1.7731557790495289E-2</v>
      </c>
      <c r="AK86" s="196">
        <v>-0.57360705608192419</v>
      </c>
      <c r="AM86" s="3">
        <v>2.7995514853998881E-2</v>
      </c>
      <c r="AN86" s="3">
        <v>-0.57915775437089356</v>
      </c>
      <c r="AP86" s="3">
        <v>3.1991281586336441E-2</v>
      </c>
      <c r="AQ86" s="3">
        <v>-0.58066336351449122</v>
      </c>
      <c r="AS86" s="3">
        <v>3.4949857543959101E-2</v>
      </c>
      <c r="AT86" s="3">
        <v>-0.58128264069261748</v>
      </c>
      <c r="AV86" s="3"/>
      <c r="AW86" s="3"/>
      <c r="AY86" s="3"/>
      <c r="AZ86" s="3"/>
    </row>
    <row r="87" spans="1:52">
      <c r="C87" s="131">
        <v>0.15836982465349259</v>
      </c>
      <c r="D87" s="131">
        <v>-0.62415664637591761</v>
      </c>
      <c r="F87" s="298">
        <v>2.7383139545361191E-2</v>
      </c>
      <c r="G87" s="298">
        <v>-0.60932819891252632</v>
      </c>
      <c r="I87" s="298">
        <v>3.7990781466316549E-2</v>
      </c>
      <c r="J87" s="298">
        <v>-0.61302838536875248</v>
      </c>
      <c r="L87" s="3">
        <v>5.194218125187975E-2</v>
      </c>
      <c r="M87" s="3">
        <v>-0.61495840146417824</v>
      </c>
      <c r="R87" s="7"/>
      <c r="S87" s="7"/>
      <c r="T87" s="7"/>
      <c r="U87" s="7"/>
      <c r="V87" s="7"/>
      <c r="W87" s="7"/>
      <c r="X87" s="7"/>
      <c r="Y87" s="7"/>
      <c r="Z87" s="7"/>
      <c r="AD87" s="28"/>
      <c r="AE87" s="7"/>
      <c r="AF87" s="144"/>
      <c r="AG87" s="321"/>
      <c r="AH87" s="144"/>
      <c r="AI87" s="144"/>
      <c r="AJ87" s="228">
        <v>1.7341283640443138E-2</v>
      </c>
      <c r="AK87" s="196">
        <v>-0.60184055971466244</v>
      </c>
      <c r="AM87" s="3">
        <v>2.7383139545361191E-2</v>
      </c>
      <c r="AN87" s="3">
        <v>-0.60932819891252632</v>
      </c>
      <c r="AP87" s="3">
        <v>3.1277307617222694E-2</v>
      </c>
      <c r="AQ87" s="3">
        <v>-0.61136025969107</v>
      </c>
      <c r="AS87" s="3">
        <v>3.418484961822621E-2</v>
      </c>
      <c r="AT87" s="3">
        <v>-0.61219614996592053</v>
      </c>
      <c r="AV87" s="3"/>
      <c r="AW87" s="3"/>
      <c r="AY87" s="3"/>
      <c r="AZ87" s="3"/>
    </row>
    <row r="88" spans="1:52">
      <c r="C88" s="131">
        <v>0.15399436242429154</v>
      </c>
      <c r="D88" s="131">
        <v>-0.65763179570729535</v>
      </c>
      <c r="F88" s="298">
        <v>2.6768084546365017E-2</v>
      </c>
      <c r="G88" s="298">
        <v>-0.63986106777211527</v>
      </c>
      <c r="I88" s="298">
        <v>3.7023612566911418E-2</v>
      </c>
      <c r="J88" s="298">
        <v>-0.64467369303761546</v>
      </c>
      <c r="L88" s="3">
        <v>5.0691034518695083E-2</v>
      </c>
      <c r="M88" s="3">
        <v>-0.64718211042874385</v>
      </c>
      <c r="R88" s="7"/>
      <c r="S88" s="7"/>
      <c r="T88" s="7"/>
      <c r="U88" s="7"/>
      <c r="V88" s="7"/>
      <c r="W88" s="7"/>
      <c r="X88" s="7"/>
      <c r="Y88" s="7"/>
      <c r="Z88" s="7"/>
      <c r="AD88" s="28"/>
      <c r="AE88" s="7"/>
      <c r="AF88" s="144"/>
      <c r="AG88" s="321"/>
      <c r="AH88" s="144"/>
      <c r="AI88" s="144"/>
      <c r="AJ88" s="228">
        <v>1.6949412392817876E-2</v>
      </c>
      <c r="AK88" s="196">
        <v>-0.63039105849446209</v>
      </c>
      <c r="AM88" s="3">
        <v>2.6768084546365017E-2</v>
      </c>
      <c r="AN88" s="3">
        <v>-0.63986106777211527</v>
      </c>
      <c r="AP88" s="3">
        <v>3.0560154406277431E-2</v>
      </c>
      <c r="AQ88" s="3">
        <v>-0.64243248524536489</v>
      </c>
      <c r="AS88" s="3">
        <v>3.341641128617083E-2</v>
      </c>
      <c r="AT88" s="3">
        <v>-0.64349033961939872</v>
      </c>
      <c r="AV88" s="3"/>
      <c r="AW88" s="3"/>
      <c r="AY88" s="3"/>
      <c r="AZ88" s="3"/>
    </row>
    <row r="89" spans="1:52">
      <c r="C89" s="129">
        <v>0.15368620641364855</v>
      </c>
      <c r="D89" s="129">
        <v>-0.66000334397619942</v>
      </c>
      <c r="F89" s="298">
        <v>2.6364886215480627E-2</v>
      </c>
      <c r="G89" s="298">
        <v>-0.6600033439761932</v>
      </c>
      <c r="I89" s="298">
        <v>3.6557460264059517E-2</v>
      </c>
      <c r="J89" s="298">
        <v>-0.66000334397620319</v>
      </c>
      <c r="L89" s="3">
        <v>5.0195494945462327E-2</v>
      </c>
      <c r="M89" s="3">
        <v>-0.66000334397619798</v>
      </c>
      <c r="R89" s="7"/>
      <c r="S89" s="7"/>
      <c r="T89" s="7"/>
      <c r="U89" s="7"/>
      <c r="V89" s="7"/>
      <c r="W89" s="7"/>
      <c r="X89" s="7"/>
      <c r="Y89" s="7"/>
      <c r="Z89" s="7"/>
      <c r="AD89" s="28"/>
      <c r="AE89" s="7"/>
      <c r="AF89" s="144"/>
      <c r="AG89" s="321"/>
      <c r="AH89" s="144"/>
      <c r="AI89" s="144"/>
      <c r="AJ89" s="228">
        <v>1.654589273694148E-2</v>
      </c>
      <c r="AK89" s="196">
        <v>-0.6600033439760904</v>
      </c>
      <c r="AM89" s="3">
        <v>2.6364886215480627E-2</v>
      </c>
      <c r="AN89" s="3">
        <v>-0.6600033439761932</v>
      </c>
      <c r="AP89" s="3">
        <v>3.015706161188686E-2</v>
      </c>
      <c r="AQ89" s="3">
        <v>-0.66000334397619786</v>
      </c>
      <c r="AS89" s="3">
        <v>3.3013333642520674E-2</v>
      </c>
      <c r="AT89" s="3">
        <v>-0.66000334397619964</v>
      </c>
      <c r="AV89" s="3"/>
      <c r="AW89" s="3"/>
      <c r="AY89" s="3"/>
      <c r="AZ89" s="3"/>
    </row>
    <row r="90" spans="1:52">
      <c r="A90" s="122"/>
      <c r="C90" s="129">
        <v>0.14653134201928544</v>
      </c>
      <c r="D90" s="129">
        <v>-0.71539701033240966</v>
      </c>
      <c r="F90" s="298">
        <v>2.5434984868880014E-2</v>
      </c>
      <c r="G90" s="298">
        <v>-0.70673774467009898</v>
      </c>
      <c r="I90" s="298">
        <v>3.5110256434386027E-2</v>
      </c>
      <c r="J90" s="298">
        <v>-0.7078220658811718</v>
      </c>
      <c r="L90" s="3">
        <v>4.8330888218247034E-2</v>
      </c>
      <c r="M90" s="3">
        <v>-0.70845285333307628</v>
      </c>
      <c r="R90" s="7"/>
      <c r="S90" s="7"/>
      <c r="T90" s="7"/>
      <c r="U90" s="7"/>
      <c r="V90" s="7"/>
      <c r="W90" s="7"/>
      <c r="X90" s="7"/>
      <c r="Y90" s="7"/>
      <c r="Z90" s="7"/>
      <c r="AD90" s="28"/>
      <c r="AE90" s="7"/>
      <c r="AF90" s="144"/>
      <c r="AG90" s="321"/>
      <c r="AH90" s="144"/>
      <c r="AI90" s="144"/>
      <c r="AJ90" s="228">
        <v>1.5956317729329168E-2</v>
      </c>
      <c r="AK90" s="196">
        <v>-0.70357048325809546</v>
      </c>
      <c r="AM90" s="3">
        <v>2.5434984868880014E-2</v>
      </c>
      <c r="AN90" s="3">
        <v>-0.70673774467009898</v>
      </c>
      <c r="AP90" s="3">
        <v>2.9071510201823605E-2</v>
      </c>
      <c r="AQ90" s="3">
        <v>-0.7075959035738969</v>
      </c>
      <c r="AS90" s="3">
        <v>3.1849598659959587E-2</v>
      </c>
      <c r="AT90" s="3">
        <v>-0.70794875889665021</v>
      </c>
      <c r="AV90" s="3"/>
      <c r="AW90" s="3"/>
      <c r="AY90" s="3"/>
      <c r="AZ90" s="3"/>
    </row>
    <row r="91" spans="1:52">
      <c r="A91" s="122"/>
      <c r="C91" s="129">
        <v>0.13959212172579372</v>
      </c>
      <c r="D91" s="129">
        <v>-0.76973202527555196</v>
      </c>
      <c r="F91" s="298">
        <v>2.4507406010772174E-2</v>
      </c>
      <c r="G91" s="298">
        <v>-0.75368542412394679</v>
      </c>
      <c r="I91" s="298">
        <v>3.3659152507704966E-2</v>
      </c>
      <c r="J91" s="298">
        <v>-0.75606947100010413</v>
      </c>
      <c r="L91" s="3">
        <v>4.6457109234654244E-2</v>
      </c>
      <c r="M91" s="3">
        <v>-0.75743115398001137</v>
      </c>
      <c r="R91" s="7"/>
      <c r="S91" s="7"/>
      <c r="T91" s="7"/>
      <c r="U91" s="7"/>
      <c r="V91" s="7"/>
      <c r="W91" s="7"/>
      <c r="X91" s="7"/>
      <c r="Y91" s="7"/>
      <c r="Z91" s="7"/>
      <c r="AD91" s="28"/>
      <c r="AE91" s="7"/>
      <c r="AF91" s="144"/>
      <c r="AG91" s="321"/>
      <c r="AH91" s="144"/>
      <c r="AI91" s="144"/>
      <c r="AJ91" s="228">
        <v>1.5368112112408145E-2</v>
      </c>
      <c r="AK91" s="196">
        <v>-0.74732261935350264</v>
      </c>
      <c r="AM91" s="3">
        <v>2.4507406010772174E-2</v>
      </c>
      <c r="AN91" s="3">
        <v>-0.75368542412394679</v>
      </c>
      <c r="AP91" s="3">
        <v>2.7988722358092605E-2</v>
      </c>
      <c r="AQ91" s="3">
        <v>-0.7554097673159812</v>
      </c>
      <c r="AS91" s="3">
        <v>3.0688849342890349E-2</v>
      </c>
      <c r="AT91" s="3">
        <v>-0.75611880524229069</v>
      </c>
      <c r="AV91" s="3"/>
      <c r="AW91" s="3"/>
      <c r="AY91" s="3"/>
      <c r="AZ91" s="3"/>
    </row>
    <row r="92" spans="1:52">
      <c r="A92" s="122"/>
      <c r="C92" s="129">
        <v>0.1328643350505804</v>
      </c>
      <c r="D92" s="129">
        <v>-0.82301716045071605</v>
      </c>
      <c r="F92" s="298">
        <v>2.3582160235040658E-2</v>
      </c>
      <c r="G92" s="298">
        <v>-0.80084888155731515</v>
      </c>
      <c r="I92" s="298">
        <v>3.2204113329858348E-2</v>
      </c>
      <c r="J92" s="298">
        <v>-0.80475212691007292</v>
      </c>
      <c r="L92" s="3">
        <v>4.4574057470403924E-2</v>
      </c>
      <c r="M92" s="3">
        <v>-0.80694723128941903</v>
      </c>
      <c r="R92" s="7"/>
      <c r="S92" s="7"/>
      <c r="T92" s="7"/>
      <c r="U92" s="7"/>
      <c r="V92" s="7"/>
      <c r="W92" s="7"/>
      <c r="X92" s="7"/>
      <c r="Y92" s="7"/>
      <c r="Z92" s="7"/>
      <c r="AD92" s="28"/>
      <c r="AE92" s="7"/>
      <c r="AF92" s="144"/>
      <c r="AG92" s="321"/>
      <c r="AH92" s="144"/>
      <c r="AI92" s="144"/>
      <c r="AJ92" s="228">
        <v>1.4781281709299038E-2</v>
      </c>
      <c r="AK92" s="196">
        <v>-0.79126176783323343</v>
      </c>
      <c r="AM92" s="3">
        <v>2.3582160235040658E-2</v>
      </c>
      <c r="AN92" s="3">
        <v>-0.80084888155731515</v>
      </c>
      <c r="AP92" s="3">
        <v>2.6908710909630536E-2</v>
      </c>
      <c r="AQ92" s="3">
        <v>-0.80344757824448121</v>
      </c>
      <c r="AS92" s="3">
        <v>2.9531099646710718E-2</v>
      </c>
      <c r="AT92" s="3">
        <v>-0.80451618644133804</v>
      </c>
      <c r="AV92" s="3"/>
      <c r="AW92" s="3"/>
      <c r="AY92" s="3"/>
      <c r="AZ92" s="3"/>
    </row>
    <row r="93" spans="1:52">
      <c r="A93" s="122"/>
      <c r="C93" s="129">
        <v>0.12634380936883391</v>
      </c>
      <c r="D93" s="129">
        <v>-0.87526120622366543</v>
      </c>
      <c r="F93" s="298">
        <v>2.2659258260566858E-2</v>
      </c>
      <c r="G93" s="298">
        <v>-0.84823066359744104</v>
      </c>
      <c r="I93" s="298">
        <v>3.0745103206697003E-2</v>
      </c>
      <c r="J93" s="298">
        <v>-0.85387674405869751</v>
      </c>
      <c r="L93" s="3">
        <v>4.2681630688030811E-2</v>
      </c>
      <c r="M93" s="3">
        <v>-0.85701027857131062</v>
      </c>
      <c r="R93" s="7"/>
      <c r="S93" s="7"/>
      <c r="T93" s="7"/>
      <c r="U93" s="7"/>
      <c r="V93" s="7"/>
      <c r="W93" s="7"/>
      <c r="X93" s="7"/>
      <c r="Y93" s="7"/>
      <c r="Z93" s="7"/>
      <c r="AD93" s="28"/>
      <c r="AE93" s="7"/>
      <c r="AF93" s="144"/>
      <c r="AG93" s="321"/>
      <c r="AH93" s="144"/>
      <c r="AI93" s="144"/>
      <c r="AJ93" s="228">
        <v>1.4195832406874838E-2</v>
      </c>
      <c r="AK93" s="196">
        <v>-0.83538997980289786</v>
      </c>
      <c r="AM93" s="3">
        <v>2.2659258260566858E-2</v>
      </c>
      <c r="AN93" s="3">
        <v>-0.84823066359744104</v>
      </c>
      <c r="AP93" s="3">
        <v>2.5831488839819859E-2</v>
      </c>
      <c r="AQ93" s="3">
        <v>-0.85171203050311239</v>
      </c>
      <c r="AS93" s="3">
        <v>2.8376363696221388E-2</v>
      </c>
      <c r="AT93" s="3">
        <v>-0.85314365859444252</v>
      </c>
      <c r="AV93" s="3"/>
      <c r="AW93" s="3"/>
      <c r="AY93" s="3"/>
      <c r="AZ93" s="3"/>
    </row>
    <row r="94" spans="1:52">
      <c r="A94" s="122"/>
      <c r="C94" s="129">
        <v>0.12002640991021241</v>
      </c>
      <c r="D94" s="129">
        <v>-0.92647297215068147</v>
      </c>
      <c r="F94" s="298">
        <v>2.1738710933608227E-2</v>
      </c>
      <c r="G94" s="298">
        <v>-0.89583336552734549</v>
      </c>
      <c r="I94" s="298">
        <v>2.9282085892294984E-2</v>
      </c>
      <c r="J94" s="298">
        <v>-0.90345017980315523</v>
      </c>
      <c r="L94" s="3">
        <v>4.0779724897120416E-2</v>
      </c>
      <c r="M94" s="3">
        <v>-0.90762970317962366</v>
      </c>
      <c r="R94" s="7"/>
      <c r="S94" s="7"/>
      <c r="T94" s="7"/>
      <c r="U94" s="7"/>
      <c r="V94" s="7"/>
      <c r="W94" s="7"/>
      <c r="X94" s="7"/>
      <c r="Y94" s="7"/>
      <c r="Z94" s="7"/>
      <c r="AD94" s="28"/>
      <c r="AE94" s="7"/>
      <c r="AF94" s="144"/>
      <c r="AG94" s="321"/>
      <c r="AH94" s="144"/>
      <c r="AI94" s="144"/>
      <c r="AJ94" s="228">
        <v>1.3611770156889016E-2</v>
      </c>
      <c r="AK94" s="196">
        <v>-0.87970934277181989</v>
      </c>
      <c r="AM94" s="3">
        <v>2.1738710933608227E-2</v>
      </c>
      <c r="AN94" s="3">
        <v>-0.89583336552734549</v>
      </c>
      <c r="AP94" s="3">
        <v>2.4757069289484561E-2</v>
      </c>
      <c r="AQ94" s="3">
        <v>-0.90020587070880986</v>
      </c>
      <c r="AS94" s="3">
        <v>2.722465578893556E-2</v>
      </c>
      <c r="AT94" s="3">
        <v>-0.9020040318993896</v>
      </c>
      <c r="AV94" s="3"/>
      <c r="AW94" s="3"/>
      <c r="AY94" s="3"/>
      <c r="AZ94" s="3"/>
    </row>
    <row r="95" spans="1:52">
      <c r="A95" s="122"/>
      <c r="C95" s="96">
        <v>0.11959171475731865</v>
      </c>
      <c r="D95" s="96">
        <v>-0.93001918678854112</v>
      </c>
      <c r="F95" s="298">
        <v>2.1081720637751187E-2</v>
      </c>
      <c r="G95" s="298">
        <v>-0.93001918678854323</v>
      </c>
      <c r="I95" s="298">
        <v>2.8501803239423966E-2</v>
      </c>
      <c r="J95" s="298">
        <v>-0.93001918678854223</v>
      </c>
      <c r="L95" s="3">
        <v>3.99421648182859E-2</v>
      </c>
      <c r="M95" s="3">
        <v>-0.9300191867885369</v>
      </c>
      <c r="R95" s="7"/>
      <c r="S95" s="7"/>
      <c r="T95" s="7"/>
      <c r="U95" s="7"/>
      <c r="V95" s="7"/>
      <c r="W95" s="7"/>
      <c r="X95" s="7"/>
      <c r="Y95" s="7"/>
      <c r="Z95" s="7"/>
      <c r="AD95" s="28"/>
      <c r="AE95" s="7"/>
      <c r="AF95" s="144"/>
      <c r="AG95" s="321"/>
      <c r="AH95" s="144"/>
      <c r="AI95" s="144"/>
      <c r="AJ95" s="228">
        <v>1.2953505451130231E-2</v>
      </c>
      <c r="AK95" s="196">
        <v>-0.93001918678854034</v>
      </c>
      <c r="AM95" s="3">
        <v>2.1081720637751187E-2</v>
      </c>
      <c r="AN95" s="3">
        <v>-0.93001918678854323</v>
      </c>
      <c r="AP95" s="3">
        <v>2.4100457005862174E-2</v>
      </c>
      <c r="AQ95" s="3">
        <v>-0.93001918678854079</v>
      </c>
      <c r="AS95" s="3">
        <v>2.656815291105551E-2</v>
      </c>
      <c r="AT95" s="3">
        <v>-0.93001918678854201</v>
      </c>
      <c r="AV95" s="3"/>
      <c r="AW95" s="3"/>
      <c r="AY95" s="3"/>
      <c r="AZ95" s="3"/>
    </row>
    <row r="96" spans="1:52">
      <c r="A96" s="122"/>
      <c r="C96" s="96">
        <v>0.10398552391204691</v>
      </c>
      <c r="D96" s="96">
        <v>-1.0583901289066073</v>
      </c>
      <c r="F96" s="298">
        <v>1.9248217002343117E-2</v>
      </c>
      <c r="G96" s="298">
        <v>-1.0260283596765771</v>
      </c>
      <c r="I96" s="298">
        <v>2.5697672825100937E-2</v>
      </c>
      <c r="J96" s="298">
        <v>-1.0259619168471252</v>
      </c>
      <c r="L96" s="3">
        <v>3.6347945091976641E-2</v>
      </c>
      <c r="M96" s="3">
        <v>-1.0265082968276016</v>
      </c>
      <c r="R96" s="7"/>
      <c r="S96" s="7"/>
      <c r="T96" s="7"/>
      <c r="U96" s="7"/>
      <c r="V96" s="7"/>
      <c r="W96" s="7"/>
      <c r="X96" s="7"/>
      <c r="Y96" s="7"/>
      <c r="Z96" s="7"/>
      <c r="AD96" s="28"/>
      <c r="AE96" s="7"/>
      <c r="AF96" s="144"/>
      <c r="AG96" s="321"/>
      <c r="AH96" s="144"/>
      <c r="AI96" s="144"/>
      <c r="AJ96" s="228">
        <v>1.1788866187370833E-2</v>
      </c>
      <c r="AK96" s="196">
        <v>-1.0196811973804305</v>
      </c>
      <c r="AM96" s="3">
        <v>1.9248217002343117E-2</v>
      </c>
      <c r="AN96" s="3">
        <v>-1.0260283596765771</v>
      </c>
      <c r="AP96" s="3">
        <v>2.1961075648422285E-2</v>
      </c>
      <c r="AQ96" s="3">
        <v>-1.0277472483373911</v>
      </c>
      <c r="AS96" s="3">
        <v>2.4275132722761286E-2</v>
      </c>
      <c r="AT96" s="3">
        <v>-1.0284536010495808</v>
      </c>
      <c r="AV96" s="3"/>
      <c r="AW96" s="3"/>
      <c r="AY96" s="3"/>
      <c r="AZ96" s="3"/>
    </row>
    <row r="97" spans="1:60">
      <c r="A97" s="122"/>
      <c r="C97" s="96">
        <v>9.0117624286735976E-2</v>
      </c>
      <c r="D97" s="96">
        <v>-1.1743205512816555</v>
      </c>
      <c r="F97" s="298">
        <v>1.7451015965716965E-2</v>
      </c>
      <c r="G97" s="298">
        <v>-1.1208435444690741</v>
      </c>
      <c r="I97" s="298">
        <v>2.291299501320512E-2</v>
      </c>
      <c r="J97" s="298">
        <v>-1.1218363138208782</v>
      </c>
      <c r="L97" s="3">
        <v>3.2760758690510858E-2</v>
      </c>
      <c r="M97" s="3">
        <v>-1.123373053077559</v>
      </c>
      <c r="R97" s="7"/>
      <c r="S97" s="7"/>
      <c r="T97" s="7"/>
      <c r="U97" s="7"/>
      <c r="V97" s="7"/>
      <c r="W97" s="7"/>
      <c r="X97" s="7"/>
      <c r="Y97" s="7"/>
      <c r="Z97" s="7"/>
      <c r="AD97" s="28"/>
      <c r="AE97" s="7"/>
      <c r="AF97" s="144"/>
      <c r="AG97" s="321"/>
      <c r="AH97" s="144"/>
      <c r="AI97" s="144"/>
      <c r="AJ97" s="228">
        <v>1.064572042484228E-2</v>
      </c>
      <c r="AK97" s="196">
        <v>-1.1083041236703544</v>
      </c>
      <c r="AM97" s="3">
        <v>1.7451015965716965E-2</v>
      </c>
      <c r="AN97" s="3">
        <v>-1.1208435444690741</v>
      </c>
      <c r="AP97" s="3">
        <v>1.9864838486107775E-2</v>
      </c>
      <c r="AQ97" s="3">
        <v>-1.1242373361368305</v>
      </c>
      <c r="AS97" s="3">
        <v>2.2028698708647688E-2</v>
      </c>
      <c r="AT97" s="3">
        <v>-1.1256317988982827</v>
      </c>
      <c r="AV97" s="3"/>
      <c r="AW97" s="3"/>
      <c r="AY97" s="3"/>
      <c r="AZ97" s="3"/>
    </row>
    <row r="98" spans="1:60">
      <c r="A98" s="122"/>
      <c r="C98" s="96">
        <v>7.7817836763402981E-2</v>
      </c>
      <c r="D98" s="96">
        <v>-1.278843860963369</v>
      </c>
      <c r="F98" s="298">
        <v>1.5689664210108641E-2</v>
      </c>
      <c r="G98" s="298">
        <v>-1.214470759464513</v>
      </c>
      <c r="I98" s="298">
        <v>2.0147755619021358E-2</v>
      </c>
      <c r="J98" s="298">
        <v>-1.2176420006911857</v>
      </c>
      <c r="L98" s="3">
        <v>2.9180632681791371E-2</v>
      </c>
      <c r="M98" s="3">
        <v>-1.2206171407564286</v>
      </c>
      <c r="R98" s="7"/>
      <c r="S98" s="7"/>
      <c r="T98" s="7"/>
      <c r="U98" s="7"/>
      <c r="V98" s="7"/>
      <c r="W98" s="7"/>
      <c r="X98" s="7"/>
      <c r="Y98" s="7"/>
      <c r="Z98" s="7"/>
      <c r="AD98" s="28"/>
      <c r="AE98" s="7"/>
      <c r="AF98" s="144"/>
      <c r="AG98" s="321"/>
      <c r="AH98" s="144"/>
      <c r="AI98" s="144"/>
      <c r="AJ98" s="228">
        <v>9.5238181690051396E-3</v>
      </c>
      <c r="AK98" s="196">
        <v>-1.1958928418864201</v>
      </c>
      <c r="AM98" s="3">
        <v>1.5689664210108641E-2</v>
      </c>
      <c r="AN98" s="3">
        <v>-1.214470759464513</v>
      </c>
      <c r="AP98" s="3">
        <v>1.7811196644669576E-2</v>
      </c>
      <c r="AQ98" s="3">
        <v>-1.2194958086444749</v>
      </c>
      <c r="AS98" s="3">
        <v>1.982825373290972E-2</v>
      </c>
      <c r="AT98" s="3">
        <v>-1.2215602817938127</v>
      </c>
      <c r="AV98" s="3"/>
      <c r="AW98" s="3"/>
      <c r="AY98" s="3"/>
      <c r="AZ98" s="3"/>
    </row>
    <row r="99" spans="1:60">
      <c r="A99" s="122"/>
      <c r="C99" s="96">
        <v>6.6930285375419868E-2</v>
      </c>
      <c r="D99" s="96">
        <v>-1.3729223239160593</v>
      </c>
      <c r="F99" s="298">
        <v>1.3963710715934254E-2</v>
      </c>
      <c r="G99" s="298">
        <v>-1.3069160377419182</v>
      </c>
      <c r="I99" s="298">
        <v>1.7401940383121955E-2</v>
      </c>
      <c r="J99" s="298">
        <v>-1.3133785959186528</v>
      </c>
      <c r="L99" s="3">
        <v>2.5607594403160024E-2</v>
      </c>
      <c r="M99" s="3">
        <v>-1.3182443032368107</v>
      </c>
      <c r="R99" s="7"/>
      <c r="S99" s="7"/>
      <c r="T99" s="7"/>
      <c r="U99" s="7"/>
      <c r="V99" s="7"/>
      <c r="W99" s="7"/>
      <c r="X99" s="7"/>
      <c r="Y99" s="7"/>
      <c r="Z99" s="7"/>
      <c r="AD99" s="28"/>
      <c r="AE99" s="7"/>
      <c r="AF99" s="144"/>
      <c r="AG99" s="321"/>
      <c r="AH99" s="144"/>
      <c r="AI99" s="144"/>
      <c r="AJ99" s="228">
        <v>8.4229106037109584E-3</v>
      </c>
      <c r="AK99" s="196">
        <v>-1.2824522394505464</v>
      </c>
      <c r="AM99" s="3">
        <v>1.3963710715934254E-2</v>
      </c>
      <c r="AN99" s="3">
        <v>-1.3069160377419182</v>
      </c>
      <c r="AP99" s="3">
        <v>1.5799604087290489E-2</v>
      </c>
      <c r="AQ99" s="3">
        <v>-1.3135290401908102</v>
      </c>
      <c r="AS99" s="3">
        <v>1.7673203771427469E-2</v>
      </c>
      <c r="AT99" s="3">
        <v>-1.3162455675265385</v>
      </c>
      <c r="AV99" s="3"/>
      <c r="AW99" s="3"/>
      <c r="AY99" s="3"/>
      <c r="AZ99" s="3"/>
    </row>
    <row r="100" spans="1:60">
      <c r="A100" s="122"/>
      <c r="C100" s="96">
        <v>5.7312398219572576E-2</v>
      </c>
      <c r="D100" s="96">
        <v>-1.4574509253365289</v>
      </c>
      <c r="F100" s="298">
        <v>1.2272706767361962E-2</v>
      </c>
      <c r="G100" s="298">
        <v>-1.3981854273114467</v>
      </c>
      <c r="I100" s="298">
        <v>1.4675534970437689E-2</v>
      </c>
      <c r="J100" s="298">
        <v>-1.4090457133602527</v>
      </c>
      <c r="L100" s="3">
        <v>2.2041671465652116E-2</v>
      </c>
      <c r="M100" s="3">
        <v>-1.4162583433154983</v>
      </c>
      <c r="R100" s="7"/>
      <c r="S100" s="7"/>
      <c r="T100" s="7"/>
      <c r="U100" s="7"/>
      <c r="V100" s="7"/>
      <c r="W100" s="7"/>
      <c r="X100" s="7"/>
      <c r="Y100" s="7"/>
      <c r="Z100" s="7"/>
      <c r="AD100" s="28"/>
      <c r="AE100" s="7"/>
      <c r="AF100" s="144"/>
      <c r="AG100" s="321"/>
      <c r="AH100" s="144"/>
      <c r="AI100" s="144"/>
      <c r="AJ100" s="228">
        <v>7.3427500938961525E-3</v>
      </c>
      <c r="AK100" s="196">
        <v>-1.3679872150840957</v>
      </c>
      <c r="AM100" s="3">
        <v>1.2272706767361962E-2</v>
      </c>
      <c r="AN100" s="3">
        <v>-1.3981854273114467</v>
      </c>
      <c r="AP100" s="3">
        <v>1.3829517621538305E-2</v>
      </c>
      <c r="AQ100" s="3">
        <v>-1.406343421144693</v>
      </c>
      <c r="AS100" s="3">
        <v>1.556295791941702E-2</v>
      </c>
      <c r="AT100" s="3">
        <v>-1.4096941903896929</v>
      </c>
      <c r="AV100" s="3"/>
      <c r="AW100" s="3"/>
      <c r="AY100" s="3"/>
      <c r="AZ100" s="3"/>
    </row>
    <row r="101" spans="1:60">
      <c r="C101" s="126">
        <v>5.6843947959047153E-2</v>
      </c>
      <c r="D101" s="126">
        <v>-1.4616059968409454</v>
      </c>
      <c r="F101" s="298">
        <v>1.110536715321288E-2</v>
      </c>
      <c r="G101" s="298">
        <v>-1.461605996840929</v>
      </c>
      <c r="I101" s="298">
        <v>1.3185040976730384E-2</v>
      </c>
      <c r="J101" s="298">
        <v>-1.4616059968409407</v>
      </c>
      <c r="L101" s="3">
        <v>2.0399033424628812E-2</v>
      </c>
      <c r="M101" s="3">
        <v>-1.4616059968409512</v>
      </c>
      <c r="R101" s="7"/>
      <c r="S101" s="7"/>
      <c r="T101" s="7"/>
      <c r="U101" s="7"/>
      <c r="V101" s="7"/>
      <c r="W101" s="7"/>
      <c r="X101" s="7"/>
      <c r="Y101" s="7"/>
      <c r="Z101" s="7"/>
      <c r="AD101" s="28"/>
      <c r="AE101" s="7"/>
      <c r="AF101" s="144"/>
      <c r="AG101" s="321"/>
      <c r="AH101" s="144"/>
      <c r="AI101" s="144"/>
      <c r="AJ101" s="228">
        <v>6.1694082986832417E-3</v>
      </c>
      <c r="AK101" s="196">
        <v>-1.4616059968400545</v>
      </c>
      <c r="AM101" s="3">
        <v>1.110536715321288E-2</v>
      </c>
      <c r="AN101" s="3">
        <v>-1.461605996840929</v>
      </c>
      <c r="AP101" s="3">
        <v>1.2663874113037732E-2</v>
      </c>
      <c r="AQ101" s="3">
        <v>-1.4616059968409425</v>
      </c>
      <c r="AS101" s="3">
        <v>1.4397922171547829E-2</v>
      </c>
      <c r="AT101" s="3">
        <v>-1.4616059968409465</v>
      </c>
      <c r="AV101" s="3"/>
      <c r="AW101" s="3"/>
      <c r="AY101" s="3"/>
      <c r="AZ101" s="3"/>
    </row>
    <row r="102" spans="1:60">
      <c r="C102" s="126">
        <v>4.3420277831414389E-2</v>
      </c>
      <c r="D102" s="126">
        <v>-1.5813037256811433</v>
      </c>
      <c r="F102" s="298">
        <v>5.3087155794068544E-3</v>
      </c>
      <c r="G102" s="298">
        <v>-1.7789431906899964</v>
      </c>
      <c r="I102" s="298">
        <v>1.4347909883219902E-3</v>
      </c>
      <c r="J102" s="298">
        <v>-1.8787539143710186</v>
      </c>
      <c r="L102" s="3">
        <v>3.6340231088100375E-3</v>
      </c>
      <c r="M102" s="3">
        <v>-1.927381089808772</v>
      </c>
      <c r="R102" s="7"/>
      <c r="S102" s="7"/>
      <c r="T102" s="7"/>
      <c r="U102" s="7"/>
      <c r="V102" s="7"/>
      <c r="W102" s="7"/>
      <c r="X102" s="7"/>
      <c r="Y102" s="7"/>
      <c r="Z102" s="7"/>
      <c r="AD102" s="28"/>
      <c r="AE102" s="7"/>
      <c r="AF102" s="144"/>
      <c r="AG102" s="321"/>
      <c r="AH102" s="144"/>
      <c r="AI102" s="144"/>
      <c r="AJ102" s="228">
        <v>2.2300286503843083E-3</v>
      </c>
      <c r="AK102" s="196">
        <v>-1.7787292903318566</v>
      </c>
      <c r="AM102" s="3">
        <v>5.3087155794068544E-3</v>
      </c>
      <c r="AN102" s="3">
        <v>-1.7789431906899964</v>
      </c>
      <c r="AP102" s="3">
        <v>6.0182218456877072E-3</v>
      </c>
      <c r="AQ102" s="3">
        <v>-1.7789749612246275</v>
      </c>
      <c r="AS102" s="3">
        <v>7.3251969411100501E-3</v>
      </c>
      <c r="AT102" s="3">
        <v>-1.7790109069630018</v>
      </c>
      <c r="AV102" s="3"/>
      <c r="AW102" s="3"/>
      <c r="AY102" s="3"/>
      <c r="AZ102" s="3"/>
    </row>
    <row r="103" spans="1:60">
      <c r="C103" s="126">
        <v>3.300898196240893E-2</v>
      </c>
      <c r="D103" s="126">
        <v>-1.6750894659493054</v>
      </c>
      <c r="F103" s="298">
        <v>1.4762624365700569E-4</v>
      </c>
      <c r="G103" s="298">
        <v>-2.0643393022949534</v>
      </c>
      <c r="I103" s="298">
        <v>-9.5115168463213856E-3</v>
      </c>
      <c r="J103" s="298">
        <v>-2.2712936868174527</v>
      </c>
      <c r="L103" s="3">
        <v>-1.2342616109378188E-2</v>
      </c>
      <c r="M103" s="3">
        <v>-2.3757504420504714</v>
      </c>
      <c r="R103" s="7"/>
      <c r="S103" s="7"/>
      <c r="T103" s="7"/>
      <c r="U103" s="7"/>
      <c r="V103" s="7"/>
      <c r="W103" s="7"/>
      <c r="X103" s="7"/>
      <c r="Y103" s="7"/>
      <c r="Z103" s="7"/>
      <c r="AD103" s="28"/>
      <c r="AE103" s="7"/>
      <c r="AF103" s="144"/>
      <c r="AG103" s="321"/>
      <c r="AH103" s="144"/>
      <c r="AI103" s="144"/>
      <c r="AJ103" s="228">
        <v>-1.278504055123985E-3</v>
      </c>
      <c r="AK103" s="196">
        <v>-2.0640129279203139</v>
      </c>
      <c r="AM103" s="3">
        <v>1.4762624365700569E-4</v>
      </c>
      <c r="AN103" s="3">
        <v>-2.0643393022949534</v>
      </c>
      <c r="AP103" s="3">
        <v>1.0172205701515329E-4</v>
      </c>
      <c r="AQ103" s="3">
        <v>-2.064377591804484</v>
      </c>
      <c r="AS103" s="3">
        <v>1.0287054056920767E-3</v>
      </c>
      <c r="AT103" s="3">
        <v>-2.0644366833764103</v>
      </c>
      <c r="AV103" s="3"/>
      <c r="AW103" s="3"/>
      <c r="AY103" s="3"/>
      <c r="AZ103" s="3"/>
    </row>
    <row r="104" spans="1:60">
      <c r="C104" s="126">
        <v>2.4954839726696515E-2</v>
      </c>
      <c r="D104" s="126">
        <v>-1.7483909823012918</v>
      </c>
      <c r="F104" s="298">
        <v>-4.4421755878398233E-3</v>
      </c>
      <c r="G104" s="298">
        <v>-2.3207332339431965</v>
      </c>
      <c r="I104" s="298">
        <v>-1.9701546375428217E-2</v>
      </c>
      <c r="J104" s="298">
        <v>-2.6404488052161614</v>
      </c>
      <c r="L104" s="3">
        <v>-2.756050450397933E-2</v>
      </c>
      <c r="M104" s="3">
        <v>-2.8071973967632857</v>
      </c>
      <c r="R104" s="7"/>
      <c r="S104" s="7"/>
      <c r="T104" s="7"/>
      <c r="U104" s="7"/>
      <c r="V104" s="7"/>
      <c r="W104" s="7"/>
      <c r="X104" s="7"/>
      <c r="Y104" s="7"/>
      <c r="Z104" s="7"/>
      <c r="AD104" s="28"/>
      <c r="AE104" s="7"/>
      <c r="AF104" s="144"/>
      <c r="AG104" s="321"/>
      <c r="AH104" s="144"/>
      <c r="AI104" s="144"/>
      <c r="AJ104" s="228">
        <v>-4.3996512440055155E-3</v>
      </c>
      <c r="AK104" s="196">
        <v>-2.3203790436891949</v>
      </c>
      <c r="AM104" s="3">
        <v>-4.4421755878398233E-3</v>
      </c>
      <c r="AN104" s="3">
        <v>-2.3207332339431965</v>
      </c>
      <c r="AP104" s="3">
        <v>-5.1594167333228174E-3</v>
      </c>
      <c r="AQ104" s="3">
        <v>-2.3207571831762537</v>
      </c>
      <c r="AS104" s="3">
        <v>-4.5701317309539361E-3</v>
      </c>
      <c r="AT104" s="3">
        <v>-2.3208286631558352</v>
      </c>
      <c r="AV104" s="3"/>
      <c r="AW104" s="3"/>
      <c r="AY104" s="3"/>
      <c r="AZ104" s="3"/>
    </row>
    <row r="105" spans="1:60">
      <c r="C105" s="126">
        <v>1.8740547175521344E-2</v>
      </c>
      <c r="D105" s="126">
        <v>-1.8055378165073313</v>
      </c>
      <c r="F105" s="298">
        <v>-8.5190223116749422E-3</v>
      </c>
      <c r="G105" s="298">
        <v>-2.5508193784167714</v>
      </c>
      <c r="I105" s="298">
        <v>-2.9180579393809997E-2</v>
      </c>
      <c r="J105" s="298">
        <v>-2.987393499482863</v>
      </c>
      <c r="L105" s="3">
        <v>-4.2048434913787104E-2</v>
      </c>
      <c r="M105" s="3">
        <v>-3.2221966054610776</v>
      </c>
      <c r="R105" s="7"/>
      <c r="S105" s="7"/>
      <c r="T105" s="7"/>
      <c r="U105" s="7"/>
      <c r="V105" s="7"/>
      <c r="W105" s="7"/>
      <c r="X105" s="7"/>
      <c r="Y105" s="7"/>
      <c r="Z105" s="7"/>
      <c r="AD105" s="28"/>
      <c r="AE105" s="7"/>
      <c r="AF105" s="144"/>
      <c r="AG105" s="321"/>
      <c r="AH105" s="144"/>
      <c r="AI105" s="144"/>
      <c r="AJ105" s="228">
        <v>-7.1728665807542927E-3</v>
      </c>
      <c r="AK105" s="196">
        <v>-2.5505072842815308</v>
      </c>
      <c r="AM105" s="3">
        <v>-8.5190223116749422E-3</v>
      </c>
      <c r="AN105" s="3">
        <v>-2.5508193784167714</v>
      </c>
      <c r="AP105" s="3">
        <v>-9.8321589099062048E-3</v>
      </c>
      <c r="AQ105" s="3">
        <v>-2.5508119787966037</v>
      </c>
      <c r="AS105" s="3">
        <v>-9.5426215082695543E-3</v>
      </c>
      <c r="AT105" s="3">
        <v>-2.5508868882765245</v>
      </c>
      <c r="AV105" s="3"/>
      <c r="AW105" s="3"/>
      <c r="AY105" s="3"/>
      <c r="AZ105" s="3"/>
    </row>
    <row r="106" spans="1:60">
      <c r="C106" s="126">
        <v>1.3958672703664105E-2</v>
      </c>
      <c r="D106" s="126">
        <v>-1.8499755187406266</v>
      </c>
      <c r="F106" s="298">
        <v>-1.2135800785290791E-2</v>
      </c>
      <c r="G106" s="298">
        <v>-2.757065764274552</v>
      </c>
      <c r="I106" s="298">
        <v>-3.7991612070277125E-2</v>
      </c>
      <c r="J106" s="298">
        <v>-3.3132542467598136</v>
      </c>
      <c r="L106" s="3">
        <v>-5.5834387735082702E-2</v>
      </c>
      <c r="M106" s="3">
        <v>-3.6212140976941516</v>
      </c>
      <c r="R106" s="7"/>
      <c r="S106" s="7"/>
      <c r="T106" s="7"/>
      <c r="U106" s="7"/>
      <c r="V106" s="7"/>
      <c r="W106" s="7"/>
      <c r="X106" s="7"/>
      <c r="Y106" s="7"/>
      <c r="Z106" s="7"/>
      <c r="AD106" s="28"/>
      <c r="AE106" s="7"/>
      <c r="AF106" s="144"/>
      <c r="AG106" s="321"/>
      <c r="AH106" s="144"/>
      <c r="AI106" s="144"/>
      <c r="AJ106" s="228">
        <v>-9.6339301509253301E-3</v>
      </c>
      <c r="AK106" s="196">
        <v>-2.7568527568188204</v>
      </c>
      <c r="AM106" s="3">
        <v>-1.2135800785290791E-2</v>
      </c>
      <c r="AN106" s="3">
        <v>-2.757065764274552</v>
      </c>
      <c r="AP106" s="3">
        <v>-1.3977212951379778E-2</v>
      </c>
      <c r="AQ106" s="3">
        <v>-2.7570133699322197</v>
      </c>
      <c r="AS106" s="3">
        <v>-1.3953407333630296E-2</v>
      </c>
      <c r="AT106" s="3">
        <v>-2.7570843283683919</v>
      </c>
      <c r="AV106" s="3"/>
      <c r="AW106" s="3"/>
      <c r="AY106" s="3"/>
      <c r="AZ106" s="3"/>
    </row>
    <row r="107" spans="1:60">
      <c r="C107" s="126">
        <v>1.0289111314894149E-2</v>
      </c>
      <c r="D107" s="126">
        <v>-1.8844396727380284</v>
      </c>
      <c r="F107" s="298">
        <v>-1.5340412074520334E-2</v>
      </c>
      <c r="G107" s="298">
        <v>-2.9417310208689211</v>
      </c>
      <c r="I107" s="298">
        <v>-4.6175448405094806E-2</v>
      </c>
      <c r="J107" s="298">
        <v>-3.6191112484058432</v>
      </c>
      <c r="L107" s="3">
        <v>-6.8945545792024915E-2</v>
      </c>
      <c r="M107" s="3">
        <v>-4.0047073509075872</v>
      </c>
      <c r="R107" s="7"/>
      <c r="S107" s="7"/>
      <c r="T107" s="7"/>
      <c r="U107" s="7"/>
      <c r="V107" s="7"/>
      <c r="W107" s="7"/>
      <c r="X107" s="7"/>
      <c r="Y107" s="7"/>
      <c r="Z107" s="7"/>
      <c r="AD107" s="28"/>
      <c r="AE107" s="7"/>
      <c r="AF107" s="144"/>
      <c r="AG107" s="321"/>
      <c r="AH107" s="144"/>
      <c r="AI107" s="144"/>
      <c r="AJ107" s="228">
        <v>-1.1815257787883972E-2</v>
      </c>
      <c r="AK107" s="196">
        <v>-2.9416628125370163</v>
      </c>
      <c r="AM107" s="3">
        <v>-1.5340412074520334E-2</v>
      </c>
      <c r="AN107" s="3">
        <v>-2.9417310208689211</v>
      </c>
      <c r="AP107" s="3">
        <v>-1.7649559988924195E-2</v>
      </c>
      <c r="AQ107" s="3">
        <v>-2.941622909940226</v>
      </c>
      <c r="AS107" s="3">
        <v>-1.7861032166836814E-2</v>
      </c>
      <c r="AT107" s="3">
        <v>-2.9416839168627709</v>
      </c>
      <c r="AV107" s="3"/>
      <c r="AW107" s="3"/>
      <c r="AY107" s="3"/>
      <c r="AZ107" s="3"/>
    </row>
    <row r="108" spans="1:60">
      <c r="C108" s="126">
        <v>7.4810001044151031E-3</v>
      </c>
      <c r="D108" s="126">
        <v>-1.9110969578821717</v>
      </c>
      <c r="F108" s="228">
        <v>-1.8176196572737911E-2</v>
      </c>
      <c r="G108" s="228">
        <v>-3.1068802288327175</v>
      </c>
      <c r="H108" s="18"/>
      <c r="I108" s="228">
        <v>-5.3770790779634307E-2</v>
      </c>
      <c r="J108" s="228">
        <v>-3.9059998759672596</v>
      </c>
      <c r="K108" s="18"/>
      <c r="L108" s="196">
        <v>-8.1408309084499808E-2</v>
      </c>
      <c r="M108" s="196">
        <v>-4.3731253604402802</v>
      </c>
      <c r="N108" s="18"/>
      <c r="O108" s="18"/>
      <c r="P108" s="18"/>
      <c r="Q108" s="18"/>
      <c r="R108" s="7"/>
      <c r="S108" s="7"/>
      <c r="T108" s="7"/>
      <c r="U108" s="7"/>
      <c r="V108" s="7"/>
      <c r="W108" s="7"/>
      <c r="X108" s="7"/>
      <c r="Y108" s="7"/>
      <c r="Z108" s="7"/>
      <c r="AA108" s="18"/>
      <c r="AB108" s="18"/>
      <c r="AC108" s="18"/>
      <c r="AD108" s="92"/>
      <c r="AE108" s="7"/>
      <c r="AF108" s="144"/>
      <c r="AG108" s="321"/>
      <c r="AH108" s="144"/>
      <c r="AI108" s="144"/>
      <c r="AJ108" s="228">
        <v>-1.3746187164011724E-2</v>
      </c>
      <c r="AK108" s="196">
        <v>-3.1069927308038983</v>
      </c>
      <c r="AM108" s="3">
        <v>-1.8176196572737911E-2</v>
      </c>
      <c r="AN108" s="3">
        <v>-3.1068802288327175</v>
      </c>
      <c r="AP108" s="3">
        <v>-2.0898942522600529E-2</v>
      </c>
      <c r="AQ108" s="3">
        <v>-3.1067082099145713</v>
      </c>
      <c r="AS108" s="3">
        <v>-2.131845923841566E-2</v>
      </c>
      <c r="AT108" s="3">
        <v>-3.1067544666982023</v>
      </c>
      <c r="AV108" s="3"/>
      <c r="AW108" s="3"/>
      <c r="AY108" s="3"/>
      <c r="AZ108" s="3"/>
      <c r="BH108" s="18"/>
    </row>
    <row r="109" spans="1:60" s="18" customFormat="1">
      <c r="C109" s="126">
        <v>5.3382454722272904E-3</v>
      </c>
      <c r="D109" s="126">
        <v>-1.9316592419486536</v>
      </c>
      <c r="F109" s="228">
        <v>-2.0682326778149206E-2</v>
      </c>
      <c r="G109" s="228">
        <v>-3.2543997187378144</v>
      </c>
      <c r="I109" s="228">
        <v>-6.0814327659755939E-2</v>
      </c>
      <c r="J109" s="228">
        <v>-4.1749120864681792</v>
      </c>
      <c r="L109" s="196">
        <v>-9.3248309413197117E-2</v>
      </c>
      <c r="M109" s="196">
        <v>-4.7269087096664828</v>
      </c>
      <c r="R109" s="7"/>
      <c r="S109" s="7"/>
      <c r="T109" s="7"/>
      <c r="U109" s="7"/>
      <c r="V109" s="7"/>
      <c r="W109" s="7"/>
      <c r="X109" s="7"/>
      <c r="Y109" s="7"/>
      <c r="Z109" s="7"/>
      <c r="AD109" s="92"/>
      <c r="AE109" s="7"/>
      <c r="AF109" s="144"/>
      <c r="AG109" s="321"/>
      <c r="AH109" s="144"/>
      <c r="AI109" s="144"/>
      <c r="AJ109" s="228">
        <v>-1.5453242176331195E-2</v>
      </c>
      <c r="AK109" s="196">
        <v>-3.2547203652070014</v>
      </c>
      <c r="AL109"/>
      <c r="AM109" s="3">
        <v>-2.0682326778149206E-2</v>
      </c>
      <c r="AN109" s="3">
        <v>-3.2543997187378144</v>
      </c>
      <c r="AO109"/>
      <c r="AP109" s="3">
        <v>-2.3770315928518693E-2</v>
      </c>
      <c r="AQ109" s="3">
        <v>-3.2541577786827443</v>
      </c>
      <c r="AR109"/>
      <c r="AS109" s="3">
        <v>-2.4373553109066311E-2</v>
      </c>
      <c r="AT109" s="3">
        <v>-3.2541855286934132</v>
      </c>
      <c r="AU109"/>
      <c r="AV109" s="196"/>
      <c r="AW109" s="196"/>
      <c r="AY109" s="196"/>
      <c r="AZ109" s="196"/>
    </row>
    <row r="110" spans="1:60" s="18" customFormat="1">
      <c r="C110" s="126">
        <v>3.7079678860077805E-3</v>
      </c>
      <c r="D110" s="126">
        <v>-1.9474756546928269</v>
      </c>
      <c r="F110" s="228">
        <v>-2.2894169886446609E-2</v>
      </c>
      <c r="G110" s="228">
        <v>-3.3860108777033582</v>
      </c>
      <c r="I110" s="228">
        <v>-6.73408185137436E-2</v>
      </c>
      <c r="J110" s="228">
        <v>-4.4267978073576861</v>
      </c>
      <c r="L110" s="196">
        <v>-0.10449042488173307</v>
      </c>
      <c r="M110" s="196">
        <v>-5.0664896402827182</v>
      </c>
      <c r="R110" s="7"/>
      <c r="S110" s="7"/>
      <c r="T110" s="7"/>
      <c r="U110" s="7"/>
      <c r="V110" s="7"/>
      <c r="W110" s="7"/>
      <c r="X110" s="7"/>
      <c r="Y110" s="7"/>
      <c r="Z110" s="7"/>
      <c r="AD110" s="92"/>
      <c r="AE110" s="7"/>
      <c r="AF110" s="144"/>
      <c r="AG110" s="321"/>
      <c r="AH110" s="144"/>
      <c r="AI110" s="144"/>
      <c r="AJ110" s="228">
        <v>-1.6960377070261844E-2</v>
      </c>
      <c r="AK110" s="196">
        <v>-3.3865598105327637</v>
      </c>
      <c r="AM110" s="196">
        <v>-2.2894169886446609E-2</v>
      </c>
      <c r="AN110" s="196">
        <v>-3.3860108777033582</v>
      </c>
      <c r="AP110" s="196">
        <v>-2.6304265240742399E-2</v>
      </c>
      <c r="AQ110" s="196">
        <v>-3.385694867197401</v>
      </c>
      <c r="AS110" s="196">
        <v>-2.7069523718640437E-2</v>
      </c>
      <c r="AT110" s="196">
        <v>-3.3857012527496138</v>
      </c>
      <c r="AV110" s="196"/>
      <c r="AW110" s="196"/>
      <c r="AY110" s="196"/>
      <c r="AZ110" s="196"/>
    </row>
    <row r="111" spans="1:60" s="18" customFormat="1">
      <c r="C111" s="126">
        <v>2.4712981244217683E-3</v>
      </c>
      <c r="D111" s="126">
        <v>-1.9596067223713107</v>
      </c>
      <c r="F111" s="228">
        <v>-2.4843622232810607E-2</v>
      </c>
      <c r="G111" s="228">
        <v>-3.5032830209155228</v>
      </c>
      <c r="I111" s="228">
        <v>-7.3383176004936684E-2</v>
      </c>
      <c r="J111" s="228">
        <v>-4.662566291451439</v>
      </c>
      <c r="L111" s="196">
        <v>-0.1151587942755818</v>
      </c>
      <c r="M111" s="196">
        <v>-5.3922921227413987</v>
      </c>
      <c r="R111" s="7"/>
      <c r="S111" s="7"/>
      <c r="T111" s="7"/>
      <c r="U111" s="7"/>
      <c r="V111" s="7"/>
      <c r="W111" s="7"/>
      <c r="X111" s="7"/>
      <c r="Y111" s="7"/>
      <c r="Z111" s="7"/>
      <c r="AD111" s="92"/>
      <c r="AE111" s="7"/>
      <c r="AF111" s="144"/>
      <c r="AG111" s="321"/>
      <c r="AH111" s="144"/>
      <c r="AI111" s="144"/>
      <c r="AJ111" s="228">
        <v>-1.8289201662963498E-2</v>
      </c>
      <c r="AK111" s="196">
        <v>-3.5040741466953658</v>
      </c>
      <c r="AM111" s="196">
        <v>-2.4843622232810607E-2</v>
      </c>
      <c r="AN111" s="196">
        <v>-3.5032830209155228</v>
      </c>
      <c r="AP111" s="196">
        <v>-2.8537389549812518E-2</v>
      </c>
      <c r="AQ111" s="196">
        <v>-3.5028903745365247</v>
      </c>
      <c r="AS111" s="196">
        <v>-2.9445335921527926E-2</v>
      </c>
      <c r="AT111" s="196">
        <v>-3.502873309205635</v>
      </c>
      <c r="AV111" s="196"/>
      <c r="AW111" s="196"/>
      <c r="AY111" s="196"/>
      <c r="AZ111" s="196"/>
    </row>
    <row r="112" spans="1:60" s="18" customFormat="1">
      <c r="C112" s="126">
        <v>1.5360643988466122E-3</v>
      </c>
      <c r="D112" s="126">
        <v>-1.9688839192504819</v>
      </c>
      <c r="F112" s="228">
        <v>-2.6559417499823705E-2</v>
      </c>
      <c r="G112" s="228">
        <v>-3.6076453823090135</v>
      </c>
      <c r="I112" s="228">
        <v>-7.8972545518542214E-2</v>
      </c>
      <c r="J112" s="228">
        <v>-4.8830874422048662</v>
      </c>
      <c r="L112" s="196">
        <v>-0.12527683131760287</v>
      </c>
      <c r="M112" s="196">
        <v>-5.7047319268344072</v>
      </c>
      <c r="R112" s="7"/>
      <c r="S112" s="7"/>
      <c r="T112" s="7"/>
      <c r="U112" s="7"/>
      <c r="V112" s="7"/>
      <c r="W112" s="7"/>
      <c r="X112" s="7"/>
      <c r="Y112" s="7"/>
      <c r="Z112" s="7"/>
      <c r="AD112" s="92"/>
      <c r="AE112" s="7"/>
      <c r="AF112" s="144"/>
      <c r="AG112" s="321"/>
      <c r="AH112" s="144"/>
      <c r="AI112" s="144"/>
      <c r="AJ112" s="228">
        <v>-1.94591889493799E-2</v>
      </c>
      <c r="AK112" s="196">
        <v>-3.6086873130128132</v>
      </c>
      <c r="AM112" s="196">
        <v>-2.6559417499823705E-2</v>
      </c>
      <c r="AN112" s="196">
        <v>-3.6076453823090135</v>
      </c>
      <c r="AP112" s="196">
        <v>-3.0502656224468315E-2</v>
      </c>
      <c r="AQ112" s="196">
        <v>-3.6071748699996968</v>
      </c>
      <c r="AS112" s="196">
        <v>-3.15360868610257E-2</v>
      </c>
      <c r="AT112" s="196">
        <v>-3.6071329249381394</v>
      </c>
      <c r="AV112" s="196"/>
      <c r="AW112" s="196"/>
      <c r="AY112" s="196"/>
      <c r="AZ112" s="196"/>
    </row>
    <row r="113" spans="3:52" s="18" customFormat="1">
      <c r="C113" s="126">
        <v>8.3099639642776613E-4</v>
      </c>
      <c r="D113" s="126">
        <v>-1.9759573908153871</v>
      </c>
      <c r="F113" s="228">
        <v>-2.8067410496081739E-2</v>
      </c>
      <c r="G113" s="228">
        <v>-3.7003982760515446</v>
      </c>
      <c r="I113" s="228">
        <v>-8.4138382081416774E-2</v>
      </c>
      <c r="J113" s="228">
        <v>-5.0891931096548859</v>
      </c>
      <c r="L113" s="196">
        <v>-0.13486723879995621</v>
      </c>
      <c r="M113" s="196">
        <v>-6.004216692428372</v>
      </c>
      <c r="R113" s="7"/>
      <c r="S113" s="7"/>
      <c r="T113" s="7"/>
      <c r="U113" s="7"/>
      <c r="V113" s="7"/>
      <c r="W113" s="7"/>
      <c r="X113" s="7"/>
      <c r="Y113" s="7"/>
      <c r="Z113" s="7"/>
      <c r="AD113" s="92"/>
      <c r="AE113" s="7"/>
      <c r="AF113" s="144"/>
      <c r="AG113" s="321"/>
      <c r="AH113" s="144"/>
      <c r="AI113" s="144"/>
      <c r="AJ113" s="228">
        <v>-2.0487866299470504E-2</v>
      </c>
      <c r="AK113" s="196">
        <v>-3.7016951636677367</v>
      </c>
      <c r="AM113" s="196">
        <v>-2.8067410496081739E-2</v>
      </c>
      <c r="AN113" s="196">
        <v>-3.7003982760515446</v>
      </c>
      <c r="AP113" s="196">
        <v>-3.2229727034323495E-2</v>
      </c>
      <c r="AQ113" s="196">
        <v>-3.6998497831648103</v>
      </c>
      <c r="AS113" s="196">
        <v>-3.3373353397855299E-2</v>
      </c>
      <c r="AT113" s="196">
        <v>-3.6997820861690234</v>
      </c>
      <c r="AV113" s="196"/>
      <c r="AW113" s="196"/>
      <c r="AY113" s="196"/>
      <c r="AZ113" s="196"/>
    </row>
    <row r="114" spans="3:52" s="18" customFormat="1">
      <c r="C114" s="127">
        <v>-1.2205537665476857E-3</v>
      </c>
      <c r="D114" s="127">
        <v>-1.9974900561416931</v>
      </c>
      <c r="F114" s="228">
        <v>-3.8021197270750741E-2</v>
      </c>
      <c r="G114" s="228">
        <v>-4.3694258988187009</v>
      </c>
      <c r="I114" s="228">
        <v>-0.1386760620712105</v>
      </c>
      <c r="J114" s="228">
        <v>-7.5885115284770368</v>
      </c>
      <c r="L114" s="196">
        <v>-0.27739973196595252</v>
      </c>
      <c r="M114" s="196">
        <v>-11.41745749440692</v>
      </c>
      <c r="R114" s="7"/>
      <c r="S114" s="7"/>
      <c r="T114" s="7"/>
      <c r="U114" s="7"/>
      <c r="V114" s="7"/>
      <c r="W114" s="7"/>
      <c r="X114" s="7"/>
      <c r="Y114" s="7"/>
      <c r="Z114" s="7"/>
      <c r="AD114" s="92"/>
      <c r="AE114" s="7"/>
      <c r="AF114" s="144"/>
      <c r="AG114" s="321"/>
      <c r="AH114" s="144"/>
      <c r="AI114" s="144"/>
      <c r="AJ114" s="228">
        <v>-2.7299288475837777E-2</v>
      </c>
      <c r="AK114" s="196">
        <v>-4.3746657127669035</v>
      </c>
      <c r="AM114" s="196">
        <v>-3.8021197270750741E-2</v>
      </c>
      <c r="AN114" s="196">
        <v>-4.3694258988187009</v>
      </c>
      <c r="AP114" s="196">
        <v>-4.361973022479089E-2</v>
      </c>
      <c r="AQ114" s="196">
        <v>-4.3677426979692813</v>
      </c>
      <c r="AS114" s="196">
        <v>-4.548575471868848E-2</v>
      </c>
      <c r="AT114" s="196">
        <v>-4.3672526364269046</v>
      </c>
      <c r="AV114" s="196">
        <v>-5.4934070352134323E-2</v>
      </c>
      <c r="AW114" s="196">
        <v>-4.3674921608274797</v>
      </c>
      <c r="AY114" s="196">
        <v>-4.4396835515792335E-2</v>
      </c>
      <c r="AZ114" s="196">
        <v>-4.3683674663202989</v>
      </c>
    </row>
    <row r="115" spans="3:52" s="18" customFormat="1">
      <c r="L115" s="196"/>
      <c r="M115" s="196"/>
      <c r="R115" s="7"/>
      <c r="S115" s="7"/>
      <c r="T115" s="7"/>
      <c r="U115" s="7"/>
      <c r="V115" s="7"/>
      <c r="W115" s="7"/>
      <c r="X115" s="7"/>
      <c r="Y115" s="7"/>
      <c r="Z115" s="7"/>
      <c r="AD115" s="92"/>
      <c r="AE115" s="7"/>
      <c r="AF115" s="144"/>
      <c r="AG115" s="321"/>
      <c r="AH115" s="144"/>
      <c r="AI115" s="144"/>
      <c r="AJ115" s="144"/>
      <c r="AK115" s="7"/>
    </row>
    <row r="116" spans="3:52" s="18" customFormat="1">
      <c r="L116" s="196"/>
      <c r="M116" s="196"/>
      <c r="R116" s="7"/>
      <c r="S116" s="7"/>
      <c r="T116" s="7"/>
      <c r="U116" s="7"/>
      <c r="V116" s="7"/>
      <c r="W116" s="7"/>
      <c r="X116" s="7"/>
      <c r="Y116" s="7"/>
      <c r="Z116" s="7"/>
      <c r="AD116" s="92"/>
      <c r="AE116" s="7"/>
      <c r="AF116" s="144"/>
      <c r="AG116" s="321"/>
      <c r="AH116" s="144"/>
      <c r="AI116" s="144"/>
      <c r="AJ116" s="144"/>
      <c r="AK116" s="7"/>
    </row>
    <row r="117" spans="3:52" s="18" customFormat="1">
      <c r="L117" s="196"/>
      <c r="M117" s="196"/>
      <c r="R117" s="7"/>
      <c r="S117" s="7"/>
      <c r="T117" s="7"/>
      <c r="U117" s="7"/>
      <c r="V117" s="7"/>
      <c r="W117" s="7"/>
      <c r="X117" s="7"/>
      <c r="Y117" s="7"/>
      <c r="Z117" s="7"/>
      <c r="AD117" s="92"/>
      <c r="AE117" s="7"/>
      <c r="AF117" s="144"/>
      <c r="AG117" s="321"/>
      <c r="AH117" s="144"/>
      <c r="AI117" s="144"/>
      <c r="AJ117" s="144"/>
      <c r="AK117" s="7"/>
    </row>
    <row r="118" spans="3:52" s="18" customFormat="1">
      <c r="L118" s="196"/>
      <c r="M118" s="196"/>
      <c r="R118" s="7"/>
      <c r="S118" s="7"/>
      <c r="T118" s="7"/>
      <c r="U118" s="7"/>
      <c r="V118" s="7"/>
      <c r="W118" s="7"/>
      <c r="X118" s="7"/>
      <c r="Y118" s="7"/>
      <c r="Z118" s="7"/>
      <c r="AD118" s="92"/>
      <c r="AE118" s="7"/>
      <c r="AF118" s="144"/>
      <c r="AG118" s="321"/>
      <c r="AH118" s="144"/>
      <c r="AI118" s="144"/>
      <c r="AJ118" s="144"/>
      <c r="AK118" s="7"/>
    </row>
    <row r="119" spans="3:52" s="18" customFormat="1">
      <c r="L119" s="196"/>
      <c r="M119" s="196"/>
      <c r="R119" s="7"/>
      <c r="S119" s="7"/>
      <c r="T119" s="7"/>
      <c r="U119" s="7"/>
      <c r="V119" s="7"/>
      <c r="W119" s="7"/>
      <c r="X119" s="7"/>
      <c r="Y119" s="7"/>
      <c r="Z119" s="7"/>
      <c r="AD119" s="92"/>
      <c r="AE119" s="7"/>
      <c r="AF119" s="144"/>
      <c r="AG119" s="321"/>
      <c r="AH119" s="144"/>
      <c r="AI119" s="144"/>
      <c r="AJ119" s="144"/>
      <c r="AK119" s="7"/>
    </row>
    <row r="120" spans="3:52" s="18" customFormat="1">
      <c r="L120" s="196"/>
      <c r="M120" s="196"/>
      <c r="R120" s="7"/>
      <c r="S120" s="7"/>
      <c r="T120" s="7"/>
      <c r="U120" s="7"/>
      <c r="V120" s="7"/>
      <c r="W120" s="7"/>
      <c r="X120" s="7"/>
      <c r="Y120" s="7"/>
      <c r="Z120" s="7"/>
      <c r="AD120" s="92"/>
      <c r="AE120" s="7"/>
      <c r="AF120" s="144"/>
      <c r="AG120" s="321"/>
      <c r="AH120" s="144"/>
      <c r="AI120" s="144"/>
      <c r="AJ120" s="144"/>
      <c r="AK120" s="7"/>
    </row>
    <row r="121" spans="3:52" s="18" customFormat="1">
      <c r="L121" s="196"/>
      <c r="M121" s="196"/>
      <c r="R121" s="7"/>
      <c r="S121" s="7"/>
      <c r="T121" s="7"/>
      <c r="U121" s="7"/>
      <c r="V121" s="7"/>
      <c r="W121" s="7"/>
      <c r="X121" s="7"/>
      <c r="Y121" s="7"/>
      <c r="Z121" s="7"/>
      <c r="AD121" s="92"/>
      <c r="AE121" s="7"/>
      <c r="AF121" s="144"/>
      <c r="AG121" s="321"/>
      <c r="AH121" s="144"/>
      <c r="AI121" s="144"/>
      <c r="AJ121" s="144"/>
      <c r="AK121" s="7"/>
    </row>
    <row r="122" spans="3:52" s="18" customFormat="1">
      <c r="L122" s="196"/>
      <c r="M122" s="196"/>
      <c r="R122" s="7"/>
      <c r="S122" s="7"/>
      <c r="T122" s="7"/>
      <c r="U122" s="7"/>
      <c r="V122" s="7"/>
      <c r="W122" s="7"/>
      <c r="X122" s="7"/>
      <c r="Y122" s="7"/>
      <c r="Z122" s="7"/>
      <c r="AD122" s="92"/>
      <c r="AE122" s="7"/>
      <c r="AF122" s="144"/>
      <c r="AG122" s="321"/>
      <c r="AH122" s="144"/>
      <c r="AI122" s="144"/>
      <c r="AJ122" s="144"/>
      <c r="AK122" s="7"/>
    </row>
    <row r="123" spans="3:52" s="18" customFormat="1">
      <c r="R123" s="7"/>
      <c r="S123" s="7"/>
      <c r="T123" s="7"/>
      <c r="U123" s="7"/>
      <c r="V123" s="7"/>
      <c r="W123" s="7"/>
      <c r="X123" s="7"/>
      <c r="Y123" s="7"/>
      <c r="Z123" s="7"/>
      <c r="AD123" s="92"/>
      <c r="AE123" s="7"/>
      <c r="AF123" s="144"/>
      <c r="AG123" s="144"/>
      <c r="AH123" s="144"/>
      <c r="AI123" s="144"/>
      <c r="AJ123" s="144"/>
      <c r="AK123" s="7"/>
    </row>
    <row r="124" spans="3:52" s="18" customFormat="1">
      <c r="R124" s="7"/>
      <c r="S124" s="7"/>
      <c r="T124" s="7"/>
      <c r="U124" s="7"/>
      <c r="V124" s="7"/>
      <c r="W124" s="7"/>
      <c r="X124" s="7"/>
      <c r="Y124" s="7"/>
      <c r="Z124" s="7"/>
      <c r="AD124" s="92"/>
      <c r="AE124" s="7"/>
      <c r="AF124" s="144"/>
      <c r="AG124" s="144"/>
      <c r="AH124" s="144"/>
      <c r="AI124" s="144"/>
      <c r="AJ124" s="144"/>
      <c r="AK124" s="7"/>
    </row>
    <row r="125" spans="3:52" s="18" customFormat="1">
      <c r="C125" s="92"/>
      <c r="D125" s="92"/>
      <c r="R125" s="7"/>
      <c r="S125" s="7"/>
      <c r="T125" s="7"/>
      <c r="U125" s="7"/>
      <c r="V125" s="7"/>
      <c r="W125" s="7"/>
      <c r="X125" s="7"/>
      <c r="Y125" s="7"/>
      <c r="Z125" s="7"/>
      <c r="AD125" s="92"/>
      <c r="AE125" s="7"/>
      <c r="AF125" s="144"/>
      <c r="AG125" s="144"/>
      <c r="AH125" s="144"/>
      <c r="AI125" s="144"/>
      <c r="AJ125" s="144"/>
      <c r="AK125" s="7"/>
    </row>
    <row r="126" spans="3:52" s="18" customFormat="1">
      <c r="R126" s="7"/>
      <c r="S126" s="7"/>
      <c r="T126" s="7"/>
      <c r="U126" s="7"/>
      <c r="V126" s="7"/>
      <c r="W126" s="7"/>
      <c r="X126" s="7"/>
      <c r="Y126" s="7"/>
      <c r="Z126" s="7"/>
      <c r="AD126" s="92"/>
      <c r="AE126" s="7"/>
      <c r="AF126" s="144"/>
      <c r="AG126" s="144"/>
      <c r="AH126" s="144"/>
      <c r="AI126" s="144"/>
      <c r="AJ126" s="144"/>
      <c r="AK126" s="7"/>
    </row>
    <row r="127" spans="3:52" s="18" customFormat="1">
      <c r="R127" s="7"/>
      <c r="S127" s="7"/>
      <c r="T127" s="7"/>
      <c r="U127" s="7"/>
      <c r="V127" s="7"/>
      <c r="W127" s="7"/>
      <c r="X127" s="7"/>
      <c r="Y127" s="7"/>
      <c r="Z127" s="7"/>
      <c r="AD127" s="92"/>
      <c r="AE127" s="7"/>
      <c r="AF127" s="144"/>
      <c r="AG127" s="144"/>
      <c r="AH127" s="144"/>
      <c r="AI127" s="144"/>
      <c r="AJ127" s="144"/>
      <c r="AK127" s="7"/>
    </row>
    <row r="128" spans="3:52" s="18" customFormat="1">
      <c r="R128" s="7"/>
      <c r="S128" s="7"/>
      <c r="T128" s="7"/>
      <c r="U128" s="7"/>
      <c r="V128" s="7"/>
      <c r="W128" s="7"/>
      <c r="X128" s="7"/>
      <c r="Y128" s="7"/>
      <c r="Z128" s="7"/>
      <c r="AD128" s="92"/>
      <c r="AE128" s="7"/>
      <c r="AF128" s="144"/>
      <c r="AG128" s="144"/>
      <c r="AH128" s="144"/>
      <c r="AI128" s="144"/>
      <c r="AJ128" s="144"/>
      <c r="AK128" s="7"/>
    </row>
    <row r="129" spans="18:37" s="18" customFormat="1">
      <c r="R129" s="7"/>
      <c r="S129" s="7"/>
      <c r="T129" s="7"/>
      <c r="U129" s="7"/>
      <c r="V129" s="7"/>
      <c r="W129" s="7"/>
      <c r="X129" s="7"/>
      <c r="Y129" s="7"/>
      <c r="Z129" s="7"/>
      <c r="AD129" s="92"/>
      <c r="AE129" s="7"/>
      <c r="AF129" s="144"/>
      <c r="AG129" s="144"/>
      <c r="AH129" s="144"/>
      <c r="AI129" s="144"/>
      <c r="AJ129" s="144"/>
      <c r="AK129" s="7"/>
    </row>
    <row r="130" spans="18:37" s="18" customFormat="1">
      <c r="R130" s="7"/>
      <c r="S130" s="7"/>
      <c r="T130" s="7"/>
      <c r="U130" s="7"/>
      <c r="V130" s="7"/>
      <c r="W130" s="7"/>
      <c r="X130" s="7"/>
      <c r="Y130" s="7"/>
      <c r="Z130" s="7"/>
      <c r="AD130" s="92"/>
      <c r="AE130" s="7"/>
      <c r="AF130" s="144"/>
      <c r="AG130" s="144"/>
      <c r="AH130" s="144"/>
      <c r="AI130" s="144"/>
      <c r="AJ130" s="144"/>
      <c r="AK130" s="7"/>
    </row>
    <row r="131" spans="18:37" s="18" customFormat="1">
      <c r="R131" s="7"/>
      <c r="S131" s="7"/>
      <c r="T131" s="7"/>
      <c r="U131" s="7"/>
      <c r="V131" s="7"/>
      <c r="W131" s="7"/>
      <c r="X131" s="7"/>
      <c r="Y131" s="7"/>
      <c r="Z131" s="7"/>
      <c r="AD131" s="92"/>
      <c r="AE131" s="7"/>
      <c r="AF131" s="144"/>
      <c r="AG131" s="144"/>
      <c r="AH131" s="144"/>
      <c r="AI131" s="144"/>
      <c r="AJ131" s="144"/>
      <c r="AK131" s="7"/>
    </row>
    <row r="132" spans="18:37" s="18" customFormat="1">
      <c r="R132" s="7"/>
      <c r="S132" s="7"/>
      <c r="T132" s="7"/>
      <c r="U132" s="7"/>
      <c r="V132" s="7"/>
      <c r="W132" s="7"/>
      <c r="X132" s="7"/>
      <c r="Y132" s="7"/>
      <c r="Z132" s="7"/>
      <c r="AD132" s="92"/>
      <c r="AE132" s="7"/>
      <c r="AF132" s="144"/>
      <c r="AG132" s="144"/>
      <c r="AH132" s="144"/>
      <c r="AI132" s="144"/>
      <c r="AJ132" s="144"/>
      <c r="AK132" s="7"/>
    </row>
    <row r="133" spans="18:37" s="18" customFormat="1">
      <c r="R133" s="7"/>
      <c r="S133" s="7"/>
      <c r="T133" s="7"/>
      <c r="U133" s="7"/>
      <c r="V133" s="7"/>
      <c r="W133" s="7"/>
      <c r="X133" s="7"/>
      <c r="Y133" s="7"/>
      <c r="Z133" s="7"/>
      <c r="AD133" s="92"/>
      <c r="AE133" s="7"/>
      <c r="AF133" s="144"/>
      <c r="AG133" s="144"/>
      <c r="AH133" s="144"/>
      <c r="AI133" s="144"/>
      <c r="AJ133" s="144"/>
      <c r="AK133" s="7"/>
    </row>
    <row r="134" spans="18:37" s="18" customFormat="1">
      <c r="R134" s="7"/>
      <c r="S134" s="7"/>
      <c r="T134" s="7"/>
      <c r="U134" s="7"/>
      <c r="V134" s="7"/>
      <c r="W134" s="7"/>
      <c r="X134" s="7"/>
      <c r="Y134" s="7"/>
      <c r="Z134" s="7"/>
      <c r="AD134" s="92"/>
      <c r="AE134" s="7"/>
      <c r="AF134" s="144"/>
      <c r="AG134" s="144"/>
      <c r="AH134" s="144"/>
      <c r="AI134" s="144"/>
      <c r="AJ134" s="144"/>
      <c r="AK134" s="7"/>
    </row>
    <row r="135" spans="18:37" s="18" customFormat="1">
      <c r="R135" s="7"/>
      <c r="S135" s="7"/>
      <c r="T135" s="7"/>
      <c r="U135" s="7"/>
      <c r="V135" s="7"/>
      <c r="W135" s="7"/>
      <c r="X135" s="7"/>
      <c r="Y135" s="7"/>
      <c r="Z135" s="7"/>
      <c r="AD135" s="92"/>
      <c r="AE135" s="7"/>
      <c r="AF135" s="144"/>
      <c r="AG135" s="144"/>
      <c r="AH135" s="144"/>
      <c r="AI135" s="144"/>
      <c r="AJ135" s="144"/>
      <c r="AK135" s="7"/>
    </row>
    <row r="136" spans="18:37" s="18" customFormat="1">
      <c r="R136" s="7"/>
      <c r="S136" s="7"/>
      <c r="T136" s="7"/>
      <c r="U136" s="7"/>
      <c r="V136" s="7"/>
      <c r="W136" s="7"/>
      <c r="X136" s="7"/>
      <c r="Y136" s="7"/>
      <c r="Z136" s="7"/>
      <c r="AD136" s="92"/>
      <c r="AE136" s="7"/>
      <c r="AF136" s="144"/>
      <c r="AG136" s="144"/>
      <c r="AH136" s="144"/>
      <c r="AI136" s="144"/>
      <c r="AJ136" s="144"/>
      <c r="AK136" s="7"/>
    </row>
    <row r="137" spans="18:37" s="18" customFormat="1">
      <c r="R137" s="7"/>
      <c r="S137" s="7"/>
      <c r="T137" s="7"/>
      <c r="U137" s="7"/>
      <c r="V137" s="7"/>
      <c r="W137" s="7"/>
      <c r="X137" s="7"/>
      <c r="Y137" s="7"/>
      <c r="Z137" s="7"/>
      <c r="AD137" s="92"/>
      <c r="AE137" s="7"/>
      <c r="AF137" s="144"/>
      <c r="AG137" s="144"/>
      <c r="AH137" s="144"/>
      <c r="AI137" s="144"/>
      <c r="AJ137" s="144"/>
      <c r="AK137" s="7"/>
    </row>
    <row r="138" spans="18:37" s="18" customFormat="1">
      <c r="R138" s="7"/>
      <c r="S138" s="7"/>
      <c r="T138" s="7"/>
      <c r="U138" s="7"/>
      <c r="V138" s="7"/>
      <c r="W138" s="7"/>
      <c r="X138" s="7"/>
      <c r="Y138" s="7"/>
      <c r="Z138" s="7"/>
      <c r="AD138" s="92"/>
      <c r="AE138" s="7"/>
      <c r="AF138" s="144"/>
      <c r="AG138" s="144"/>
      <c r="AH138" s="144"/>
      <c r="AI138" s="144"/>
      <c r="AJ138" s="144"/>
      <c r="AK138" s="7"/>
    </row>
    <row r="139" spans="18:37" s="18" customFormat="1">
      <c r="R139" s="7"/>
      <c r="S139" s="7"/>
      <c r="T139" s="7"/>
      <c r="U139" s="7"/>
      <c r="V139" s="7"/>
      <c r="W139" s="7"/>
      <c r="X139" s="7"/>
      <c r="Y139" s="7"/>
      <c r="Z139" s="7"/>
      <c r="AD139" s="92"/>
      <c r="AE139" s="7"/>
      <c r="AF139" s="144"/>
      <c r="AG139" s="144"/>
      <c r="AH139" s="144"/>
      <c r="AI139" s="144"/>
      <c r="AJ139" s="144"/>
      <c r="AK139" s="7"/>
    </row>
    <row r="140" spans="18:37" s="18" customFormat="1">
      <c r="R140" s="7"/>
      <c r="S140" s="7"/>
      <c r="T140" s="7"/>
      <c r="U140" s="7"/>
      <c r="V140" s="7"/>
      <c r="W140" s="7"/>
      <c r="X140" s="7"/>
      <c r="Y140" s="7"/>
      <c r="Z140" s="7"/>
      <c r="AD140" s="92"/>
      <c r="AE140" s="7"/>
      <c r="AF140" s="144"/>
      <c r="AG140" s="144"/>
      <c r="AH140" s="144"/>
      <c r="AI140" s="144"/>
      <c r="AJ140" s="144"/>
      <c r="AK140" s="7"/>
    </row>
    <row r="141" spans="18:37" s="18" customFormat="1">
      <c r="R141" s="7"/>
      <c r="S141" s="7"/>
      <c r="T141" s="7"/>
      <c r="U141" s="7"/>
      <c r="V141" s="7"/>
      <c r="W141" s="7"/>
      <c r="X141" s="7"/>
      <c r="Y141" s="7"/>
      <c r="Z141" s="7"/>
      <c r="AD141" s="92"/>
      <c r="AE141" s="7"/>
      <c r="AF141" s="144"/>
      <c r="AG141" s="144"/>
      <c r="AH141" s="144"/>
      <c r="AI141" s="144"/>
      <c r="AJ141" s="144"/>
      <c r="AK141" s="7"/>
    </row>
    <row r="142" spans="18:37" s="18" customFormat="1">
      <c r="R142" s="7"/>
      <c r="S142" s="7"/>
      <c r="T142" s="7"/>
      <c r="U142" s="7"/>
      <c r="V142" s="7"/>
      <c r="W142" s="7"/>
      <c r="X142" s="7"/>
      <c r="Y142" s="7"/>
      <c r="Z142" s="7"/>
      <c r="AD142" s="92"/>
      <c r="AE142" s="7"/>
      <c r="AF142" s="144"/>
      <c r="AG142" s="144"/>
      <c r="AH142" s="144"/>
      <c r="AI142" s="144"/>
      <c r="AJ142" s="144"/>
      <c r="AK142" s="7"/>
    </row>
    <row r="143" spans="18:37" s="18" customFormat="1">
      <c r="R143" s="7"/>
      <c r="S143" s="7"/>
      <c r="T143" s="7"/>
      <c r="U143" s="7"/>
      <c r="V143" s="7"/>
      <c r="W143" s="7"/>
      <c r="X143" s="7"/>
      <c r="Y143" s="7"/>
      <c r="Z143" s="7"/>
      <c r="AD143" s="92"/>
      <c r="AE143" s="7"/>
      <c r="AF143" s="144"/>
      <c r="AG143" s="144"/>
      <c r="AH143" s="144"/>
      <c r="AI143" s="144"/>
      <c r="AJ143" s="144"/>
      <c r="AK143" s="7"/>
    </row>
    <row r="144" spans="18:37" s="18" customFormat="1">
      <c r="R144" s="7"/>
      <c r="S144" s="7"/>
      <c r="T144" s="7"/>
      <c r="U144" s="7"/>
      <c r="V144" s="7"/>
      <c r="W144" s="7"/>
      <c r="X144" s="7"/>
      <c r="Y144" s="7"/>
      <c r="Z144" s="7"/>
      <c r="AD144" s="92"/>
      <c r="AE144" s="7"/>
      <c r="AF144" s="144"/>
      <c r="AG144" s="144"/>
      <c r="AH144" s="144"/>
      <c r="AI144" s="144"/>
      <c r="AJ144" s="144"/>
      <c r="AK144" s="7"/>
    </row>
    <row r="145" spans="18:37" s="18" customFormat="1">
      <c r="R145" s="7"/>
      <c r="S145" s="7"/>
      <c r="T145" s="7"/>
      <c r="U145" s="7"/>
      <c r="V145" s="7"/>
      <c r="W145" s="7"/>
      <c r="X145" s="7"/>
      <c r="Y145" s="7"/>
      <c r="Z145" s="7"/>
      <c r="AD145" s="92"/>
      <c r="AE145" s="7"/>
      <c r="AF145" s="144"/>
      <c r="AG145" s="144"/>
      <c r="AH145" s="144"/>
      <c r="AI145" s="144"/>
      <c r="AJ145" s="144"/>
      <c r="AK145" s="7"/>
    </row>
    <row r="146" spans="18:37" s="18" customFormat="1">
      <c r="R146" s="7"/>
      <c r="S146" s="7"/>
      <c r="T146" s="7"/>
      <c r="U146" s="7"/>
      <c r="V146" s="7"/>
      <c r="W146" s="7"/>
      <c r="X146" s="7"/>
      <c r="Y146" s="7"/>
      <c r="Z146" s="7"/>
      <c r="AD146" s="92"/>
      <c r="AE146" s="7"/>
      <c r="AF146" s="144"/>
      <c r="AG146" s="144"/>
      <c r="AH146" s="144"/>
      <c r="AI146" s="144"/>
      <c r="AJ146" s="144"/>
      <c r="AK146" s="7"/>
    </row>
    <row r="147" spans="18:37" s="18" customFormat="1">
      <c r="R147" s="7"/>
      <c r="S147" s="7"/>
      <c r="T147" s="7"/>
      <c r="U147" s="7"/>
      <c r="V147" s="7"/>
      <c r="W147" s="7"/>
      <c r="X147" s="7"/>
      <c r="Y147" s="7"/>
      <c r="Z147" s="7"/>
      <c r="AD147" s="92"/>
      <c r="AE147" s="7"/>
      <c r="AF147" s="144"/>
      <c r="AG147" s="144"/>
      <c r="AH147" s="144"/>
      <c r="AI147" s="144"/>
      <c r="AJ147" s="144"/>
      <c r="AK147" s="7"/>
    </row>
    <row r="148" spans="18:37" s="18" customFormat="1">
      <c r="R148" s="7"/>
      <c r="S148" s="7"/>
      <c r="T148" s="7"/>
      <c r="U148" s="7"/>
      <c r="V148" s="7"/>
      <c r="W148" s="7"/>
      <c r="X148" s="7"/>
      <c r="Y148" s="7"/>
      <c r="Z148" s="7"/>
      <c r="AD148" s="92"/>
      <c r="AE148" s="7"/>
      <c r="AF148" s="144"/>
      <c r="AG148" s="144"/>
      <c r="AH148" s="144"/>
      <c r="AI148" s="144"/>
      <c r="AJ148" s="144"/>
      <c r="AK148" s="7"/>
    </row>
    <row r="149" spans="18:37" s="18" customFormat="1">
      <c r="R149" s="7"/>
      <c r="S149" s="7"/>
      <c r="T149" s="7"/>
      <c r="U149" s="7"/>
      <c r="V149" s="7"/>
      <c r="W149" s="7"/>
      <c r="X149" s="7"/>
      <c r="Y149" s="7"/>
      <c r="Z149" s="7"/>
      <c r="AD149" s="92"/>
      <c r="AE149" s="7"/>
      <c r="AF149" s="144"/>
      <c r="AG149" s="144"/>
      <c r="AH149" s="144"/>
      <c r="AI149" s="144"/>
      <c r="AJ149" s="144"/>
      <c r="AK149" s="7"/>
    </row>
    <row r="150" spans="18:37" s="18" customFormat="1">
      <c r="R150" s="7"/>
      <c r="S150" s="7"/>
      <c r="T150" s="7"/>
      <c r="U150" s="7"/>
      <c r="V150" s="7"/>
      <c r="W150" s="7"/>
      <c r="X150" s="7"/>
      <c r="Y150" s="7"/>
      <c r="Z150" s="7"/>
      <c r="AD150" s="92"/>
      <c r="AE150" s="7"/>
      <c r="AF150" s="144"/>
      <c r="AG150" s="144"/>
      <c r="AH150" s="144"/>
      <c r="AI150" s="144"/>
      <c r="AJ150" s="144"/>
      <c r="AK150" s="7"/>
    </row>
    <row r="151" spans="18:37" s="18" customFormat="1">
      <c r="R151" s="7"/>
      <c r="S151" s="7"/>
      <c r="T151" s="7"/>
      <c r="U151" s="7"/>
      <c r="V151" s="7"/>
      <c r="W151" s="7"/>
      <c r="X151" s="7"/>
      <c r="Y151" s="7"/>
      <c r="Z151" s="7"/>
      <c r="AD151" s="92"/>
      <c r="AE151" s="7"/>
      <c r="AF151" s="144"/>
      <c r="AG151" s="144"/>
      <c r="AH151" s="144"/>
      <c r="AI151" s="144"/>
      <c r="AJ151" s="144"/>
      <c r="AK151" s="7"/>
    </row>
    <row r="152" spans="18:37" s="18" customFormat="1">
      <c r="R152" s="7"/>
      <c r="S152" s="7"/>
      <c r="T152" s="7"/>
      <c r="U152" s="7"/>
      <c r="V152" s="7"/>
      <c r="W152" s="7"/>
      <c r="X152" s="7"/>
      <c r="Y152" s="7"/>
      <c r="Z152" s="7"/>
      <c r="AD152" s="92"/>
      <c r="AE152" s="7"/>
      <c r="AF152" s="144"/>
      <c r="AG152" s="144"/>
      <c r="AH152" s="144"/>
      <c r="AI152" s="144"/>
      <c r="AJ152" s="144"/>
      <c r="AK152" s="7"/>
    </row>
    <row r="153" spans="18:37" s="18" customFormat="1">
      <c r="R153" s="7"/>
      <c r="S153" s="7"/>
      <c r="T153" s="7"/>
      <c r="U153" s="7"/>
      <c r="V153" s="7"/>
      <c r="W153" s="7"/>
      <c r="X153" s="7"/>
      <c r="Y153" s="7"/>
      <c r="Z153" s="7"/>
      <c r="AD153" s="92"/>
      <c r="AE153" s="7"/>
      <c r="AF153" s="144"/>
      <c r="AG153" s="144"/>
      <c r="AH153" s="144"/>
      <c r="AI153" s="144"/>
      <c r="AJ153" s="144"/>
      <c r="AK153" s="7"/>
    </row>
    <row r="154" spans="18:37" s="18" customFormat="1">
      <c r="R154" s="7"/>
      <c r="S154" s="7"/>
      <c r="T154" s="7"/>
      <c r="U154" s="7"/>
      <c r="V154" s="7"/>
      <c r="W154" s="7"/>
      <c r="X154" s="7"/>
      <c r="Y154" s="7"/>
      <c r="Z154" s="7"/>
      <c r="AD154" s="92"/>
      <c r="AE154" s="7"/>
      <c r="AF154" s="144"/>
      <c r="AG154" s="144"/>
      <c r="AH154" s="144"/>
      <c r="AI154" s="144"/>
      <c r="AJ154" s="144"/>
      <c r="AK154" s="7"/>
    </row>
    <row r="155" spans="18:37" s="18" customFormat="1">
      <c r="R155" s="7"/>
      <c r="S155" s="7"/>
      <c r="T155" s="7"/>
      <c r="U155" s="7"/>
      <c r="V155" s="7"/>
      <c r="W155" s="7"/>
      <c r="X155" s="7"/>
      <c r="Y155" s="7"/>
      <c r="Z155" s="7"/>
      <c r="AD155" s="92"/>
      <c r="AE155" s="7"/>
      <c r="AF155" s="144"/>
      <c r="AG155" s="144"/>
      <c r="AH155" s="144"/>
      <c r="AI155" s="144"/>
      <c r="AJ155" s="144"/>
      <c r="AK155" s="7"/>
    </row>
    <row r="156" spans="18:37" s="18" customFormat="1">
      <c r="R156" s="7"/>
      <c r="S156" s="7"/>
      <c r="T156" s="7"/>
      <c r="U156" s="7"/>
      <c r="V156" s="7"/>
      <c r="W156" s="7"/>
      <c r="X156" s="7"/>
      <c r="Y156" s="7"/>
      <c r="Z156" s="7"/>
      <c r="AD156" s="92"/>
      <c r="AE156" s="7"/>
      <c r="AF156" s="144"/>
      <c r="AG156" s="144"/>
      <c r="AH156" s="144"/>
      <c r="AI156" s="144"/>
      <c r="AJ156" s="144"/>
      <c r="AK156" s="7"/>
    </row>
    <row r="157" spans="18:37" s="18" customFormat="1">
      <c r="R157" s="7"/>
      <c r="S157" s="7"/>
      <c r="T157" s="7"/>
      <c r="U157" s="7"/>
      <c r="V157" s="7"/>
      <c r="W157" s="7"/>
      <c r="X157" s="7"/>
      <c r="Y157" s="7"/>
      <c r="Z157" s="7"/>
      <c r="AD157" s="92"/>
      <c r="AE157" s="7"/>
      <c r="AF157" s="144"/>
      <c r="AG157" s="144"/>
      <c r="AH157" s="144"/>
      <c r="AI157" s="144"/>
      <c r="AJ157" s="144"/>
      <c r="AK157" s="7"/>
    </row>
    <row r="158" spans="18:37" s="18" customFormat="1">
      <c r="R158" s="7"/>
      <c r="S158" s="7"/>
      <c r="T158" s="7"/>
      <c r="U158" s="7"/>
      <c r="V158" s="7"/>
      <c r="W158" s="7"/>
      <c r="X158" s="7"/>
      <c r="Y158" s="7"/>
      <c r="Z158" s="7"/>
      <c r="AD158" s="92"/>
      <c r="AE158" s="7"/>
      <c r="AF158" s="144"/>
      <c r="AG158" s="144"/>
      <c r="AH158" s="144"/>
      <c r="AI158" s="144"/>
      <c r="AJ158" s="144"/>
      <c r="AK158" s="7"/>
    </row>
    <row r="159" spans="18:37" s="18" customFormat="1">
      <c r="R159" s="7"/>
      <c r="S159" s="7"/>
      <c r="T159" s="7"/>
      <c r="U159" s="7"/>
      <c r="V159" s="7"/>
      <c r="W159" s="7"/>
      <c r="X159" s="7"/>
      <c r="Y159" s="7"/>
      <c r="Z159" s="7"/>
      <c r="AD159" s="92"/>
      <c r="AE159" s="7"/>
      <c r="AF159" s="144"/>
      <c r="AG159" s="144"/>
      <c r="AH159" s="144"/>
      <c r="AI159" s="144"/>
      <c r="AJ159" s="144"/>
      <c r="AK159" s="7"/>
    </row>
    <row r="160" spans="18:37" s="18" customFormat="1">
      <c r="R160" s="7"/>
      <c r="S160" s="7"/>
      <c r="T160" s="7"/>
      <c r="U160" s="7"/>
      <c r="V160" s="7"/>
      <c r="W160" s="7"/>
      <c r="X160" s="7"/>
      <c r="Y160" s="7"/>
      <c r="Z160" s="7"/>
      <c r="AD160" s="92"/>
      <c r="AE160" s="7"/>
      <c r="AF160" s="144"/>
      <c r="AG160" s="144"/>
      <c r="AH160" s="144"/>
      <c r="AI160" s="144"/>
      <c r="AJ160" s="144"/>
      <c r="AK160" s="7"/>
    </row>
    <row r="161" spans="18:37" s="18" customFormat="1">
      <c r="R161" s="7"/>
      <c r="S161" s="7"/>
      <c r="T161" s="7"/>
      <c r="U161" s="7"/>
      <c r="V161" s="7"/>
      <c r="W161" s="7"/>
      <c r="X161" s="7"/>
      <c r="Y161" s="7"/>
      <c r="Z161" s="7"/>
      <c r="AD161" s="92"/>
      <c r="AE161" s="7"/>
      <c r="AF161" s="144"/>
      <c r="AG161" s="144"/>
      <c r="AH161" s="144"/>
      <c r="AI161" s="144"/>
      <c r="AJ161" s="144"/>
      <c r="AK161" s="7"/>
    </row>
    <row r="162" spans="18:37" s="18" customFormat="1">
      <c r="R162" s="7"/>
      <c r="S162" s="7"/>
      <c r="T162" s="7"/>
      <c r="U162" s="7"/>
      <c r="V162" s="7"/>
      <c r="W162" s="7"/>
      <c r="X162" s="7"/>
      <c r="Y162" s="7"/>
      <c r="Z162" s="7"/>
      <c r="AD162" s="92"/>
      <c r="AE162" s="7"/>
      <c r="AF162" s="144"/>
      <c r="AG162" s="144"/>
      <c r="AH162" s="144"/>
      <c r="AI162" s="144"/>
      <c r="AJ162" s="144"/>
      <c r="AK162" s="7"/>
    </row>
    <row r="163" spans="18:37" s="18" customFormat="1">
      <c r="R163" s="7"/>
      <c r="S163" s="7"/>
      <c r="T163" s="7"/>
      <c r="U163" s="7"/>
      <c r="V163" s="7"/>
      <c r="W163" s="7"/>
      <c r="X163" s="7"/>
      <c r="Y163" s="7"/>
      <c r="Z163" s="7"/>
      <c r="AD163" s="92"/>
      <c r="AE163" s="7"/>
      <c r="AF163" s="144"/>
      <c r="AG163" s="144"/>
      <c r="AH163" s="144"/>
      <c r="AI163" s="144"/>
      <c r="AJ163" s="144"/>
      <c r="AK163" s="7"/>
    </row>
    <row r="164" spans="18:37" s="18" customFormat="1">
      <c r="R164" s="7"/>
      <c r="S164" s="7"/>
      <c r="T164" s="7"/>
      <c r="U164" s="7"/>
      <c r="V164" s="7"/>
      <c r="W164" s="7"/>
      <c r="X164" s="7"/>
      <c r="Y164" s="7"/>
      <c r="Z164" s="7"/>
      <c r="AD164" s="92"/>
      <c r="AE164" s="7"/>
      <c r="AF164" s="144"/>
      <c r="AG164" s="144"/>
      <c r="AH164" s="144"/>
      <c r="AI164" s="144"/>
      <c r="AJ164" s="144"/>
      <c r="AK164" s="7"/>
    </row>
    <row r="165" spans="18:37" s="18" customFormat="1">
      <c r="R165" s="7"/>
      <c r="S165" s="7"/>
      <c r="T165" s="7"/>
      <c r="U165" s="7"/>
      <c r="V165" s="7"/>
      <c r="W165" s="7"/>
      <c r="X165" s="7"/>
      <c r="Y165" s="7"/>
      <c r="Z165" s="7"/>
      <c r="AD165" s="92"/>
      <c r="AE165" s="7"/>
      <c r="AF165" s="144"/>
      <c r="AG165" s="144"/>
      <c r="AH165" s="144"/>
      <c r="AI165" s="144"/>
      <c r="AJ165" s="144"/>
      <c r="AK165" s="7"/>
    </row>
    <row r="166" spans="18:37" s="18" customFormat="1">
      <c r="R166" s="7"/>
      <c r="S166" s="7"/>
      <c r="T166" s="7"/>
      <c r="U166" s="7"/>
      <c r="V166" s="7"/>
      <c r="W166" s="7"/>
      <c r="X166" s="7"/>
      <c r="Y166" s="7"/>
      <c r="Z166" s="7"/>
      <c r="AD166" s="92"/>
      <c r="AE166" s="7"/>
      <c r="AF166" s="144"/>
      <c r="AG166" s="144"/>
      <c r="AH166" s="144"/>
      <c r="AI166" s="144"/>
      <c r="AJ166" s="144"/>
      <c r="AK166" s="7"/>
    </row>
    <row r="167" spans="18:37" s="18" customFormat="1">
      <c r="R167" s="7"/>
      <c r="S167" s="7"/>
      <c r="T167" s="7"/>
      <c r="U167" s="7"/>
      <c r="V167" s="7"/>
      <c r="W167" s="7"/>
      <c r="X167" s="7"/>
      <c r="Y167" s="7"/>
      <c r="Z167" s="7"/>
      <c r="AD167" s="92"/>
      <c r="AE167" s="7"/>
      <c r="AF167" s="144"/>
      <c r="AG167" s="144"/>
      <c r="AH167" s="144"/>
      <c r="AI167" s="144"/>
      <c r="AJ167" s="144"/>
      <c r="AK167" s="7"/>
    </row>
    <row r="168" spans="18:37" s="18" customFormat="1">
      <c r="R168" s="7"/>
      <c r="S168" s="7"/>
      <c r="T168" s="7"/>
      <c r="U168" s="7"/>
      <c r="V168" s="7"/>
      <c r="W168" s="7"/>
      <c r="X168" s="7"/>
      <c r="Y168" s="7"/>
      <c r="Z168" s="7"/>
      <c r="AD168" s="92"/>
      <c r="AE168" s="7"/>
      <c r="AF168" s="144"/>
      <c r="AG168" s="144"/>
      <c r="AH168" s="144"/>
      <c r="AI168" s="144"/>
      <c r="AJ168" s="144"/>
      <c r="AK168" s="7"/>
    </row>
    <row r="169" spans="18:37" s="18" customFormat="1">
      <c r="R169" s="7"/>
      <c r="S169" s="7"/>
      <c r="T169" s="7"/>
      <c r="U169" s="7"/>
      <c r="V169" s="7"/>
      <c r="W169" s="7"/>
      <c r="X169" s="7"/>
      <c r="Y169" s="7"/>
      <c r="Z169" s="7"/>
      <c r="AD169" s="92"/>
      <c r="AE169" s="7"/>
      <c r="AF169" s="144"/>
      <c r="AG169" s="144"/>
      <c r="AH169" s="144"/>
      <c r="AI169" s="144"/>
      <c r="AJ169" s="144"/>
      <c r="AK169" s="7"/>
    </row>
    <row r="170" spans="18:37" s="18" customFormat="1">
      <c r="R170" s="7"/>
      <c r="S170" s="7"/>
      <c r="T170" s="7"/>
      <c r="U170" s="7"/>
      <c r="V170" s="7"/>
      <c r="W170" s="7"/>
      <c r="X170" s="7"/>
      <c r="Y170" s="7"/>
      <c r="Z170" s="7"/>
      <c r="AD170" s="92"/>
      <c r="AE170" s="7"/>
      <c r="AF170" s="144"/>
      <c r="AG170" s="144"/>
      <c r="AH170" s="144"/>
      <c r="AI170" s="144"/>
      <c r="AJ170" s="144"/>
      <c r="AK170" s="7"/>
    </row>
    <row r="171" spans="18:37" s="18" customFormat="1">
      <c r="R171" s="7"/>
      <c r="S171" s="7"/>
      <c r="T171" s="7"/>
      <c r="U171" s="7"/>
      <c r="V171" s="7"/>
      <c r="W171" s="7"/>
      <c r="X171" s="7"/>
      <c r="Y171" s="7"/>
      <c r="Z171" s="7"/>
      <c r="AD171" s="92"/>
      <c r="AE171" s="7"/>
      <c r="AF171" s="144"/>
      <c r="AG171" s="144"/>
      <c r="AH171" s="144"/>
      <c r="AI171" s="144"/>
      <c r="AJ171" s="144"/>
      <c r="AK171" s="7"/>
    </row>
    <row r="172" spans="18:37" s="18" customFormat="1">
      <c r="R172" s="7"/>
      <c r="S172" s="7"/>
      <c r="T172" s="7"/>
      <c r="U172" s="7"/>
      <c r="V172" s="7"/>
      <c r="W172" s="7"/>
      <c r="X172" s="7"/>
      <c r="Y172" s="7"/>
      <c r="Z172" s="7"/>
      <c r="AD172" s="92"/>
      <c r="AE172" s="7"/>
      <c r="AF172" s="144"/>
      <c r="AG172" s="144"/>
      <c r="AH172" s="144"/>
      <c r="AI172" s="144"/>
      <c r="AJ172" s="144"/>
      <c r="AK172" s="7"/>
    </row>
    <row r="173" spans="18:37" s="18" customFormat="1">
      <c r="R173" s="7"/>
      <c r="S173" s="7"/>
      <c r="T173" s="7"/>
      <c r="U173" s="7"/>
      <c r="V173" s="7"/>
      <c r="W173" s="7"/>
      <c r="X173" s="7"/>
      <c r="Y173" s="7"/>
      <c r="Z173" s="7"/>
      <c r="AD173" s="92"/>
      <c r="AE173" s="7"/>
      <c r="AF173" s="144"/>
      <c r="AG173" s="144"/>
      <c r="AH173" s="144"/>
      <c r="AI173" s="144"/>
      <c r="AJ173" s="144"/>
      <c r="AK173" s="7"/>
    </row>
    <row r="174" spans="18:37" s="18" customFormat="1">
      <c r="R174" s="7"/>
      <c r="S174" s="7"/>
      <c r="T174" s="7"/>
      <c r="U174" s="7"/>
      <c r="V174" s="7"/>
      <c r="W174" s="7"/>
      <c r="X174" s="7"/>
      <c r="Y174" s="7"/>
      <c r="Z174" s="7"/>
      <c r="AD174" s="92"/>
      <c r="AE174" s="7"/>
      <c r="AF174" s="144"/>
      <c r="AG174" s="144"/>
      <c r="AH174" s="144"/>
      <c r="AI174" s="144"/>
      <c r="AJ174" s="144"/>
      <c r="AK174" s="7"/>
    </row>
    <row r="175" spans="18:37" s="18" customFormat="1">
      <c r="R175" s="7"/>
      <c r="S175" s="7"/>
      <c r="T175" s="7"/>
      <c r="U175" s="7"/>
      <c r="V175" s="7"/>
      <c r="W175" s="7"/>
      <c r="X175" s="7"/>
      <c r="Y175" s="7"/>
      <c r="Z175" s="7"/>
      <c r="AD175" s="92"/>
      <c r="AE175" s="7"/>
      <c r="AF175" s="144"/>
      <c r="AG175" s="144"/>
      <c r="AH175" s="144"/>
      <c r="AI175" s="144"/>
      <c r="AJ175" s="144"/>
      <c r="AK175" s="7"/>
    </row>
    <row r="176" spans="18:37" s="18" customFormat="1">
      <c r="R176" s="7"/>
      <c r="S176" s="7"/>
      <c r="T176" s="7"/>
      <c r="U176" s="7"/>
      <c r="V176" s="7"/>
      <c r="W176" s="7"/>
      <c r="X176" s="7"/>
      <c r="Y176" s="7"/>
      <c r="Z176" s="7"/>
      <c r="AD176" s="92"/>
      <c r="AE176" s="7"/>
      <c r="AF176" s="144"/>
      <c r="AG176" s="144"/>
      <c r="AH176" s="144"/>
      <c r="AI176" s="144"/>
      <c r="AJ176" s="144"/>
      <c r="AK176" s="7"/>
    </row>
    <row r="177" spans="18:37" s="18" customFormat="1">
      <c r="R177" s="7"/>
      <c r="S177" s="7"/>
      <c r="T177" s="7"/>
      <c r="U177" s="7"/>
      <c r="V177" s="7"/>
      <c r="W177" s="7"/>
      <c r="X177" s="7"/>
      <c r="Y177" s="7"/>
      <c r="Z177" s="7"/>
      <c r="AD177" s="92"/>
      <c r="AE177" s="7"/>
      <c r="AF177" s="144"/>
      <c r="AG177" s="144"/>
      <c r="AH177" s="144"/>
      <c r="AI177" s="144"/>
      <c r="AJ177" s="144"/>
      <c r="AK177" s="7"/>
    </row>
    <row r="178" spans="18:37" s="18" customFormat="1">
      <c r="R178" s="7"/>
      <c r="S178" s="7"/>
      <c r="T178" s="7"/>
      <c r="U178" s="7"/>
      <c r="V178" s="7"/>
      <c r="W178" s="7"/>
      <c r="X178" s="7"/>
      <c r="Y178" s="7"/>
      <c r="Z178" s="7"/>
      <c r="AD178" s="92"/>
      <c r="AE178" s="7"/>
      <c r="AF178" s="144"/>
      <c r="AG178" s="144"/>
      <c r="AH178" s="144"/>
      <c r="AI178" s="144"/>
      <c r="AJ178" s="144"/>
      <c r="AK178" s="7"/>
    </row>
    <row r="179" spans="18:37" s="18" customFormat="1">
      <c r="R179" s="7"/>
      <c r="S179" s="7"/>
      <c r="T179" s="7"/>
      <c r="U179" s="7"/>
      <c r="V179" s="7"/>
      <c r="W179" s="7"/>
      <c r="X179" s="7"/>
      <c r="Y179" s="7"/>
      <c r="Z179" s="7"/>
      <c r="AD179" s="92"/>
      <c r="AE179" s="7"/>
      <c r="AF179" s="144"/>
      <c r="AG179" s="144"/>
      <c r="AH179" s="144"/>
      <c r="AI179" s="144"/>
      <c r="AJ179" s="144"/>
      <c r="AK179" s="7"/>
    </row>
    <row r="180" spans="18:37" s="18" customFormat="1">
      <c r="R180" s="7"/>
      <c r="S180" s="7"/>
      <c r="T180" s="7"/>
      <c r="U180" s="7"/>
      <c r="V180" s="7"/>
      <c r="W180" s="7"/>
      <c r="X180" s="7"/>
      <c r="Y180" s="7"/>
      <c r="Z180" s="7"/>
      <c r="AD180" s="92"/>
      <c r="AE180" s="7"/>
      <c r="AF180" s="144"/>
      <c r="AG180" s="144"/>
      <c r="AH180" s="144"/>
      <c r="AI180" s="144"/>
      <c r="AJ180" s="144"/>
      <c r="AK180" s="7"/>
    </row>
    <row r="181" spans="18:37" s="18" customFormat="1">
      <c r="R181" s="7"/>
      <c r="S181" s="7"/>
      <c r="T181" s="7"/>
      <c r="U181" s="7"/>
      <c r="V181" s="7"/>
      <c r="W181" s="7"/>
      <c r="X181" s="7"/>
      <c r="Y181" s="7"/>
      <c r="Z181" s="7"/>
      <c r="AD181" s="92"/>
      <c r="AE181" s="7"/>
      <c r="AF181" s="144"/>
      <c r="AG181" s="144"/>
      <c r="AH181" s="144"/>
      <c r="AI181" s="144"/>
      <c r="AJ181" s="144"/>
      <c r="AK181" s="7"/>
    </row>
    <row r="182" spans="18:37" s="18" customFormat="1">
      <c r="R182" s="7"/>
      <c r="S182" s="7"/>
      <c r="T182" s="7"/>
      <c r="U182" s="7"/>
      <c r="V182" s="7"/>
      <c r="W182" s="7"/>
      <c r="X182" s="7"/>
      <c r="Y182" s="7"/>
      <c r="Z182" s="7"/>
      <c r="AD182" s="92"/>
      <c r="AE182" s="7"/>
      <c r="AF182" s="144"/>
      <c r="AG182" s="144"/>
      <c r="AH182" s="144"/>
      <c r="AI182" s="144"/>
      <c r="AJ182" s="144"/>
      <c r="AK182" s="7"/>
    </row>
    <row r="183" spans="18:37" s="18" customFormat="1">
      <c r="R183" s="7"/>
      <c r="S183" s="7"/>
      <c r="T183" s="7"/>
      <c r="U183" s="7"/>
      <c r="V183" s="7"/>
      <c r="W183" s="7"/>
      <c r="X183" s="7"/>
      <c r="Y183" s="7"/>
      <c r="Z183" s="7"/>
      <c r="AD183" s="92"/>
      <c r="AE183" s="7"/>
      <c r="AF183" s="144"/>
      <c r="AG183" s="144"/>
      <c r="AH183" s="144"/>
      <c r="AI183" s="144"/>
      <c r="AJ183" s="144"/>
      <c r="AK183" s="7"/>
    </row>
    <row r="184" spans="18:37" s="18" customFormat="1">
      <c r="R184" s="7"/>
      <c r="S184" s="7"/>
      <c r="T184" s="7"/>
      <c r="U184" s="7"/>
      <c r="V184" s="7"/>
      <c r="W184" s="7"/>
      <c r="X184" s="7"/>
      <c r="Y184" s="7"/>
      <c r="Z184" s="7"/>
      <c r="AD184" s="92"/>
      <c r="AE184" s="7"/>
      <c r="AF184" s="144"/>
      <c r="AG184" s="144"/>
      <c r="AH184" s="144"/>
      <c r="AI184" s="144"/>
      <c r="AJ184" s="144"/>
      <c r="AK184" s="7"/>
    </row>
    <row r="185" spans="18:37" s="18" customFormat="1">
      <c r="R185" s="7"/>
      <c r="S185" s="7"/>
      <c r="T185" s="7"/>
      <c r="U185" s="7"/>
      <c r="V185" s="7"/>
      <c r="W185" s="7"/>
      <c r="X185" s="7"/>
      <c r="Y185" s="7"/>
      <c r="Z185" s="7"/>
      <c r="AD185" s="92"/>
      <c r="AE185" s="7"/>
      <c r="AF185" s="144"/>
      <c r="AG185" s="144"/>
      <c r="AH185" s="144"/>
      <c r="AI185" s="144"/>
      <c r="AJ185" s="144"/>
      <c r="AK185" s="7"/>
    </row>
    <row r="186" spans="18:37" s="18" customFormat="1">
      <c r="R186" s="7"/>
      <c r="S186" s="7"/>
      <c r="T186" s="7"/>
      <c r="U186" s="7"/>
      <c r="V186" s="7"/>
      <c r="W186" s="7"/>
      <c r="X186" s="7"/>
      <c r="Y186" s="7"/>
      <c r="Z186" s="7"/>
      <c r="AD186" s="92"/>
      <c r="AE186" s="7"/>
      <c r="AF186" s="144"/>
      <c r="AG186" s="144"/>
      <c r="AH186" s="144"/>
      <c r="AI186" s="144"/>
      <c r="AJ186" s="144"/>
      <c r="AK186" s="7"/>
    </row>
    <row r="187" spans="18:37" s="18" customFormat="1">
      <c r="R187" s="7"/>
      <c r="S187" s="7"/>
      <c r="T187" s="7"/>
      <c r="U187" s="7"/>
      <c r="V187" s="7"/>
      <c r="W187" s="7"/>
      <c r="X187" s="7"/>
      <c r="Y187" s="7"/>
      <c r="Z187" s="7"/>
      <c r="AD187" s="92"/>
      <c r="AE187" s="7"/>
      <c r="AF187" s="144"/>
      <c r="AG187" s="144"/>
      <c r="AH187" s="144"/>
      <c r="AI187" s="144"/>
      <c r="AJ187" s="144"/>
      <c r="AK187" s="7"/>
    </row>
    <row r="188" spans="18:37" s="18" customFormat="1">
      <c r="R188" s="7"/>
      <c r="S188" s="7"/>
      <c r="T188" s="7"/>
      <c r="U188" s="7"/>
      <c r="V188" s="7"/>
      <c r="W188" s="7"/>
      <c r="X188" s="7"/>
      <c r="Y188" s="7"/>
      <c r="Z188" s="7"/>
      <c r="AD188" s="92"/>
      <c r="AE188" s="7"/>
      <c r="AF188" s="144"/>
      <c r="AG188" s="144"/>
      <c r="AH188" s="144"/>
      <c r="AI188" s="144"/>
      <c r="AJ188" s="144"/>
      <c r="AK188" s="7"/>
    </row>
    <row r="189" spans="18:37" s="18" customFormat="1">
      <c r="R189" s="7"/>
      <c r="S189" s="7"/>
      <c r="T189" s="7"/>
      <c r="U189" s="7"/>
      <c r="V189" s="7"/>
      <c r="W189" s="7"/>
      <c r="X189" s="7"/>
      <c r="Y189" s="7"/>
      <c r="Z189" s="7"/>
      <c r="AD189" s="92"/>
      <c r="AE189" s="7"/>
      <c r="AF189" s="144"/>
      <c r="AG189" s="144"/>
      <c r="AH189" s="144"/>
      <c r="AI189" s="144"/>
      <c r="AJ189" s="144"/>
      <c r="AK189" s="7"/>
    </row>
    <row r="190" spans="18:37" s="18" customFormat="1">
      <c r="R190" s="7"/>
      <c r="S190" s="7"/>
      <c r="T190" s="7"/>
      <c r="U190" s="7"/>
      <c r="V190" s="7"/>
      <c r="W190" s="7"/>
      <c r="X190" s="7"/>
      <c r="Y190" s="7"/>
      <c r="Z190" s="7"/>
      <c r="AD190" s="92"/>
      <c r="AE190" s="7"/>
      <c r="AF190" s="144"/>
      <c r="AG190" s="144"/>
      <c r="AH190" s="144"/>
      <c r="AI190" s="144"/>
      <c r="AJ190" s="144"/>
      <c r="AK190" s="7"/>
    </row>
    <row r="191" spans="18:37" s="18" customFormat="1">
      <c r="R191" s="7"/>
      <c r="S191" s="7"/>
      <c r="T191" s="7"/>
      <c r="U191" s="7"/>
      <c r="V191" s="7"/>
      <c r="W191" s="7"/>
      <c r="X191" s="7"/>
      <c r="Y191" s="7"/>
      <c r="Z191" s="7"/>
      <c r="AD191" s="92"/>
      <c r="AE191" s="7"/>
      <c r="AF191" s="144"/>
      <c r="AG191" s="144"/>
      <c r="AH191" s="144"/>
      <c r="AI191" s="144"/>
      <c r="AJ191" s="144"/>
      <c r="AK191" s="7"/>
    </row>
    <row r="192" spans="18:37" s="18" customFormat="1">
      <c r="R192" s="7"/>
      <c r="S192" s="7"/>
      <c r="T192" s="7"/>
      <c r="U192" s="7"/>
      <c r="V192" s="7"/>
      <c r="W192" s="7"/>
      <c r="X192" s="7"/>
      <c r="Y192" s="7"/>
      <c r="Z192" s="7"/>
      <c r="AD192" s="92"/>
      <c r="AE192" s="7"/>
      <c r="AF192" s="144"/>
      <c r="AG192" s="144"/>
      <c r="AH192" s="144"/>
      <c r="AI192" s="144"/>
      <c r="AJ192" s="144"/>
      <c r="AK192" s="7"/>
    </row>
    <row r="193" spans="18:37" s="18" customFormat="1">
      <c r="R193" s="7"/>
      <c r="S193" s="7"/>
      <c r="T193" s="7"/>
      <c r="U193" s="7"/>
      <c r="V193" s="7"/>
      <c r="W193" s="7"/>
      <c r="X193" s="7"/>
      <c r="Y193" s="7"/>
      <c r="Z193" s="7"/>
      <c r="AD193" s="92"/>
      <c r="AE193" s="7"/>
      <c r="AF193" s="144"/>
      <c r="AG193" s="144"/>
      <c r="AH193" s="144"/>
      <c r="AI193" s="144"/>
      <c r="AJ193" s="144"/>
      <c r="AK193" s="7"/>
    </row>
    <row r="194" spans="18:37" s="18" customFormat="1">
      <c r="R194" s="7"/>
      <c r="S194" s="7"/>
      <c r="T194" s="7"/>
      <c r="U194" s="7"/>
      <c r="V194" s="7"/>
      <c r="W194" s="7"/>
      <c r="X194" s="7"/>
      <c r="Y194" s="7"/>
      <c r="Z194" s="7"/>
      <c r="AD194" s="92"/>
      <c r="AE194" s="7"/>
      <c r="AF194" s="144"/>
      <c r="AG194" s="144"/>
      <c r="AH194" s="144"/>
      <c r="AI194" s="144"/>
      <c r="AJ194" s="144"/>
      <c r="AK194" s="7"/>
    </row>
    <row r="195" spans="18:37" s="18" customFormat="1">
      <c r="R195" s="7"/>
      <c r="S195" s="7"/>
      <c r="T195" s="7"/>
      <c r="U195" s="7"/>
      <c r="V195" s="7"/>
      <c r="W195" s="7"/>
      <c r="X195" s="7"/>
      <c r="Y195" s="7"/>
      <c r="Z195" s="7"/>
      <c r="AD195" s="92"/>
      <c r="AE195" s="7"/>
      <c r="AF195" s="144"/>
      <c r="AG195" s="144"/>
      <c r="AH195" s="144"/>
      <c r="AI195" s="144"/>
      <c r="AJ195" s="144"/>
      <c r="AK195" s="7"/>
    </row>
    <row r="196" spans="18:37" s="18" customFormat="1">
      <c r="R196" s="7"/>
      <c r="S196" s="7"/>
      <c r="T196" s="7"/>
      <c r="U196" s="7"/>
      <c r="V196" s="7"/>
      <c r="W196" s="7"/>
      <c r="X196" s="7"/>
      <c r="Y196" s="7"/>
      <c r="Z196" s="7"/>
      <c r="AD196" s="92"/>
      <c r="AE196" s="7"/>
      <c r="AF196" s="144"/>
      <c r="AG196" s="144"/>
      <c r="AH196" s="144"/>
      <c r="AI196" s="144"/>
      <c r="AJ196" s="144"/>
      <c r="AK196" s="7"/>
    </row>
    <row r="197" spans="18:37" s="18" customFormat="1">
      <c r="R197" s="7"/>
      <c r="S197" s="7"/>
      <c r="T197" s="7"/>
      <c r="U197" s="7"/>
      <c r="V197" s="7"/>
      <c r="W197" s="7"/>
      <c r="X197" s="7"/>
      <c r="Y197" s="7"/>
      <c r="Z197" s="7"/>
      <c r="AD197" s="92"/>
      <c r="AE197" s="7"/>
      <c r="AF197" s="144"/>
      <c r="AG197" s="144"/>
      <c r="AH197" s="144"/>
      <c r="AI197" s="144"/>
      <c r="AJ197" s="144"/>
      <c r="AK197" s="7"/>
    </row>
    <row r="198" spans="18:37" s="18" customFormat="1">
      <c r="R198" s="7"/>
      <c r="S198" s="7"/>
      <c r="T198" s="7"/>
      <c r="U198" s="7"/>
      <c r="V198" s="7"/>
      <c r="W198" s="7"/>
      <c r="X198" s="7"/>
      <c r="Y198" s="7"/>
      <c r="Z198" s="7"/>
      <c r="AD198" s="92"/>
      <c r="AE198" s="7"/>
      <c r="AF198" s="144"/>
      <c r="AG198" s="144"/>
      <c r="AH198" s="144"/>
      <c r="AI198" s="144"/>
      <c r="AJ198" s="144"/>
      <c r="AK198" s="7"/>
    </row>
    <row r="199" spans="18:37" s="18" customFormat="1">
      <c r="R199" s="7"/>
      <c r="S199" s="7"/>
      <c r="T199" s="7"/>
      <c r="U199" s="7"/>
      <c r="V199" s="7"/>
      <c r="W199" s="7"/>
      <c r="X199" s="7"/>
      <c r="Y199" s="7"/>
      <c r="Z199" s="7"/>
      <c r="AD199" s="92"/>
      <c r="AE199" s="7"/>
      <c r="AF199" s="144"/>
      <c r="AG199" s="144"/>
      <c r="AH199" s="144"/>
      <c r="AI199" s="144"/>
      <c r="AJ199" s="144"/>
      <c r="AK199" s="7"/>
    </row>
    <row r="200" spans="18:37" s="18" customFormat="1">
      <c r="R200" s="7"/>
      <c r="S200" s="7"/>
      <c r="T200" s="7"/>
      <c r="U200" s="7"/>
      <c r="V200" s="7"/>
      <c r="W200" s="7"/>
      <c r="X200" s="7"/>
      <c r="Y200" s="7"/>
      <c r="Z200" s="7"/>
      <c r="AD200" s="92"/>
      <c r="AE200" s="7"/>
      <c r="AF200" s="144"/>
      <c r="AG200" s="144"/>
      <c r="AH200" s="144"/>
      <c r="AI200" s="144"/>
      <c r="AJ200" s="144"/>
      <c r="AK200" s="7"/>
    </row>
    <row r="201" spans="18:37" s="18" customFormat="1">
      <c r="R201" s="7"/>
      <c r="S201" s="7"/>
      <c r="T201" s="7"/>
      <c r="U201" s="7"/>
      <c r="V201" s="7"/>
      <c r="W201" s="7"/>
      <c r="X201" s="7"/>
      <c r="Y201" s="7"/>
      <c r="Z201" s="7"/>
      <c r="AD201" s="92"/>
      <c r="AE201" s="7"/>
      <c r="AF201" s="144"/>
      <c r="AG201" s="144"/>
      <c r="AH201" s="144"/>
      <c r="AI201" s="144"/>
      <c r="AJ201" s="144"/>
      <c r="AK201" s="7"/>
    </row>
    <row r="202" spans="18:37" s="18" customFormat="1">
      <c r="R202" s="7"/>
      <c r="S202" s="7"/>
      <c r="T202" s="7"/>
      <c r="U202" s="7"/>
      <c r="V202" s="7"/>
      <c r="W202" s="7"/>
      <c r="X202" s="7"/>
      <c r="Y202" s="7"/>
      <c r="Z202" s="7"/>
      <c r="AD202" s="92"/>
      <c r="AE202" s="7"/>
      <c r="AF202" s="144"/>
      <c r="AG202" s="144"/>
      <c r="AH202" s="144"/>
      <c r="AI202" s="144"/>
      <c r="AJ202" s="144"/>
      <c r="AK202" s="7"/>
    </row>
    <row r="203" spans="18:37" s="18" customFormat="1">
      <c r="R203" s="7"/>
      <c r="S203" s="7"/>
      <c r="T203" s="7"/>
      <c r="U203" s="7"/>
      <c r="V203" s="7"/>
      <c r="W203" s="7"/>
      <c r="X203" s="7"/>
      <c r="Y203" s="7"/>
      <c r="Z203" s="7"/>
      <c r="AD203" s="92"/>
      <c r="AE203" s="7"/>
      <c r="AF203" s="144"/>
      <c r="AG203" s="144"/>
      <c r="AH203" s="144"/>
      <c r="AI203" s="144"/>
      <c r="AJ203" s="144"/>
      <c r="AK203" s="7"/>
    </row>
    <row r="204" spans="18:37" s="18" customFormat="1">
      <c r="R204" s="7"/>
      <c r="S204" s="7"/>
      <c r="T204" s="7"/>
      <c r="U204" s="7"/>
      <c r="V204" s="7"/>
      <c r="W204" s="7"/>
      <c r="X204" s="7"/>
      <c r="Y204" s="7"/>
      <c r="Z204" s="7"/>
      <c r="AD204" s="92"/>
      <c r="AE204" s="7"/>
      <c r="AF204" s="144"/>
      <c r="AG204" s="144"/>
      <c r="AH204" s="144"/>
      <c r="AI204" s="144"/>
      <c r="AJ204" s="144"/>
      <c r="AK204" s="7"/>
    </row>
    <row r="205" spans="18:37" s="18" customFormat="1">
      <c r="R205" s="7"/>
      <c r="S205" s="7"/>
      <c r="T205" s="7"/>
      <c r="U205" s="7"/>
      <c r="V205" s="7"/>
      <c r="W205" s="7"/>
      <c r="X205" s="7"/>
      <c r="Y205" s="7"/>
      <c r="Z205" s="7"/>
      <c r="AD205" s="92"/>
      <c r="AE205" s="7"/>
      <c r="AF205" s="144"/>
      <c r="AG205" s="144"/>
      <c r="AH205" s="144"/>
      <c r="AI205" s="144"/>
      <c r="AJ205" s="144"/>
      <c r="AK205" s="7"/>
    </row>
    <row r="206" spans="18:37" s="18" customFormat="1">
      <c r="R206" s="7"/>
      <c r="S206" s="7"/>
      <c r="T206" s="7"/>
      <c r="U206" s="7"/>
      <c r="V206" s="7"/>
      <c r="W206" s="7"/>
      <c r="X206" s="7"/>
      <c r="Y206" s="7"/>
      <c r="Z206" s="7"/>
      <c r="AD206" s="92"/>
      <c r="AE206" s="7"/>
      <c r="AF206" s="144"/>
      <c r="AG206" s="144"/>
      <c r="AH206" s="144"/>
      <c r="AI206" s="144"/>
      <c r="AJ206" s="144"/>
      <c r="AK206" s="7"/>
    </row>
    <row r="207" spans="18:37" s="18" customFormat="1">
      <c r="R207" s="7"/>
      <c r="S207" s="7"/>
      <c r="T207" s="7"/>
      <c r="U207" s="7"/>
      <c r="V207" s="7"/>
      <c r="W207" s="7"/>
      <c r="X207" s="7"/>
      <c r="Y207" s="7"/>
      <c r="Z207" s="7"/>
      <c r="AD207" s="92"/>
      <c r="AE207" s="7"/>
      <c r="AF207" s="144"/>
      <c r="AG207" s="144"/>
      <c r="AH207" s="144"/>
      <c r="AI207" s="144"/>
      <c r="AJ207" s="144"/>
      <c r="AK207" s="7"/>
    </row>
    <row r="208" spans="18:37" s="18" customFormat="1">
      <c r="R208" s="7"/>
      <c r="S208" s="7"/>
      <c r="T208" s="7"/>
      <c r="U208" s="7"/>
      <c r="V208" s="7"/>
      <c r="W208" s="7"/>
      <c r="X208" s="7"/>
      <c r="Y208" s="7"/>
      <c r="Z208" s="7"/>
      <c r="AD208" s="92"/>
      <c r="AE208" s="7"/>
      <c r="AF208" s="144"/>
      <c r="AG208" s="144"/>
      <c r="AH208" s="144"/>
      <c r="AI208" s="144"/>
      <c r="AJ208" s="144"/>
      <c r="AK208" s="7"/>
    </row>
    <row r="209" spans="18:37" s="18" customFormat="1">
      <c r="R209" s="7"/>
      <c r="S209" s="7"/>
      <c r="T209" s="7"/>
      <c r="U209" s="7"/>
      <c r="V209" s="7"/>
      <c r="W209" s="7"/>
      <c r="X209" s="7"/>
      <c r="Y209" s="7"/>
      <c r="Z209" s="7"/>
      <c r="AD209" s="92"/>
      <c r="AE209" s="7"/>
      <c r="AF209" s="144"/>
      <c r="AG209" s="144"/>
      <c r="AH209" s="144"/>
      <c r="AI209" s="144"/>
      <c r="AJ209" s="144"/>
      <c r="AK209" s="7"/>
    </row>
    <row r="210" spans="18:37" s="18" customFormat="1">
      <c r="R210" s="7"/>
      <c r="S210" s="7"/>
      <c r="T210" s="7"/>
      <c r="U210" s="7"/>
      <c r="V210" s="7"/>
      <c r="W210" s="7"/>
      <c r="X210" s="7"/>
      <c r="Y210" s="7"/>
      <c r="Z210" s="7"/>
      <c r="AD210" s="92"/>
      <c r="AE210" s="7"/>
      <c r="AF210" s="144"/>
      <c r="AG210" s="144"/>
      <c r="AH210" s="144"/>
      <c r="AI210" s="144"/>
      <c r="AJ210" s="144"/>
      <c r="AK210" s="7"/>
    </row>
    <row r="211" spans="18:37" s="18" customFormat="1">
      <c r="R211" s="7"/>
      <c r="S211" s="7"/>
      <c r="T211" s="7"/>
      <c r="U211" s="7"/>
      <c r="V211" s="7"/>
      <c r="W211" s="7"/>
      <c r="X211" s="7"/>
      <c r="Y211" s="7"/>
      <c r="Z211" s="7"/>
      <c r="AD211" s="92"/>
      <c r="AE211" s="7"/>
      <c r="AF211" s="144"/>
      <c r="AG211" s="144"/>
      <c r="AH211" s="144"/>
      <c r="AI211" s="144"/>
      <c r="AJ211" s="144"/>
      <c r="AK211" s="7"/>
    </row>
    <row r="212" spans="18:37" s="18" customFormat="1">
      <c r="R212" s="7"/>
      <c r="S212" s="7"/>
      <c r="T212" s="7"/>
      <c r="U212" s="7"/>
      <c r="V212" s="7"/>
      <c r="W212" s="7"/>
      <c r="X212" s="7"/>
      <c r="Y212" s="7"/>
      <c r="Z212" s="7"/>
      <c r="AD212" s="92"/>
      <c r="AE212" s="7"/>
      <c r="AF212" s="144"/>
      <c r="AG212" s="144"/>
      <c r="AH212" s="144"/>
      <c r="AI212" s="144"/>
      <c r="AJ212" s="144"/>
      <c r="AK212" s="7"/>
    </row>
    <row r="213" spans="18:37" s="18" customFormat="1">
      <c r="R213" s="7"/>
      <c r="S213" s="7"/>
      <c r="T213" s="7"/>
      <c r="U213" s="7"/>
      <c r="V213" s="7"/>
      <c r="W213" s="7"/>
      <c r="X213" s="7"/>
      <c r="Y213" s="7"/>
      <c r="Z213" s="7"/>
      <c r="AD213" s="92"/>
      <c r="AE213" s="7"/>
      <c r="AF213" s="144"/>
      <c r="AG213" s="144"/>
      <c r="AH213" s="144"/>
      <c r="AI213" s="144"/>
      <c r="AJ213" s="144"/>
      <c r="AK213" s="7"/>
    </row>
    <row r="214" spans="18:37" s="18" customFormat="1">
      <c r="R214" s="7"/>
      <c r="S214" s="7"/>
      <c r="T214" s="7"/>
      <c r="U214" s="7"/>
      <c r="V214" s="7"/>
      <c r="W214" s="7"/>
      <c r="X214" s="7"/>
      <c r="Y214" s="7"/>
      <c r="Z214" s="7"/>
      <c r="AD214" s="92"/>
      <c r="AE214" s="7"/>
      <c r="AF214" s="144"/>
      <c r="AG214" s="144"/>
      <c r="AH214" s="144"/>
      <c r="AI214" s="144"/>
      <c r="AJ214" s="144"/>
      <c r="AK214" s="7"/>
    </row>
    <row r="215" spans="18:37" s="18" customFormat="1">
      <c r="R215" s="7"/>
      <c r="S215" s="7"/>
      <c r="T215" s="7"/>
      <c r="U215" s="7"/>
      <c r="V215" s="7"/>
      <c r="W215" s="7"/>
      <c r="X215" s="7"/>
      <c r="Y215" s="7"/>
      <c r="Z215" s="7"/>
      <c r="AD215" s="92"/>
      <c r="AE215" s="7"/>
      <c r="AF215" s="144"/>
      <c r="AG215" s="144"/>
      <c r="AH215" s="144"/>
      <c r="AI215" s="144"/>
      <c r="AJ215" s="144"/>
      <c r="AK215" s="7"/>
    </row>
    <row r="216" spans="18:37" s="18" customFormat="1">
      <c r="R216" s="7"/>
      <c r="S216" s="7"/>
      <c r="T216" s="7"/>
      <c r="U216" s="7"/>
      <c r="V216" s="7"/>
      <c r="W216" s="7"/>
      <c r="X216" s="7"/>
      <c r="Y216" s="7"/>
      <c r="Z216" s="7"/>
      <c r="AD216" s="92"/>
      <c r="AE216" s="7"/>
      <c r="AF216" s="144"/>
      <c r="AG216" s="144"/>
      <c r="AH216" s="144"/>
      <c r="AI216" s="144"/>
      <c r="AJ216" s="144"/>
      <c r="AK216" s="7"/>
    </row>
    <row r="217" spans="18:37" s="18" customFormat="1">
      <c r="R217" s="7"/>
      <c r="S217" s="7"/>
      <c r="T217" s="7"/>
      <c r="U217" s="7"/>
      <c r="V217" s="7"/>
      <c r="W217" s="7"/>
      <c r="X217" s="7"/>
      <c r="Y217" s="7"/>
      <c r="Z217" s="7"/>
      <c r="AD217" s="92"/>
      <c r="AE217" s="7"/>
      <c r="AF217" s="144"/>
      <c r="AG217" s="144"/>
      <c r="AH217" s="144"/>
      <c r="AI217" s="144"/>
      <c r="AJ217" s="144"/>
      <c r="AK217" s="7"/>
    </row>
    <row r="218" spans="18:37" s="18" customFormat="1">
      <c r="R218" s="7"/>
      <c r="S218" s="7"/>
      <c r="T218" s="7"/>
      <c r="U218" s="7"/>
      <c r="V218" s="7"/>
      <c r="W218" s="7"/>
      <c r="X218" s="7"/>
      <c r="Y218" s="7"/>
      <c r="Z218" s="7"/>
      <c r="AD218" s="92"/>
      <c r="AE218" s="7"/>
      <c r="AF218" s="144"/>
      <c r="AG218" s="144"/>
      <c r="AH218" s="144"/>
      <c r="AI218" s="144"/>
      <c r="AJ218" s="144"/>
      <c r="AK218" s="7"/>
    </row>
    <row r="219" spans="18:37" s="18" customFormat="1">
      <c r="R219" s="7"/>
      <c r="S219" s="7"/>
      <c r="T219" s="7"/>
      <c r="U219" s="7"/>
      <c r="V219" s="7"/>
      <c r="W219" s="7"/>
      <c r="X219" s="7"/>
      <c r="Y219" s="7"/>
      <c r="Z219" s="7"/>
      <c r="AD219" s="92"/>
      <c r="AE219" s="7"/>
      <c r="AF219" s="144"/>
      <c r="AG219" s="144"/>
      <c r="AH219" s="144"/>
      <c r="AI219" s="144"/>
      <c r="AJ219" s="144"/>
      <c r="AK219" s="7"/>
    </row>
    <row r="220" spans="18:37" s="18" customFormat="1">
      <c r="R220" s="7"/>
      <c r="S220" s="7"/>
      <c r="T220" s="7"/>
      <c r="U220" s="7"/>
      <c r="V220" s="7"/>
      <c r="W220" s="7"/>
      <c r="X220" s="7"/>
      <c r="Y220" s="7"/>
      <c r="Z220" s="7"/>
      <c r="AD220" s="92"/>
      <c r="AE220" s="7"/>
      <c r="AF220" s="144"/>
      <c r="AG220" s="144"/>
      <c r="AH220" s="144"/>
      <c r="AI220" s="144"/>
      <c r="AJ220" s="144"/>
      <c r="AK220" s="7"/>
    </row>
    <row r="221" spans="18:37" s="18" customFormat="1">
      <c r="R221" s="7"/>
      <c r="S221" s="7"/>
      <c r="T221" s="7"/>
      <c r="U221" s="7"/>
      <c r="V221" s="7"/>
      <c r="W221" s="7"/>
      <c r="X221" s="7"/>
      <c r="Y221" s="7"/>
      <c r="Z221" s="7"/>
      <c r="AD221" s="92"/>
      <c r="AE221" s="7"/>
      <c r="AF221" s="144"/>
      <c r="AG221" s="144"/>
      <c r="AH221" s="144"/>
      <c r="AI221" s="144"/>
      <c r="AJ221" s="144"/>
      <c r="AK221" s="7"/>
    </row>
    <row r="222" spans="18:37" s="18" customFormat="1">
      <c r="R222" s="7"/>
      <c r="S222" s="7"/>
      <c r="T222" s="7"/>
      <c r="U222" s="7"/>
      <c r="V222" s="7"/>
      <c r="W222" s="7"/>
      <c r="X222" s="7"/>
      <c r="Y222" s="7"/>
      <c r="Z222" s="7"/>
      <c r="AD222" s="92"/>
      <c r="AE222" s="7"/>
      <c r="AF222" s="144"/>
      <c r="AG222" s="144"/>
      <c r="AH222" s="144"/>
      <c r="AI222" s="144"/>
      <c r="AJ222" s="144"/>
      <c r="AK222" s="7"/>
    </row>
    <row r="223" spans="18:37" s="18" customFormat="1">
      <c r="R223" s="7"/>
      <c r="S223" s="7"/>
      <c r="T223" s="7"/>
      <c r="U223" s="7"/>
      <c r="V223" s="7"/>
      <c r="W223" s="7"/>
      <c r="X223" s="7"/>
      <c r="Y223" s="7"/>
      <c r="Z223" s="7"/>
      <c r="AD223" s="92"/>
      <c r="AE223" s="7"/>
      <c r="AF223" s="144"/>
      <c r="AG223" s="144"/>
      <c r="AH223" s="144"/>
      <c r="AI223" s="144"/>
      <c r="AJ223" s="144"/>
      <c r="AK223" s="7"/>
    </row>
    <row r="224" spans="18:37" s="18" customFormat="1">
      <c r="R224" s="7"/>
      <c r="S224" s="7"/>
      <c r="T224" s="7"/>
      <c r="U224" s="7"/>
      <c r="V224" s="7"/>
      <c r="W224" s="7"/>
      <c r="X224" s="7"/>
      <c r="Y224" s="7"/>
      <c r="Z224" s="7"/>
      <c r="AD224" s="92"/>
      <c r="AE224" s="7"/>
      <c r="AF224" s="144"/>
      <c r="AG224" s="144"/>
      <c r="AH224" s="144"/>
      <c r="AI224" s="144"/>
      <c r="AJ224" s="144"/>
      <c r="AK224" s="7"/>
    </row>
    <row r="225" spans="18:37" s="18" customFormat="1">
      <c r="R225" s="7"/>
      <c r="S225" s="7"/>
      <c r="T225" s="7"/>
      <c r="U225" s="7"/>
      <c r="V225" s="7"/>
      <c r="W225" s="7"/>
      <c r="X225" s="7"/>
      <c r="Y225" s="7"/>
      <c r="Z225" s="7"/>
      <c r="AD225" s="92"/>
      <c r="AE225" s="7"/>
      <c r="AF225" s="144"/>
      <c r="AG225" s="144"/>
      <c r="AH225" s="144"/>
      <c r="AI225" s="144"/>
      <c r="AJ225" s="144"/>
      <c r="AK225" s="7"/>
    </row>
    <row r="226" spans="18:37" s="18" customFormat="1">
      <c r="R226" s="7"/>
      <c r="S226" s="7"/>
      <c r="T226" s="7"/>
      <c r="U226" s="7"/>
      <c r="V226" s="7"/>
      <c r="W226" s="7"/>
      <c r="X226" s="7"/>
      <c r="Y226" s="7"/>
      <c r="Z226" s="7"/>
      <c r="AD226" s="92"/>
      <c r="AE226" s="7"/>
      <c r="AF226" s="144"/>
      <c r="AG226" s="144"/>
      <c r="AH226" s="144"/>
      <c r="AI226" s="144"/>
      <c r="AJ226" s="144"/>
      <c r="AK226" s="7"/>
    </row>
    <row r="227" spans="18:37" s="18" customFormat="1">
      <c r="R227" s="7"/>
      <c r="S227" s="7"/>
      <c r="T227" s="7"/>
      <c r="U227" s="7"/>
      <c r="V227" s="7"/>
      <c r="W227" s="7"/>
      <c r="X227" s="7"/>
      <c r="Y227" s="7"/>
      <c r="Z227" s="7"/>
      <c r="AD227" s="92"/>
      <c r="AE227" s="7"/>
      <c r="AF227" s="144"/>
      <c r="AG227" s="144"/>
      <c r="AH227" s="144"/>
      <c r="AI227" s="144"/>
      <c r="AJ227" s="144"/>
      <c r="AK227" s="7"/>
    </row>
    <row r="228" spans="18:37" s="18" customFormat="1">
      <c r="R228" s="7"/>
      <c r="S228" s="7"/>
      <c r="T228" s="7"/>
      <c r="U228" s="7"/>
      <c r="V228" s="7"/>
      <c r="W228" s="7"/>
      <c r="X228" s="7"/>
      <c r="Y228" s="7"/>
      <c r="Z228" s="7"/>
      <c r="AD228" s="92"/>
      <c r="AE228" s="7"/>
      <c r="AF228" s="144"/>
      <c r="AG228" s="144"/>
      <c r="AH228" s="144"/>
      <c r="AI228" s="144"/>
      <c r="AJ228" s="144"/>
      <c r="AK228" s="7"/>
    </row>
    <row r="229" spans="18:37" s="18" customFormat="1">
      <c r="R229" s="7"/>
      <c r="S229" s="7"/>
      <c r="T229" s="7"/>
      <c r="U229" s="7"/>
      <c r="V229" s="7"/>
      <c r="W229" s="7"/>
      <c r="X229" s="7"/>
      <c r="Y229" s="7"/>
      <c r="Z229" s="7"/>
      <c r="AD229" s="92"/>
      <c r="AE229" s="7"/>
      <c r="AF229" s="144"/>
      <c r="AG229" s="144"/>
      <c r="AH229" s="144"/>
      <c r="AI229" s="144"/>
      <c r="AJ229" s="144"/>
      <c r="AK229" s="7"/>
    </row>
    <row r="230" spans="18:37" s="18" customFormat="1">
      <c r="R230" s="7"/>
      <c r="S230" s="7"/>
      <c r="T230" s="7"/>
      <c r="U230" s="7"/>
      <c r="V230" s="7"/>
      <c r="W230" s="7"/>
      <c r="X230" s="7"/>
      <c r="Y230" s="7"/>
      <c r="Z230" s="7"/>
      <c r="AD230" s="92"/>
      <c r="AE230" s="7"/>
      <c r="AF230" s="144"/>
      <c r="AG230" s="144"/>
      <c r="AH230" s="144"/>
      <c r="AI230" s="144"/>
      <c r="AJ230" s="144"/>
      <c r="AK230" s="7"/>
    </row>
    <row r="231" spans="18:37" s="18" customFormat="1">
      <c r="R231" s="7"/>
      <c r="S231" s="7"/>
      <c r="T231" s="7"/>
      <c r="U231" s="7"/>
      <c r="V231" s="7"/>
      <c r="W231" s="7"/>
      <c r="X231" s="7"/>
      <c r="Y231" s="7"/>
      <c r="Z231" s="7"/>
      <c r="AD231" s="92"/>
      <c r="AE231" s="7"/>
      <c r="AF231" s="144"/>
      <c r="AG231" s="144"/>
      <c r="AH231" s="144"/>
      <c r="AI231" s="144"/>
      <c r="AJ231" s="144"/>
      <c r="AK231" s="7"/>
    </row>
    <row r="232" spans="18:37" s="18" customFormat="1">
      <c r="R232" s="7"/>
      <c r="S232" s="7"/>
      <c r="T232" s="7"/>
      <c r="U232" s="7"/>
      <c r="V232" s="7"/>
      <c r="W232" s="7"/>
      <c r="X232" s="7"/>
      <c r="Y232" s="7"/>
      <c r="Z232" s="7"/>
      <c r="AD232" s="92"/>
      <c r="AE232" s="7"/>
      <c r="AF232" s="144"/>
      <c r="AG232" s="144"/>
      <c r="AH232" s="144"/>
      <c r="AI232" s="144"/>
      <c r="AJ232" s="144"/>
      <c r="AK232" s="7"/>
    </row>
    <row r="233" spans="18:37" s="18" customFormat="1">
      <c r="R233" s="7"/>
      <c r="S233" s="7"/>
      <c r="T233" s="7"/>
      <c r="U233" s="7"/>
      <c r="V233" s="7"/>
      <c r="W233" s="7"/>
      <c r="X233" s="7"/>
      <c r="Y233" s="7"/>
      <c r="Z233" s="7"/>
      <c r="AD233" s="92"/>
      <c r="AE233" s="7"/>
      <c r="AF233" s="144"/>
      <c r="AG233" s="144"/>
      <c r="AH233" s="144"/>
      <c r="AI233" s="144"/>
      <c r="AJ233" s="144"/>
      <c r="AK233" s="7"/>
    </row>
    <row r="234" spans="18:37" s="18" customFormat="1">
      <c r="R234" s="7"/>
      <c r="S234" s="7"/>
      <c r="T234" s="7"/>
      <c r="U234" s="7"/>
      <c r="V234" s="7"/>
      <c r="W234" s="7"/>
      <c r="X234" s="7"/>
      <c r="Y234" s="7"/>
      <c r="Z234" s="7"/>
      <c r="AD234" s="92"/>
      <c r="AE234" s="7"/>
      <c r="AF234" s="144"/>
      <c r="AG234" s="144"/>
      <c r="AH234" s="144"/>
      <c r="AI234" s="144"/>
      <c r="AJ234" s="144"/>
      <c r="AK234" s="7"/>
    </row>
    <row r="235" spans="18:37" s="18" customFormat="1">
      <c r="R235" s="7"/>
      <c r="S235" s="7"/>
      <c r="T235" s="7"/>
      <c r="U235" s="7"/>
      <c r="V235" s="7"/>
      <c r="W235" s="7"/>
      <c r="X235" s="7"/>
      <c r="Y235" s="7"/>
      <c r="Z235" s="7"/>
      <c r="AD235" s="92"/>
      <c r="AE235" s="7"/>
      <c r="AF235" s="144"/>
      <c r="AG235" s="144"/>
      <c r="AH235" s="144"/>
      <c r="AI235" s="144"/>
      <c r="AJ235" s="144"/>
      <c r="AK235" s="7"/>
    </row>
    <row r="236" spans="18:37" s="18" customFormat="1">
      <c r="R236" s="7"/>
      <c r="S236" s="7"/>
      <c r="T236" s="7"/>
      <c r="U236" s="7"/>
      <c r="V236" s="7"/>
      <c r="W236" s="7"/>
      <c r="X236" s="7"/>
      <c r="Y236" s="7"/>
      <c r="Z236" s="7"/>
      <c r="AD236" s="92"/>
      <c r="AE236" s="7"/>
      <c r="AF236" s="144"/>
      <c r="AG236" s="144"/>
      <c r="AH236" s="144"/>
      <c r="AI236" s="144"/>
      <c r="AJ236" s="144"/>
      <c r="AK236" s="7"/>
    </row>
    <row r="237" spans="18:37" s="18" customFormat="1">
      <c r="R237" s="7"/>
      <c r="S237" s="7"/>
      <c r="T237" s="7"/>
      <c r="U237" s="7"/>
      <c r="V237" s="7"/>
      <c r="W237" s="7"/>
      <c r="X237" s="7"/>
      <c r="Y237" s="7"/>
      <c r="Z237" s="7"/>
      <c r="AD237" s="92"/>
      <c r="AE237" s="7"/>
      <c r="AF237" s="144"/>
      <c r="AG237" s="144"/>
      <c r="AH237" s="144"/>
      <c r="AI237" s="144"/>
      <c r="AJ237" s="144"/>
      <c r="AK237" s="7"/>
    </row>
    <row r="238" spans="18:37" s="18" customFormat="1">
      <c r="R238" s="7"/>
      <c r="S238" s="7"/>
      <c r="T238" s="7"/>
      <c r="U238" s="7"/>
      <c r="V238" s="7"/>
      <c r="W238" s="7"/>
      <c r="X238" s="7"/>
      <c r="Y238" s="7"/>
      <c r="Z238" s="7"/>
      <c r="AD238" s="92"/>
      <c r="AE238" s="7"/>
      <c r="AF238" s="144"/>
      <c r="AG238" s="144"/>
      <c r="AH238" s="144"/>
      <c r="AI238" s="144"/>
      <c r="AJ238" s="144"/>
      <c r="AK238" s="7"/>
    </row>
    <row r="239" spans="18:37" s="18" customFormat="1">
      <c r="R239" s="7"/>
      <c r="S239" s="7"/>
      <c r="T239" s="7"/>
      <c r="U239" s="7"/>
      <c r="V239" s="7"/>
      <c r="W239" s="7"/>
      <c r="X239" s="7"/>
      <c r="Y239" s="7"/>
      <c r="Z239" s="7"/>
      <c r="AD239" s="92"/>
      <c r="AE239" s="7"/>
      <c r="AF239" s="144"/>
      <c r="AG239" s="144"/>
      <c r="AH239" s="144"/>
      <c r="AI239" s="144"/>
      <c r="AJ239" s="144"/>
      <c r="AK239" s="7"/>
    </row>
    <row r="240" spans="18:37" s="18" customFormat="1">
      <c r="R240" s="7"/>
      <c r="S240" s="7"/>
      <c r="T240" s="7"/>
      <c r="U240" s="7"/>
      <c r="V240" s="7"/>
      <c r="W240" s="7"/>
      <c r="X240" s="7"/>
      <c r="Y240" s="7"/>
      <c r="Z240" s="7"/>
      <c r="AD240" s="92"/>
      <c r="AE240" s="7"/>
      <c r="AF240" s="144"/>
      <c r="AG240" s="144"/>
      <c r="AH240" s="144"/>
      <c r="AI240" s="144"/>
      <c r="AJ240" s="144"/>
      <c r="AK240" s="7"/>
    </row>
    <row r="241" spans="18:37" s="18" customFormat="1">
      <c r="R241" s="7"/>
      <c r="S241" s="7"/>
      <c r="T241" s="7"/>
      <c r="U241" s="7"/>
      <c r="V241" s="7"/>
      <c r="W241" s="7"/>
      <c r="X241" s="7"/>
      <c r="Y241" s="7"/>
      <c r="Z241" s="7"/>
      <c r="AD241" s="92"/>
      <c r="AE241" s="7"/>
      <c r="AF241" s="144"/>
      <c r="AG241" s="144"/>
      <c r="AH241" s="144"/>
      <c r="AI241" s="144"/>
      <c r="AJ241" s="144"/>
      <c r="AK241" s="7"/>
    </row>
    <row r="242" spans="18:37" s="18" customFormat="1">
      <c r="R242" s="7"/>
      <c r="S242" s="7"/>
      <c r="T242" s="7"/>
      <c r="U242" s="7"/>
      <c r="V242" s="7"/>
      <c r="W242" s="7"/>
      <c r="X242" s="7"/>
      <c r="Y242" s="7"/>
      <c r="Z242" s="7"/>
      <c r="AD242" s="92"/>
      <c r="AE242" s="7"/>
      <c r="AF242" s="144"/>
      <c r="AG242" s="144"/>
      <c r="AH242" s="144"/>
      <c r="AI242" s="144"/>
      <c r="AJ242" s="144"/>
      <c r="AK242" s="7"/>
    </row>
    <row r="243" spans="18:37" s="18" customFormat="1">
      <c r="R243" s="7"/>
      <c r="S243" s="7"/>
      <c r="T243" s="7"/>
      <c r="U243" s="7"/>
      <c r="V243" s="7"/>
      <c r="W243" s="7"/>
      <c r="X243" s="7"/>
      <c r="Y243" s="7"/>
      <c r="Z243" s="7"/>
      <c r="AD243" s="92"/>
      <c r="AE243" s="7"/>
      <c r="AF243" s="144"/>
      <c r="AG243" s="144"/>
      <c r="AH243" s="144"/>
      <c r="AI243" s="144"/>
      <c r="AJ243" s="144"/>
      <c r="AK243" s="7"/>
    </row>
    <row r="244" spans="18:37" s="18" customFormat="1">
      <c r="R244" s="7"/>
      <c r="S244" s="7"/>
      <c r="T244" s="7"/>
      <c r="U244" s="7"/>
      <c r="V244" s="7"/>
      <c r="W244" s="7"/>
      <c r="X244" s="7"/>
      <c r="Y244" s="7"/>
      <c r="Z244" s="7"/>
      <c r="AD244" s="92"/>
      <c r="AE244" s="7"/>
      <c r="AF244" s="144"/>
      <c r="AG244" s="144"/>
      <c r="AH244" s="144"/>
      <c r="AI244" s="144"/>
      <c r="AJ244" s="144"/>
      <c r="AK244" s="7"/>
    </row>
    <row r="245" spans="18:37" s="18" customFormat="1">
      <c r="R245" s="7"/>
      <c r="S245" s="7"/>
      <c r="T245" s="7"/>
      <c r="U245" s="7"/>
      <c r="V245" s="7"/>
      <c r="W245" s="7"/>
      <c r="X245" s="7"/>
      <c r="Y245" s="7"/>
      <c r="Z245" s="7"/>
      <c r="AD245" s="92"/>
      <c r="AE245" s="7"/>
      <c r="AF245" s="144"/>
      <c r="AG245" s="144"/>
      <c r="AH245" s="144"/>
      <c r="AI245" s="144"/>
      <c r="AJ245" s="144"/>
      <c r="AK245" s="7"/>
    </row>
    <row r="246" spans="18:37" s="18" customFormat="1">
      <c r="R246" s="7"/>
      <c r="S246" s="7"/>
      <c r="T246" s="7"/>
      <c r="U246" s="7"/>
      <c r="V246" s="7"/>
      <c r="W246" s="7"/>
      <c r="X246" s="7"/>
      <c r="Y246" s="7"/>
      <c r="Z246" s="7"/>
      <c r="AD246" s="92"/>
      <c r="AE246" s="7"/>
      <c r="AF246" s="144"/>
      <c r="AG246" s="144"/>
      <c r="AH246" s="144"/>
      <c r="AI246" s="144"/>
      <c r="AJ246" s="144"/>
      <c r="AK246" s="7"/>
    </row>
    <row r="247" spans="18:37" s="18" customFormat="1">
      <c r="R247" s="7"/>
      <c r="S247" s="7"/>
      <c r="T247" s="7"/>
      <c r="U247" s="7"/>
      <c r="V247" s="7"/>
      <c r="W247" s="7"/>
      <c r="X247" s="7"/>
      <c r="Y247" s="7"/>
      <c r="Z247" s="7"/>
      <c r="AD247" s="92"/>
      <c r="AE247" s="7"/>
      <c r="AF247" s="144"/>
      <c r="AG247" s="144"/>
      <c r="AH247" s="144"/>
      <c r="AI247" s="144"/>
      <c r="AJ247" s="144"/>
      <c r="AK247" s="7"/>
    </row>
    <row r="248" spans="18:37" s="18" customFormat="1">
      <c r="R248" s="7"/>
      <c r="S248" s="7"/>
      <c r="T248" s="7"/>
      <c r="U248" s="7"/>
      <c r="V248" s="7"/>
      <c r="W248" s="7"/>
      <c r="X248" s="7"/>
      <c r="Y248" s="7"/>
      <c r="Z248" s="7"/>
      <c r="AD248" s="92"/>
      <c r="AE248" s="7"/>
      <c r="AF248" s="144"/>
      <c r="AG248" s="144"/>
      <c r="AH248" s="144"/>
      <c r="AI248" s="144"/>
      <c r="AJ248" s="144"/>
      <c r="AK248" s="7"/>
    </row>
    <row r="249" spans="18:37" s="18" customFormat="1">
      <c r="R249" s="7"/>
      <c r="S249" s="7"/>
      <c r="T249" s="7"/>
      <c r="U249" s="7"/>
      <c r="V249" s="7"/>
      <c r="W249" s="7"/>
      <c r="X249" s="7"/>
      <c r="Y249" s="7"/>
      <c r="Z249" s="7"/>
      <c r="AD249" s="92"/>
      <c r="AE249" s="7"/>
      <c r="AF249" s="144"/>
      <c r="AG249" s="144"/>
      <c r="AH249" s="144"/>
      <c r="AI249" s="144"/>
      <c r="AJ249" s="144"/>
      <c r="AK249" s="7"/>
    </row>
    <row r="250" spans="18:37" s="18" customFormat="1">
      <c r="R250" s="7"/>
      <c r="S250" s="7"/>
      <c r="T250" s="7"/>
      <c r="U250" s="7"/>
      <c r="V250" s="7"/>
      <c r="W250" s="7"/>
      <c r="X250" s="7"/>
      <c r="Y250" s="7"/>
      <c r="Z250" s="7"/>
      <c r="AD250" s="92"/>
      <c r="AE250" s="7"/>
      <c r="AF250" s="144"/>
      <c r="AG250" s="144"/>
      <c r="AH250" s="144"/>
      <c r="AI250" s="144"/>
      <c r="AJ250" s="144"/>
      <c r="AK250" s="7"/>
    </row>
    <row r="251" spans="18:37" s="18" customFormat="1">
      <c r="R251" s="7"/>
      <c r="S251" s="7"/>
      <c r="T251" s="7"/>
      <c r="U251" s="7"/>
      <c r="V251" s="7"/>
      <c r="W251" s="7"/>
      <c r="X251" s="7"/>
      <c r="Y251" s="7"/>
      <c r="Z251" s="7"/>
      <c r="AD251" s="92"/>
      <c r="AE251" s="7"/>
      <c r="AF251" s="144"/>
      <c r="AG251" s="144"/>
      <c r="AH251" s="144"/>
      <c r="AI251" s="144"/>
      <c r="AJ251" s="144"/>
      <c r="AK251" s="7"/>
    </row>
    <row r="252" spans="18:37" s="18" customFormat="1">
      <c r="R252" s="7"/>
      <c r="S252" s="7"/>
      <c r="T252" s="7"/>
      <c r="U252" s="7"/>
      <c r="V252" s="7"/>
      <c r="W252" s="7"/>
      <c r="X252" s="7"/>
      <c r="Y252" s="7"/>
      <c r="Z252" s="7"/>
      <c r="AD252" s="92"/>
      <c r="AE252" s="7"/>
      <c r="AF252" s="144"/>
      <c r="AG252" s="144"/>
      <c r="AH252" s="144"/>
      <c r="AI252" s="144"/>
      <c r="AJ252" s="144"/>
      <c r="AK252" s="7"/>
    </row>
    <row r="253" spans="18:37" s="18" customFormat="1">
      <c r="R253" s="7"/>
      <c r="S253" s="7"/>
      <c r="T253" s="7"/>
      <c r="U253" s="7"/>
      <c r="V253" s="7"/>
      <c r="W253" s="7"/>
      <c r="X253" s="7"/>
      <c r="Y253" s="7"/>
      <c r="Z253" s="7"/>
      <c r="AD253" s="92"/>
      <c r="AE253" s="7"/>
      <c r="AF253" s="144"/>
      <c r="AG253" s="144"/>
      <c r="AH253" s="144"/>
      <c r="AI253" s="144"/>
      <c r="AJ253" s="144"/>
      <c r="AK253" s="7"/>
    </row>
    <row r="254" spans="18:37" s="18" customFormat="1">
      <c r="R254" s="7"/>
      <c r="S254" s="7"/>
      <c r="T254" s="7"/>
      <c r="U254" s="7"/>
      <c r="V254" s="7"/>
      <c r="W254" s="7"/>
      <c r="X254" s="7"/>
      <c r="Y254" s="7"/>
      <c r="Z254" s="7"/>
      <c r="AD254" s="92"/>
      <c r="AE254" s="7"/>
      <c r="AF254" s="144"/>
      <c r="AG254" s="144"/>
      <c r="AH254" s="144"/>
      <c r="AI254" s="144"/>
      <c r="AJ254" s="144"/>
      <c r="AK254" s="7"/>
    </row>
    <row r="255" spans="18:37" s="18" customFormat="1">
      <c r="R255" s="7"/>
      <c r="S255" s="7"/>
      <c r="T255" s="7"/>
      <c r="U255" s="7"/>
      <c r="V255" s="7"/>
      <c r="W255" s="7"/>
      <c r="X255" s="7"/>
      <c r="Y255" s="7"/>
      <c r="Z255" s="7"/>
      <c r="AD255" s="92"/>
      <c r="AE255" s="7"/>
      <c r="AF255" s="144"/>
      <c r="AG255" s="144"/>
      <c r="AH255" s="144"/>
      <c r="AI255" s="144"/>
      <c r="AJ255" s="144"/>
      <c r="AK255" s="7"/>
    </row>
    <row r="256" spans="18:37" s="18" customFormat="1">
      <c r="R256" s="7"/>
      <c r="S256" s="7"/>
      <c r="T256" s="7"/>
      <c r="U256" s="7"/>
      <c r="V256" s="7"/>
      <c r="W256" s="7"/>
      <c r="X256" s="7"/>
      <c r="Y256" s="7"/>
      <c r="Z256" s="7"/>
      <c r="AD256" s="92"/>
      <c r="AE256" s="7"/>
      <c r="AF256" s="144"/>
      <c r="AG256" s="144"/>
      <c r="AH256" s="144"/>
      <c r="AI256" s="144"/>
      <c r="AJ256" s="144"/>
      <c r="AK256" s="7"/>
    </row>
    <row r="257" spans="18:37" s="18" customFormat="1">
      <c r="R257" s="7"/>
      <c r="S257" s="7"/>
      <c r="T257" s="7"/>
      <c r="U257" s="7"/>
      <c r="V257" s="7"/>
      <c r="W257" s="7"/>
      <c r="X257" s="7"/>
      <c r="Y257" s="7"/>
      <c r="Z257" s="7"/>
      <c r="AD257" s="92"/>
      <c r="AE257" s="7"/>
      <c r="AF257" s="144"/>
      <c r="AG257" s="144"/>
      <c r="AH257" s="144"/>
      <c r="AI257" s="144"/>
      <c r="AJ257" s="144"/>
      <c r="AK257" s="7"/>
    </row>
    <row r="258" spans="18:37" s="18" customFormat="1">
      <c r="R258" s="7"/>
      <c r="S258" s="7"/>
      <c r="T258" s="7"/>
      <c r="U258" s="7"/>
      <c r="V258" s="7"/>
      <c r="W258" s="7"/>
      <c r="X258" s="7"/>
      <c r="Y258" s="7"/>
      <c r="Z258" s="7"/>
      <c r="AD258" s="92"/>
      <c r="AE258" s="7"/>
      <c r="AF258" s="144"/>
      <c r="AG258" s="144"/>
      <c r="AH258" s="144"/>
      <c r="AI258" s="144"/>
      <c r="AJ258" s="144"/>
      <c r="AK258" s="7"/>
    </row>
    <row r="259" spans="18:37" s="18" customFormat="1">
      <c r="R259" s="7"/>
      <c r="S259" s="7"/>
      <c r="T259" s="7"/>
      <c r="U259" s="7"/>
      <c r="V259" s="7"/>
      <c r="W259" s="7"/>
      <c r="X259" s="7"/>
      <c r="Y259" s="7"/>
      <c r="Z259" s="7"/>
      <c r="AD259" s="92"/>
      <c r="AE259" s="7"/>
      <c r="AF259" s="144"/>
      <c r="AG259" s="144"/>
      <c r="AH259" s="144"/>
      <c r="AI259" s="144"/>
      <c r="AJ259" s="144"/>
      <c r="AK259" s="7"/>
    </row>
    <row r="260" spans="18:37" s="18" customFormat="1">
      <c r="R260" s="7"/>
      <c r="S260" s="7"/>
      <c r="T260" s="7"/>
      <c r="U260" s="7"/>
      <c r="V260" s="7"/>
      <c r="W260" s="7"/>
      <c r="X260" s="7"/>
      <c r="Y260" s="7"/>
      <c r="Z260" s="7"/>
      <c r="AD260" s="92"/>
      <c r="AE260" s="7"/>
      <c r="AF260" s="144"/>
      <c r="AG260" s="144"/>
      <c r="AH260" s="144"/>
      <c r="AI260" s="144"/>
      <c r="AJ260" s="144"/>
      <c r="AK260" s="7"/>
    </row>
    <row r="261" spans="18:37" s="18" customFormat="1">
      <c r="R261" s="7"/>
      <c r="S261" s="7"/>
      <c r="T261" s="7"/>
      <c r="U261" s="7"/>
      <c r="V261" s="7"/>
      <c r="W261" s="7"/>
      <c r="X261" s="7"/>
      <c r="Y261" s="7"/>
      <c r="Z261" s="7"/>
      <c r="AD261" s="92"/>
      <c r="AE261" s="7"/>
      <c r="AF261" s="144"/>
      <c r="AG261" s="144"/>
      <c r="AH261" s="144"/>
      <c r="AI261" s="144"/>
      <c r="AJ261" s="144"/>
      <c r="AK261" s="7"/>
    </row>
    <row r="262" spans="18:37" s="18" customFormat="1">
      <c r="R262" s="7"/>
      <c r="S262" s="7"/>
      <c r="T262" s="7"/>
      <c r="U262" s="7"/>
      <c r="V262" s="7"/>
      <c r="W262" s="7"/>
      <c r="X262" s="7"/>
      <c r="Y262" s="7"/>
      <c r="Z262" s="7"/>
      <c r="AD262" s="92"/>
      <c r="AE262" s="7"/>
      <c r="AF262" s="144"/>
      <c r="AG262" s="144"/>
      <c r="AH262" s="144"/>
      <c r="AI262" s="144"/>
      <c r="AJ262" s="144"/>
      <c r="AK262" s="7"/>
    </row>
    <row r="263" spans="18:37" s="18" customFormat="1">
      <c r="R263" s="7"/>
      <c r="S263" s="7"/>
      <c r="T263" s="7"/>
      <c r="U263" s="7"/>
      <c r="V263" s="7"/>
      <c r="W263" s="7"/>
      <c r="X263" s="7"/>
      <c r="Y263" s="7"/>
      <c r="Z263" s="7"/>
      <c r="AD263" s="92"/>
      <c r="AE263" s="7"/>
      <c r="AF263" s="144"/>
      <c r="AG263" s="144"/>
      <c r="AH263" s="144"/>
      <c r="AI263" s="144"/>
      <c r="AJ263" s="144"/>
      <c r="AK263" s="7"/>
    </row>
    <row r="264" spans="18:37" s="18" customFormat="1">
      <c r="R264" s="7"/>
      <c r="S264" s="7"/>
      <c r="T264" s="7"/>
      <c r="U264" s="7"/>
      <c r="V264" s="7"/>
      <c r="W264" s="7"/>
      <c r="X264" s="7"/>
      <c r="Y264" s="7"/>
      <c r="Z264" s="7"/>
      <c r="AD264" s="92"/>
      <c r="AE264" s="7"/>
      <c r="AF264" s="144"/>
      <c r="AG264" s="144"/>
      <c r="AH264" s="144"/>
      <c r="AI264" s="144"/>
      <c r="AJ264" s="144"/>
      <c r="AK264" s="7"/>
    </row>
    <row r="265" spans="18:37" s="18" customFormat="1">
      <c r="R265" s="7"/>
      <c r="S265" s="7"/>
      <c r="T265" s="7"/>
      <c r="U265" s="7"/>
      <c r="V265" s="7"/>
      <c r="W265" s="7"/>
      <c r="X265" s="7"/>
      <c r="Y265" s="7"/>
      <c r="Z265" s="7"/>
      <c r="AD265" s="92"/>
      <c r="AE265" s="7"/>
      <c r="AF265" s="144"/>
      <c r="AG265" s="144"/>
      <c r="AH265" s="144"/>
      <c r="AI265" s="144"/>
      <c r="AJ265" s="144"/>
      <c r="AK265" s="7"/>
    </row>
    <row r="266" spans="18:37" s="18" customFormat="1">
      <c r="R266" s="7"/>
      <c r="S266" s="7"/>
      <c r="T266" s="7"/>
      <c r="U266" s="7"/>
      <c r="V266" s="7"/>
      <c r="W266" s="7"/>
      <c r="X266" s="7"/>
      <c r="Y266" s="7"/>
      <c r="Z266" s="7"/>
      <c r="AD266" s="92"/>
      <c r="AE266" s="7"/>
      <c r="AF266" s="144"/>
      <c r="AG266" s="144"/>
      <c r="AH266" s="144"/>
      <c r="AI266" s="144"/>
      <c r="AJ266" s="144"/>
      <c r="AK266" s="7"/>
    </row>
    <row r="267" spans="18:37" s="18" customFormat="1">
      <c r="R267" s="7"/>
      <c r="S267" s="7"/>
      <c r="T267" s="7"/>
      <c r="U267" s="7"/>
      <c r="V267" s="7"/>
      <c r="W267" s="7"/>
      <c r="X267" s="7"/>
      <c r="Y267" s="7"/>
      <c r="Z267" s="7"/>
      <c r="AD267" s="92"/>
      <c r="AE267" s="7"/>
      <c r="AF267" s="144"/>
      <c r="AG267" s="144"/>
      <c r="AH267" s="144"/>
      <c r="AI267" s="144"/>
      <c r="AJ267" s="144"/>
      <c r="AK267" s="7"/>
    </row>
    <row r="268" spans="18:37" s="18" customFormat="1">
      <c r="R268" s="7"/>
      <c r="S268" s="7"/>
      <c r="T268" s="7"/>
      <c r="U268" s="7"/>
      <c r="V268" s="7"/>
      <c r="W268" s="7"/>
      <c r="X268" s="7"/>
      <c r="Y268" s="7"/>
      <c r="Z268" s="7"/>
      <c r="AD268" s="92"/>
      <c r="AE268" s="7"/>
      <c r="AF268" s="144"/>
      <c r="AG268" s="144"/>
      <c r="AH268" s="144"/>
      <c r="AI268" s="144"/>
      <c r="AJ268" s="144"/>
      <c r="AK268" s="7"/>
    </row>
    <row r="269" spans="18:37" s="18" customFormat="1">
      <c r="R269" s="7"/>
      <c r="S269" s="7"/>
      <c r="T269" s="7"/>
      <c r="U269" s="7"/>
      <c r="V269" s="7"/>
      <c r="W269" s="7"/>
      <c r="X269" s="7"/>
      <c r="Y269" s="7"/>
      <c r="Z269" s="7"/>
      <c r="AD269" s="92"/>
      <c r="AE269" s="7"/>
      <c r="AF269" s="144"/>
      <c r="AG269" s="144"/>
      <c r="AH269" s="144"/>
      <c r="AI269" s="144"/>
      <c r="AJ269" s="144"/>
      <c r="AK269" s="7"/>
    </row>
    <row r="270" spans="18:37" s="18" customFormat="1">
      <c r="R270" s="7"/>
      <c r="S270" s="7"/>
      <c r="T270" s="7"/>
      <c r="U270" s="7"/>
      <c r="V270" s="7"/>
      <c r="W270" s="7"/>
      <c r="X270" s="7"/>
      <c r="Y270" s="7"/>
      <c r="Z270" s="7"/>
      <c r="AD270" s="92"/>
      <c r="AE270" s="7"/>
      <c r="AF270" s="144"/>
      <c r="AG270" s="144"/>
      <c r="AH270" s="144"/>
      <c r="AI270" s="144"/>
      <c r="AJ270" s="144"/>
      <c r="AK270" s="7"/>
    </row>
    <row r="271" spans="18:37" s="18" customFormat="1">
      <c r="R271" s="7"/>
      <c r="S271" s="7"/>
      <c r="T271" s="7"/>
      <c r="U271" s="7"/>
      <c r="V271" s="7"/>
      <c r="W271" s="7"/>
      <c r="X271" s="7"/>
      <c r="Y271" s="7"/>
      <c r="Z271" s="7"/>
      <c r="AD271" s="92"/>
      <c r="AE271" s="7"/>
      <c r="AF271" s="144"/>
      <c r="AG271" s="144"/>
      <c r="AH271" s="144"/>
      <c r="AI271" s="144"/>
      <c r="AJ271" s="144"/>
      <c r="AK271" s="7"/>
    </row>
    <row r="272" spans="18:37" s="18" customFormat="1">
      <c r="R272" s="7"/>
      <c r="S272" s="7"/>
      <c r="T272" s="7"/>
      <c r="U272" s="7"/>
      <c r="V272" s="7"/>
      <c r="W272" s="7"/>
      <c r="X272" s="7"/>
      <c r="Y272" s="7"/>
      <c r="Z272" s="7"/>
      <c r="AD272" s="92"/>
      <c r="AE272" s="7"/>
      <c r="AF272" s="144"/>
      <c r="AG272" s="144"/>
      <c r="AH272" s="144"/>
      <c r="AI272" s="144"/>
      <c r="AJ272" s="144"/>
      <c r="AK272" s="7"/>
    </row>
    <row r="273" spans="18:37" s="18" customFormat="1">
      <c r="R273" s="7"/>
      <c r="S273" s="7"/>
      <c r="T273" s="7"/>
      <c r="U273" s="7"/>
      <c r="V273" s="7"/>
      <c r="W273" s="7"/>
      <c r="X273" s="7"/>
      <c r="Y273" s="7"/>
      <c r="Z273" s="7"/>
      <c r="AD273" s="92"/>
      <c r="AE273" s="7"/>
      <c r="AF273" s="144"/>
      <c r="AG273" s="144"/>
      <c r="AH273" s="144"/>
      <c r="AI273" s="144"/>
      <c r="AJ273" s="144"/>
      <c r="AK273" s="7"/>
    </row>
    <row r="274" spans="18:37" s="18" customFormat="1">
      <c r="R274" s="7"/>
      <c r="S274" s="7"/>
      <c r="T274" s="7"/>
      <c r="U274" s="7"/>
      <c r="V274" s="7"/>
      <c r="W274" s="7"/>
      <c r="X274" s="7"/>
      <c r="Y274" s="7"/>
      <c r="Z274" s="7"/>
      <c r="AD274" s="92"/>
      <c r="AE274" s="7"/>
      <c r="AF274" s="144"/>
      <c r="AG274" s="144"/>
      <c r="AH274" s="144"/>
      <c r="AI274" s="144"/>
      <c r="AJ274" s="144"/>
      <c r="AK274" s="7"/>
    </row>
    <row r="275" spans="18:37" s="18" customFormat="1">
      <c r="R275" s="7"/>
      <c r="S275" s="7"/>
      <c r="T275" s="7"/>
      <c r="U275" s="7"/>
      <c r="V275" s="7"/>
      <c r="W275" s="7"/>
      <c r="X275" s="7"/>
      <c r="Y275" s="7"/>
      <c r="Z275" s="7"/>
      <c r="AD275" s="92"/>
      <c r="AE275" s="7"/>
      <c r="AF275" s="144"/>
      <c r="AG275" s="144"/>
      <c r="AH275" s="144"/>
      <c r="AI275" s="144"/>
      <c r="AJ275" s="144"/>
      <c r="AK275" s="7"/>
    </row>
    <row r="276" spans="18:37" s="18" customFormat="1">
      <c r="R276" s="7"/>
      <c r="S276" s="7"/>
      <c r="T276" s="7"/>
      <c r="U276" s="7"/>
      <c r="V276" s="7"/>
      <c r="W276" s="7"/>
      <c r="X276" s="7"/>
      <c r="Y276" s="7"/>
      <c r="Z276" s="7"/>
      <c r="AD276" s="92"/>
      <c r="AE276" s="7"/>
      <c r="AF276" s="144"/>
      <c r="AG276" s="144"/>
      <c r="AH276" s="144"/>
      <c r="AI276" s="144"/>
      <c r="AJ276" s="144"/>
      <c r="AK276" s="7"/>
    </row>
    <row r="277" spans="18:37" s="18" customFormat="1">
      <c r="R277" s="7"/>
      <c r="S277" s="7"/>
      <c r="T277" s="7"/>
      <c r="U277" s="7"/>
      <c r="V277" s="7"/>
      <c r="W277" s="7"/>
      <c r="X277" s="7"/>
      <c r="Y277" s="7"/>
      <c r="Z277" s="7"/>
      <c r="AD277" s="92"/>
      <c r="AE277" s="7"/>
      <c r="AF277" s="144"/>
      <c r="AG277" s="144"/>
      <c r="AH277" s="144"/>
      <c r="AI277" s="144"/>
      <c r="AJ277" s="144"/>
      <c r="AK277" s="7"/>
    </row>
    <row r="278" spans="18:37" s="18" customFormat="1">
      <c r="R278" s="7"/>
      <c r="S278" s="7"/>
      <c r="T278" s="7"/>
      <c r="U278" s="7"/>
      <c r="V278" s="7"/>
      <c r="W278" s="7"/>
      <c r="X278" s="7"/>
      <c r="Y278" s="7"/>
      <c r="Z278" s="7"/>
      <c r="AD278" s="92"/>
      <c r="AE278" s="7"/>
      <c r="AF278" s="144"/>
      <c r="AG278" s="144"/>
      <c r="AH278" s="144"/>
      <c r="AI278" s="144"/>
      <c r="AJ278" s="144"/>
      <c r="AK278" s="7"/>
    </row>
    <row r="279" spans="18:37" s="18" customFormat="1">
      <c r="R279" s="7"/>
      <c r="S279" s="7"/>
      <c r="T279" s="7"/>
      <c r="U279" s="7"/>
      <c r="V279" s="7"/>
      <c r="W279" s="7"/>
      <c r="X279" s="7"/>
      <c r="Y279" s="7"/>
      <c r="Z279" s="7"/>
      <c r="AD279" s="92"/>
      <c r="AE279" s="7"/>
      <c r="AF279" s="144"/>
      <c r="AG279" s="144"/>
      <c r="AH279" s="144"/>
      <c r="AI279" s="144"/>
      <c r="AJ279" s="144"/>
      <c r="AK279" s="7"/>
    </row>
    <row r="280" spans="18:37" s="18" customFormat="1">
      <c r="R280" s="7"/>
      <c r="S280" s="7"/>
      <c r="T280" s="7"/>
      <c r="U280" s="7"/>
      <c r="V280" s="7"/>
      <c r="W280" s="7"/>
      <c r="X280" s="7"/>
      <c r="Y280" s="7"/>
      <c r="Z280" s="7"/>
      <c r="AD280" s="92"/>
      <c r="AE280" s="7"/>
      <c r="AF280" s="144"/>
      <c r="AG280" s="144"/>
      <c r="AH280" s="144"/>
      <c r="AI280" s="144"/>
      <c r="AJ280" s="144"/>
      <c r="AK280" s="7"/>
    </row>
    <row r="281" spans="18:37" s="18" customFormat="1">
      <c r="R281" s="7"/>
      <c r="S281" s="7"/>
      <c r="T281" s="7"/>
      <c r="U281" s="7"/>
      <c r="V281" s="7"/>
      <c r="W281" s="7"/>
      <c r="X281" s="7"/>
      <c r="Y281" s="7"/>
      <c r="Z281" s="7"/>
      <c r="AD281" s="92"/>
      <c r="AE281" s="7"/>
      <c r="AF281" s="144"/>
      <c r="AG281" s="144"/>
      <c r="AH281" s="144"/>
      <c r="AI281" s="144"/>
      <c r="AJ281" s="144"/>
      <c r="AK281" s="7"/>
    </row>
    <row r="282" spans="18:37" s="18" customFormat="1">
      <c r="R282" s="7"/>
      <c r="S282" s="7"/>
      <c r="T282" s="7"/>
      <c r="U282" s="7"/>
      <c r="V282" s="7"/>
      <c r="W282" s="7"/>
      <c r="X282" s="7"/>
      <c r="Y282" s="7"/>
      <c r="Z282" s="7"/>
      <c r="AD282" s="92"/>
      <c r="AE282" s="7"/>
      <c r="AF282" s="144"/>
      <c r="AG282" s="144"/>
      <c r="AH282" s="144"/>
      <c r="AI282" s="144"/>
      <c r="AJ282" s="144"/>
      <c r="AK282" s="7"/>
    </row>
    <row r="283" spans="18:37" s="18" customFormat="1">
      <c r="R283" s="7"/>
      <c r="S283" s="7"/>
      <c r="T283" s="7"/>
      <c r="U283" s="7"/>
      <c r="V283" s="7"/>
      <c r="W283" s="7"/>
      <c r="X283" s="7"/>
      <c r="Y283" s="7"/>
      <c r="Z283" s="7"/>
      <c r="AD283" s="92"/>
      <c r="AE283" s="7"/>
      <c r="AF283" s="144"/>
      <c r="AG283" s="144"/>
      <c r="AH283" s="144"/>
      <c r="AI283" s="144"/>
      <c r="AJ283" s="144"/>
      <c r="AK283" s="7"/>
    </row>
    <row r="284" spans="18:37" s="18" customFormat="1">
      <c r="R284" s="7"/>
      <c r="S284" s="7"/>
      <c r="T284" s="7"/>
      <c r="U284" s="7"/>
      <c r="V284" s="7"/>
      <c r="W284" s="7"/>
      <c r="X284" s="7"/>
      <c r="Y284" s="7"/>
      <c r="Z284" s="7"/>
      <c r="AD284" s="92"/>
      <c r="AE284" s="7"/>
      <c r="AF284" s="144"/>
      <c r="AG284" s="144"/>
      <c r="AH284" s="144"/>
      <c r="AI284" s="144"/>
      <c r="AJ284" s="144"/>
      <c r="AK284" s="7"/>
    </row>
    <row r="285" spans="18:37" s="18" customFormat="1">
      <c r="R285" s="7"/>
      <c r="S285" s="7"/>
      <c r="T285" s="7"/>
      <c r="U285" s="7"/>
      <c r="V285" s="7"/>
      <c r="W285" s="7"/>
      <c r="X285" s="7"/>
      <c r="Y285" s="7"/>
      <c r="Z285" s="7"/>
      <c r="AD285" s="92"/>
      <c r="AE285" s="7"/>
      <c r="AF285" s="144"/>
      <c r="AG285" s="144"/>
      <c r="AH285" s="144"/>
      <c r="AI285" s="144"/>
      <c r="AJ285" s="144"/>
      <c r="AK285" s="7"/>
    </row>
    <row r="286" spans="18:37" s="18" customFormat="1">
      <c r="R286" s="7"/>
      <c r="S286" s="7"/>
      <c r="T286" s="7"/>
      <c r="U286" s="7"/>
      <c r="V286" s="7"/>
      <c r="W286" s="7"/>
      <c r="X286" s="7"/>
      <c r="Y286" s="7"/>
      <c r="Z286" s="7"/>
      <c r="AD286" s="92"/>
      <c r="AE286" s="7"/>
      <c r="AF286" s="144"/>
      <c r="AG286" s="144"/>
      <c r="AH286" s="144"/>
      <c r="AI286" s="144"/>
      <c r="AJ286" s="144"/>
      <c r="AK286" s="7"/>
    </row>
    <row r="287" spans="18:37" s="18" customFormat="1">
      <c r="R287" s="7"/>
      <c r="S287" s="7"/>
      <c r="T287" s="7"/>
      <c r="U287" s="7"/>
      <c r="V287" s="7"/>
      <c r="W287" s="7"/>
      <c r="X287" s="7"/>
      <c r="Y287" s="7"/>
      <c r="Z287" s="7"/>
      <c r="AD287" s="92"/>
      <c r="AE287" s="7"/>
      <c r="AF287" s="144"/>
      <c r="AG287" s="144"/>
      <c r="AH287" s="144"/>
      <c r="AI287" s="144"/>
      <c r="AJ287" s="144"/>
      <c r="AK287" s="7"/>
    </row>
    <row r="288" spans="18:37" s="18" customFormat="1">
      <c r="R288" s="7"/>
      <c r="S288" s="7"/>
      <c r="T288" s="7"/>
      <c r="U288" s="7"/>
      <c r="V288" s="7"/>
      <c r="W288" s="7"/>
      <c r="X288" s="7"/>
      <c r="Y288" s="7"/>
      <c r="Z288" s="7"/>
      <c r="AD288" s="92"/>
      <c r="AE288" s="7"/>
      <c r="AF288" s="144"/>
      <c r="AG288" s="144"/>
      <c r="AH288" s="144"/>
      <c r="AI288" s="144"/>
      <c r="AJ288" s="144"/>
      <c r="AK288" s="7"/>
    </row>
    <row r="289" spans="18:37" s="18" customFormat="1">
      <c r="R289" s="7"/>
      <c r="S289" s="7"/>
      <c r="T289" s="7"/>
      <c r="U289" s="7"/>
      <c r="V289" s="7"/>
      <c r="W289" s="7"/>
      <c r="X289" s="7"/>
      <c r="Y289" s="7"/>
      <c r="Z289" s="7"/>
      <c r="AD289" s="92"/>
      <c r="AE289" s="7"/>
      <c r="AF289" s="144"/>
      <c r="AG289" s="144"/>
      <c r="AH289" s="144"/>
      <c r="AI289" s="144"/>
      <c r="AJ289" s="144"/>
      <c r="AK289" s="7"/>
    </row>
    <row r="290" spans="18:37" s="18" customFormat="1">
      <c r="R290" s="7"/>
      <c r="S290" s="7"/>
      <c r="T290" s="7"/>
      <c r="U290" s="7"/>
      <c r="V290" s="7"/>
      <c r="W290" s="7"/>
      <c r="X290" s="7"/>
      <c r="Y290" s="7"/>
      <c r="Z290" s="7"/>
      <c r="AD290" s="92"/>
      <c r="AE290" s="7"/>
      <c r="AF290" s="144"/>
      <c r="AG290" s="144"/>
      <c r="AH290" s="144"/>
      <c r="AI290" s="144"/>
      <c r="AJ290" s="144"/>
      <c r="AK290" s="7"/>
    </row>
    <row r="291" spans="18:37" s="18" customFormat="1">
      <c r="R291" s="7"/>
      <c r="S291" s="7"/>
      <c r="T291" s="7"/>
      <c r="U291" s="7"/>
      <c r="V291" s="7"/>
      <c r="W291" s="7"/>
      <c r="X291" s="7"/>
      <c r="Y291" s="7"/>
      <c r="Z291" s="7"/>
      <c r="AD291" s="92"/>
      <c r="AE291" s="7"/>
      <c r="AF291" s="144"/>
      <c r="AG291" s="144"/>
      <c r="AH291" s="144"/>
      <c r="AI291" s="144"/>
      <c r="AJ291" s="144"/>
      <c r="AK291" s="7"/>
    </row>
    <row r="292" spans="18:37" s="18" customFormat="1">
      <c r="R292" s="7"/>
      <c r="S292" s="7"/>
      <c r="T292" s="7"/>
      <c r="U292" s="7"/>
      <c r="V292" s="7"/>
      <c r="W292" s="7"/>
      <c r="X292" s="7"/>
      <c r="Y292" s="7"/>
      <c r="Z292" s="7"/>
      <c r="AD292" s="92"/>
      <c r="AE292" s="7"/>
      <c r="AF292" s="144"/>
      <c r="AG292" s="144"/>
      <c r="AH292" s="144"/>
      <c r="AI292" s="144"/>
      <c r="AJ292" s="144"/>
      <c r="AK292" s="7"/>
    </row>
    <row r="293" spans="18:37" s="18" customFormat="1">
      <c r="R293" s="7"/>
      <c r="S293" s="7"/>
      <c r="T293" s="7"/>
      <c r="U293" s="7"/>
      <c r="V293" s="7"/>
      <c r="W293" s="7"/>
      <c r="X293" s="7"/>
      <c r="Y293" s="7"/>
      <c r="Z293" s="7"/>
      <c r="AD293" s="92"/>
      <c r="AE293" s="7"/>
      <c r="AF293" s="144"/>
      <c r="AG293" s="144"/>
      <c r="AH293" s="144"/>
      <c r="AI293" s="144"/>
      <c r="AJ293" s="144"/>
      <c r="AK293" s="7"/>
    </row>
    <row r="294" spans="18:37" s="18" customFormat="1">
      <c r="R294" s="7"/>
      <c r="S294" s="7"/>
      <c r="T294" s="7"/>
      <c r="U294" s="7"/>
      <c r="V294" s="7"/>
      <c r="W294" s="7"/>
      <c r="X294" s="7"/>
      <c r="Y294" s="7"/>
      <c r="Z294" s="7"/>
      <c r="AD294" s="92"/>
      <c r="AE294" s="7"/>
      <c r="AF294" s="144"/>
      <c r="AG294" s="144"/>
      <c r="AH294" s="144"/>
      <c r="AI294" s="144"/>
      <c r="AJ294" s="144"/>
      <c r="AK294" s="7"/>
    </row>
    <row r="295" spans="18:37" s="18" customFormat="1">
      <c r="R295" s="7"/>
      <c r="S295" s="7"/>
      <c r="T295" s="7"/>
      <c r="U295" s="7"/>
      <c r="V295" s="7"/>
      <c r="W295" s="7"/>
      <c r="X295" s="7"/>
      <c r="Y295" s="7"/>
      <c r="Z295" s="7"/>
      <c r="AD295" s="92"/>
      <c r="AE295" s="7"/>
      <c r="AF295" s="144"/>
      <c r="AG295" s="144"/>
      <c r="AH295" s="144"/>
      <c r="AI295" s="144"/>
      <c r="AJ295" s="144"/>
      <c r="AK295" s="7"/>
    </row>
    <row r="296" spans="18:37" s="18" customFormat="1">
      <c r="R296" s="7"/>
      <c r="S296" s="7"/>
      <c r="T296" s="7"/>
      <c r="U296" s="7"/>
      <c r="V296" s="7"/>
      <c r="W296" s="7"/>
      <c r="X296" s="7"/>
      <c r="Y296" s="7"/>
      <c r="Z296" s="7"/>
      <c r="AD296" s="92"/>
      <c r="AE296" s="7"/>
      <c r="AF296" s="144"/>
      <c r="AG296" s="144"/>
      <c r="AH296" s="144"/>
      <c r="AI296" s="144"/>
      <c r="AJ296" s="144"/>
      <c r="AK296" s="7"/>
    </row>
    <row r="297" spans="18:37" s="18" customFormat="1">
      <c r="R297" s="7"/>
      <c r="S297" s="7"/>
      <c r="T297" s="7"/>
      <c r="U297" s="7"/>
      <c r="V297" s="7"/>
      <c r="W297" s="7"/>
      <c r="X297" s="7"/>
      <c r="Y297" s="7"/>
      <c r="Z297" s="7"/>
      <c r="AD297" s="92"/>
      <c r="AE297" s="7"/>
      <c r="AF297" s="144"/>
      <c r="AG297" s="144"/>
      <c r="AH297" s="144"/>
      <c r="AI297" s="144"/>
      <c r="AJ297" s="144"/>
      <c r="AK297" s="7"/>
    </row>
    <row r="298" spans="18:37" s="18" customFormat="1">
      <c r="R298" s="7"/>
      <c r="S298" s="7"/>
      <c r="T298" s="7"/>
      <c r="U298" s="7"/>
      <c r="V298" s="7"/>
      <c r="W298" s="7"/>
      <c r="X298" s="7"/>
      <c r="Y298" s="7"/>
      <c r="Z298" s="7"/>
      <c r="AD298" s="92"/>
      <c r="AE298" s="7"/>
      <c r="AF298" s="144"/>
      <c r="AG298" s="144"/>
      <c r="AH298" s="144"/>
      <c r="AI298" s="144"/>
      <c r="AJ298" s="144"/>
      <c r="AK298" s="7"/>
    </row>
    <row r="299" spans="18:37" s="18" customFormat="1">
      <c r="R299" s="7"/>
      <c r="S299" s="7"/>
      <c r="T299" s="7"/>
      <c r="U299" s="7"/>
      <c r="V299" s="7"/>
      <c r="W299" s="7"/>
      <c r="X299" s="7"/>
      <c r="Y299" s="7"/>
      <c r="Z299" s="7"/>
      <c r="AD299" s="92"/>
      <c r="AE299" s="7"/>
      <c r="AF299" s="144"/>
      <c r="AG299" s="144"/>
      <c r="AH299" s="144"/>
      <c r="AI299" s="144"/>
      <c r="AJ299" s="144"/>
      <c r="AK299" s="7"/>
    </row>
    <row r="300" spans="18:37" s="18" customFormat="1">
      <c r="R300" s="7"/>
      <c r="S300" s="7"/>
      <c r="T300" s="7"/>
      <c r="U300" s="7"/>
      <c r="V300" s="7"/>
      <c r="W300" s="7"/>
      <c r="X300" s="7"/>
      <c r="Y300" s="7"/>
      <c r="Z300" s="7"/>
      <c r="AD300" s="92"/>
      <c r="AE300" s="7"/>
      <c r="AF300" s="144"/>
      <c r="AG300" s="144"/>
      <c r="AH300" s="144"/>
      <c r="AI300" s="144"/>
      <c r="AJ300" s="144"/>
      <c r="AK300" s="7"/>
    </row>
    <row r="301" spans="18:37" s="18" customFormat="1">
      <c r="R301" s="7"/>
      <c r="S301" s="7"/>
      <c r="T301" s="7"/>
      <c r="U301" s="7"/>
      <c r="V301" s="7"/>
      <c r="W301" s="7"/>
      <c r="X301" s="7"/>
      <c r="Y301" s="7"/>
      <c r="Z301" s="7"/>
      <c r="AD301" s="92"/>
      <c r="AE301" s="7"/>
      <c r="AF301" s="144"/>
      <c r="AG301" s="144"/>
      <c r="AH301" s="144"/>
      <c r="AI301" s="144"/>
      <c r="AJ301" s="144"/>
      <c r="AK301" s="7"/>
    </row>
    <row r="302" spans="18:37" s="18" customFormat="1">
      <c r="R302" s="7"/>
      <c r="S302" s="7"/>
      <c r="T302" s="7"/>
      <c r="U302" s="7"/>
      <c r="V302" s="7"/>
      <c r="W302" s="7"/>
      <c r="X302" s="7"/>
      <c r="Y302" s="7"/>
      <c r="Z302" s="7"/>
      <c r="AD302" s="92"/>
      <c r="AE302" s="7"/>
      <c r="AF302" s="144"/>
      <c r="AG302" s="144"/>
      <c r="AH302" s="144"/>
      <c r="AI302" s="144"/>
      <c r="AJ302" s="144"/>
      <c r="AK302" s="7"/>
    </row>
    <row r="303" spans="18:37" s="18" customFormat="1">
      <c r="R303" s="7"/>
      <c r="S303" s="7"/>
      <c r="T303" s="7"/>
      <c r="U303" s="7"/>
      <c r="V303" s="7"/>
      <c r="W303" s="7"/>
      <c r="X303" s="7"/>
      <c r="Y303" s="7"/>
      <c r="Z303" s="7"/>
      <c r="AD303" s="92"/>
      <c r="AE303" s="7"/>
      <c r="AF303" s="144"/>
      <c r="AG303" s="144"/>
      <c r="AH303" s="144"/>
      <c r="AI303" s="144"/>
      <c r="AJ303" s="144"/>
      <c r="AK303" s="7"/>
    </row>
    <row r="304" spans="18:37" s="18" customFormat="1">
      <c r="R304" s="7"/>
      <c r="S304" s="7"/>
      <c r="T304" s="7"/>
      <c r="U304" s="7"/>
      <c r="V304" s="7"/>
      <c r="W304" s="7"/>
      <c r="X304" s="7"/>
      <c r="Y304" s="7"/>
      <c r="Z304" s="7"/>
      <c r="AD304" s="92"/>
      <c r="AE304" s="7"/>
      <c r="AF304" s="144"/>
      <c r="AG304" s="144"/>
      <c r="AH304" s="144"/>
      <c r="AI304" s="144"/>
      <c r="AJ304" s="144"/>
      <c r="AK304" s="7"/>
    </row>
    <row r="305" spans="18:37" s="18" customFormat="1">
      <c r="R305" s="7"/>
      <c r="S305" s="7"/>
      <c r="T305" s="7"/>
      <c r="U305" s="7"/>
      <c r="V305" s="7"/>
      <c r="W305" s="7"/>
      <c r="X305" s="7"/>
      <c r="Y305" s="7"/>
      <c r="Z305" s="7"/>
      <c r="AD305" s="92"/>
      <c r="AE305" s="7"/>
      <c r="AF305" s="144"/>
      <c r="AG305" s="144"/>
      <c r="AH305" s="144"/>
      <c r="AI305" s="144"/>
      <c r="AJ305" s="144"/>
      <c r="AK305" s="7"/>
    </row>
    <row r="306" spans="18:37" s="18" customFormat="1">
      <c r="R306" s="7"/>
      <c r="S306" s="7"/>
      <c r="T306" s="7"/>
      <c r="U306" s="7"/>
      <c r="V306" s="7"/>
      <c r="W306" s="7"/>
      <c r="X306" s="7"/>
      <c r="Y306" s="7"/>
      <c r="Z306" s="7"/>
      <c r="AD306" s="92"/>
      <c r="AE306" s="7"/>
      <c r="AF306" s="144"/>
      <c r="AG306" s="144"/>
      <c r="AH306" s="144"/>
      <c r="AI306" s="144"/>
      <c r="AJ306" s="144"/>
      <c r="AK306" s="7"/>
    </row>
    <row r="307" spans="18:37" s="18" customFormat="1">
      <c r="R307" s="7"/>
      <c r="S307" s="7"/>
      <c r="T307" s="7"/>
      <c r="U307" s="7"/>
      <c r="V307" s="7"/>
      <c r="W307" s="7"/>
      <c r="X307" s="7"/>
      <c r="Y307" s="7"/>
      <c r="Z307" s="7"/>
      <c r="AD307" s="92"/>
      <c r="AE307" s="7"/>
      <c r="AF307" s="144"/>
      <c r="AG307" s="144"/>
      <c r="AH307" s="144"/>
      <c r="AI307" s="144"/>
      <c r="AJ307" s="144"/>
      <c r="AK307" s="7"/>
    </row>
    <row r="308" spans="18:37" s="18" customFormat="1">
      <c r="R308" s="7"/>
      <c r="S308" s="7"/>
      <c r="T308" s="7"/>
      <c r="U308" s="7"/>
      <c r="V308" s="7"/>
      <c r="W308" s="7"/>
      <c r="X308" s="7"/>
      <c r="Y308" s="7"/>
      <c r="Z308" s="7"/>
      <c r="AD308" s="92"/>
      <c r="AE308" s="7"/>
      <c r="AF308" s="144"/>
      <c r="AG308" s="144"/>
      <c r="AH308" s="144"/>
      <c r="AI308" s="144"/>
      <c r="AJ308" s="144"/>
      <c r="AK308" s="7"/>
    </row>
    <row r="309" spans="18:37" s="18" customFormat="1">
      <c r="R309" s="7"/>
      <c r="S309" s="7"/>
      <c r="T309" s="7"/>
      <c r="U309" s="7"/>
      <c r="V309" s="7"/>
      <c r="W309" s="7"/>
      <c r="X309" s="7"/>
      <c r="Y309" s="7"/>
      <c r="Z309" s="7"/>
      <c r="AD309" s="92"/>
      <c r="AE309" s="7"/>
      <c r="AF309" s="144"/>
      <c r="AG309" s="144"/>
      <c r="AH309" s="144"/>
      <c r="AI309" s="144"/>
      <c r="AJ309" s="144"/>
      <c r="AK309" s="7"/>
    </row>
    <row r="310" spans="18:37" s="18" customFormat="1">
      <c r="R310" s="7"/>
      <c r="S310" s="7"/>
      <c r="T310" s="7"/>
      <c r="U310" s="7"/>
      <c r="V310" s="7"/>
      <c r="W310" s="7"/>
      <c r="X310" s="7"/>
      <c r="Y310" s="7"/>
      <c r="Z310" s="7"/>
      <c r="AD310" s="92"/>
      <c r="AE310" s="7"/>
      <c r="AF310" s="144"/>
      <c r="AG310" s="144"/>
      <c r="AH310" s="144"/>
      <c r="AI310" s="144"/>
      <c r="AJ310" s="144"/>
      <c r="AK310" s="7"/>
    </row>
    <row r="311" spans="18:37" s="18" customFormat="1">
      <c r="R311" s="7"/>
      <c r="S311" s="7"/>
      <c r="T311" s="7"/>
      <c r="U311" s="7"/>
      <c r="V311" s="7"/>
      <c r="W311" s="7"/>
      <c r="X311" s="7"/>
      <c r="Y311" s="7"/>
      <c r="Z311" s="7"/>
      <c r="AD311" s="92"/>
      <c r="AE311" s="7"/>
      <c r="AF311" s="144"/>
      <c r="AG311" s="144"/>
      <c r="AH311" s="144"/>
      <c r="AI311" s="144"/>
      <c r="AJ311" s="144"/>
      <c r="AK311" s="7"/>
    </row>
    <row r="312" spans="18:37" s="18" customFormat="1">
      <c r="R312" s="7"/>
      <c r="S312" s="7"/>
      <c r="T312" s="7"/>
      <c r="U312" s="7"/>
      <c r="V312" s="7"/>
      <c r="W312" s="7"/>
      <c r="X312" s="7"/>
      <c r="Y312" s="7"/>
      <c r="Z312" s="7"/>
      <c r="AD312" s="92"/>
      <c r="AE312" s="7"/>
      <c r="AF312" s="144"/>
      <c r="AG312" s="144"/>
      <c r="AH312" s="144"/>
      <c r="AI312" s="144"/>
      <c r="AJ312" s="144"/>
      <c r="AK312" s="7"/>
    </row>
    <row r="313" spans="18:37" s="18" customFormat="1">
      <c r="R313" s="7"/>
      <c r="S313" s="7"/>
      <c r="T313" s="7"/>
      <c r="U313" s="7"/>
      <c r="V313" s="7"/>
      <c r="W313" s="7"/>
      <c r="X313" s="7"/>
      <c r="Y313" s="7"/>
      <c r="Z313" s="7"/>
      <c r="AD313" s="92"/>
      <c r="AE313" s="7"/>
      <c r="AF313" s="144"/>
      <c r="AG313" s="144"/>
      <c r="AH313" s="144"/>
      <c r="AI313" s="144"/>
      <c r="AJ313" s="144"/>
      <c r="AK313" s="7"/>
    </row>
    <row r="314" spans="18:37" s="18" customFormat="1">
      <c r="R314" s="7"/>
      <c r="S314" s="7"/>
      <c r="T314" s="7"/>
      <c r="U314" s="7"/>
      <c r="V314" s="7"/>
      <c r="W314" s="7"/>
      <c r="X314" s="7"/>
      <c r="Y314" s="7"/>
      <c r="Z314" s="7"/>
      <c r="AD314" s="92"/>
      <c r="AE314" s="7"/>
      <c r="AF314" s="144"/>
      <c r="AG314" s="144"/>
      <c r="AH314" s="144"/>
      <c r="AI314" s="144"/>
      <c r="AJ314" s="144"/>
      <c r="AK314" s="7"/>
    </row>
    <row r="315" spans="18:37" s="18" customFormat="1">
      <c r="R315" s="7"/>
      <c r="S315" s="7"/>
      <c r="T315" s="7"/>
      <c r="U315" s="7"/>
      <c r="V315" s="7"/>
      <c r="W315" s="7"/>
      <c r="X315" s="7"/>
      <c r="Y315" s="7"/>
      <c r="Z315" s="7"/>
      <c r="AD315" s="92"/>
      <c r="AE315" s="7"/>
      <c r="AF315" s="144"/>
      <c r="AG315" s="144"/>
      <c r="AH315" s="144"/>
      <c r="AI315" s="144"/>
      <c r="AJ315" s="144"/>
      <c r="AK315" s="7"/>
    </row>
    <row r="316" spans="18:37" s="18" customFormat="1">
      <c r="R316" s="7"/>
      <c r="S316" s="7"/>
      <c r="T316" s="7"/>
      <c r="U316" s="7"/>
      <c r="V316" s="7"/>
      <c r="W316" s="7"/>
      <c r="X316" s="7"/>
      <c r="Y316" s="7"/>
      <c r="Z316" s="7"/>
      <c r="AD316" s="92"/>
      <c r="AE316" s="7"/>
      <c r="AF316" s="144"/>
      <c r="AG316" s="144"/>
      <c r="AH316" s="144"/>
      <c r="AI316" s="144"/>
      <c r="AJ316" s="144"/>
      <c r="AK316" s="7"/>
    </row>
    <row r="317" spans="18:37" s="18" customFormat="1">
      <c r="R317" s="7"/>
      <c r="S317" s="7"/>
      <c r="T317" s="7"/>
      <c r="U317" s="7"/>
      <c r="V317" s="7"/>
      <c r="W317" s="7"/>
      <c r="X317" s="7"/>
      <c r="Y317" s="7"/>
      <c r="Z317" s="7"/>
      <c r="AD317" s="92"/>
      <c r="AE317" s="7"/>
      <c r="AF317" s="144"/>
      <c r="AG317" s="144"/>
      <c r="AH317" s="144"/>
      <c r="AI317" s="144"/>
      <c r="AJ317" s="144"/>
      <c r="AK317" s="7"/>
    </row>
    <row r="318" spans="18:37" s="18" customFormat="1">
      <c r="R318" s="7"/>
      <c r="S318" s="7"/>
      <c r="T318" s="7"/>
      <c r="U318" s="7"/>
      <c r="V318" s="7"/>
      <c r="W318" s="7"/>
      <c r="X318" s="7"/>
      <c r="Y318" s="7"/>
      <c r="Z318" s="7"/>
      <c r="AD318" s="92"/>
      <c r="AE318" s="7"/>
      <c r="AF318" s="144"/>
      <c r="AG318" s="144"/>
      <c r="AH318" s="144"/>
      <c r="AI318" s="144"/>
      <c r="AJ318" s="144"/>
      <c r="AK318" s="7"/>
    </row>
    <row r="319" spans="18:37" s="18" customFormat="1">
      <c r="R319" s="7"/>
      <c r="S319" s="7"/>
      <c r="T319" s="7"/>
      <c r="U319" s="7"/>
      <c r="V319" s="7"/>
      <c r="W319" s="7"/>
      <c r="X319" s="7"/>
      <c r="Y319" s="7"/>
      <c r="Z319" s="7"/>
      <c r="AD319" s="92"/>
      <c r="AE319" s="7"/>
      <c r="AF319" s="144"/>
      <c r="AG319" s="144"/>
      <c r="AH319" s="144"/>
      <c r="AI319" s="144"/>
      <c r="AJ319" s="144"/>
      <c r="AK319" s="7"/>
    </row>
    <row r="320" spans="18:37" s="18" customFormat="1">
      <c r="R320" s="7"/>
      <c r="S320" s="7"/>
      <c r="T320" s="7"/>
      <c r="U320" s="7"/>
      <c r="V320" s="7"/>
      <c r="W320" s="7"/>
      <c r="X320" s="7"/>
      <c r="Y320" s="7"/>
      <c r="Z320" s="7"/>
      <c r="AD320" s="92"/>
      <c r="AE320" s="7"/>
      <c r="AF320" s="144"/>
      <c r="AG320" s="144"/>
      <c r="AH320" s="144"/>
      <c r="AI320" s="144"/>
      <c r="AJ320" s="144"/>
      <c r="AK320" s="7"/>
    </row>
    <row r="321" spans="18:37" s="18" customFormat="1">
      <c r="R321" s="7"/>
      <c r="S321" s="7"/>
      <c r="T321" s="7"/>
      <c r="U321" s="7"/>
      <c r="V321" s="7"/>
      <c r="W321" s="7"/>
      <c r="X321" s="7"/>
      <c r="Y321" s="7"/>
      <c r="Z321" s="7"/>
      <c r="AD321" s="92"/>
      <c r="AE321" s="7"/>
      <c r="AF321" s="144"/>
      <c r="AG321" s="144"/>
      <c r="AH321" s="144"/>
      <c r="AI321" s="144"/>
      <c r="AJ321" s="144"/>
      <c r="AK321" s="7"/>
    </row>
    <row r="322" spans="18:37" s="18" customFormat="1">
      <c r="R322" s="7"/>
      <c r="S322" s="7"/>
      <c r="T322" s="7"/>
      <c r="U322" s="7"/>
      <c r="V322" s="7"/>
      <c r="W322" s="7"/>
      <c r="X322" s="7"/>
      <c r="Y322" s="7"/>
      <c r="Z322" s="7"/>
      <c r="AD322" s="92"/>
      <c r="AE322" s="7"/>
      <c r="AF322" s="144"/>
      <c r="AG322" s="144"/>
      <c r="AH322" s="144"/>
      <c r="AI322" s="144"/>
      <c r="AJ322" s="144"/>
      <c r="AK322" s="7"/>
    </row>
    <row r="323" spans="18:37" s="18" customFormat="1">
      <c r="R323" s="7"/>
      <c r="S323" s="7"/>
      <c r="T323" s="7"/>
      <c r="U323" s="7"/>
      <c r="V323" s="7"/>
      <c r="W323" s="7"/>
      <c r="X323" s="7"/>
      <c r="Y323" s="7"/>
      <c r="Z323" s="7"/>
      <c r="AD323" s="92"/>
      <c r="AE323" s="7"/>
      <c r="AF323" s="144"/>
      <c r="AG323" s="144"/>
      <c r="AH323" s="144"/>
      <c r="AI323" s="144"/>
      <c r="AJ323" s="144"/>
      <c r="AK323" s="7"/>
    </row>
    <row r="324" spans="18:37" s="18" customFormat="1">
      <c r="R324" s="7"/>
      <c r="S324" s="7"/>
      <c r="T324" s="7"/>
      <c r="U324" s="7"/>
      <c r="V324" s="7"/>
      <c r="W324" s="7"/>
      <c r="X324" s="7"/>
      <c r="Y324" s="7"/>
      <c r="Z324" s="7"/>
      <c r="AD324" s="92"/>
      <c r="AE324" s="7"/>
      <c r="AF324" s="144"/>
      <c r="AG324" s="144"/>
      <c r="AH324" s="144"/>
      <c r="AI324" s="144"/>
      <c r="AJ324" s="144"/>
      <c r="AK324" s="7"/>
    </row>
    <row r="325" spans="18:37" s="18" customFormat="1">
      <c r="R325" s="7"/>
      <c r="S325" s="7"/>
      <c r="T325" s="7"/>
      <c r="U325" s="7"/>
      <c r="V325" s="7"/>
      <c r="W325" s="7"/>
      <c r="X325" s="7"/>
      <c r="Y325" s="7"/>
      <c r="Z325" s="7"/>
      <c r="AD325" s="92"/>
      <c r="AE325" s="7"/>
      <c r="AF325" s="144"/>
      <c r="AG325" s="144"/>
      <c r="AH325" s="144"/>
      <c r="AI325" s="144"/>
      <c r="AJ325" s="144"/>
      <c r="AK325" s="7"/>
    </row>
    <row r="326" spans="18:37" s="18" customFormat="1">
      <c r="R326" s="7"/>
      <c r="S326" s="7"/>
      <c r="T326" s="7"/>
      <c r="U326" s="7"/>
      <c r="V326" s="7"/>
      <c r="W326" s="7"/>
      <c r="X326" s="7"/>
      <c r="Y326" s="7"/>
      <c r="Z326" s="7"/>
      <c r="AD326" s="92"/>
      <c r="AE326" s="7"/>
      <c r="AF326" s="144"/>
      <c r="AG326" s="144"/>
      <c r="AH326" s="144"/>
      <c r="AI326" s="144"/>
      <c r="AJ326" s="144"/>
      <c r="AK326" s="7"/>
    </row>
    <row r="327" spans="18:37" s="18" customFormat="1">
      <c r="R327" s="7"/>
      <c r="S327" s="7"/>
      <c r="T327" s="7"/>
      <c r="U327" s="7"/>
      <c r="V327" s="7"/>
      <c r="W327" s="7"/>
      <c r="X327" s="7"/>
      <c r="Y327" s="7"/>
      <c r="Z327" s="7"/>
      <c r="AD327" s="92"/>
      <c r="AE327" s="7"/>
      <c r="AF327" s="144"/>
      <c r="AG327" s="144"/>
      <c r="AH327" s="144"/>
      <c r="AI327" s="144"/>
      <c r="AJ327" s="144"/>
      <c r="AK327" s="7"/>
    </row>
    <row r="328" spans="18:37" s="18" customFormat="1">
      <c r="R328" s="7"/>
      <c r="S328" s="7"/>
      <c r="T328" s="7"/>
      <c r="U328" s="7"/>
      <c r="V328" s="7"/>
      <c r="W328" s="7"/>
      <c r="X328" s="7"/>
      <c r="Y328" s="7"/>
      <c r="Z328" s="7"/>
      <c r="AD328" s="92"/>
      <c r="AE328" s="7"/>
      <c r="AF328" s="144"/>
      <c r="AG328" s="144"/>
      <c r="AH328" s="144"/>
      <c r="AI328" s="144"/>
      <c r="AJ328" s="144"/>
      <c r="AK328" s="7"/>
    </row>
    <row r="329" spans="18:37" s="18" customFormat="1">
      <c r="R329" s="7"/>
      <c r="S329" s="7"/>
      <c r="T329" s="7"/>
      <c r="U329" s="7"/>
      <c r="V329" s="7"/>
      <c r="W329" s="7"/>
      <c r="X329" s="7"/>
      <c r="Y329" s="7"/>
      <c r="Z329" s="7"/>
      <c r="AD329" s="92"/>
      <c r="AE329" s="7"/>
      <c r="AF329" s="144"/>
      <c r="AG329" s="144"/>
      <c r="AH329" s="144"/>
      <c r="AI329" s="144"/>
      <c r="AJ329" s="144"/>
      <c r="AK329" s="7"/>
    </row>
    <row r="330" spans="18:37" s="18" customFormat="1">
      <c r="R330" s="7"/>
      <c r="S330" s="7"/>
      <c r="T330" s="7"/>
      <c r="U330" s="7"/>
      <c r="V330" s="7"/>
      <c r="W330" s="7"/>
      <c r="X330" s="7"/>
      <c r="Y330" s="7"/>
      <c r="Z330" s="7"/>
      <c r="AD330" s="92"/>
      <c r="AE330" s="7"/>
      <c r="AF330" s="144"/>
      <c r="AG330" s="144"/>
      <c r="AH330" s="144"/>
      <c r="AI330" s="144"/>
      <c r="AJ330" s="144"/>
      <c r="AK330" s="7"/>
    </row>
    <row r="331" spans="18:37" s="18" customFormat="1">
      <c r="R331" s="7"/>
      <c r="S331" s="7"/>
      <c r="T331" s="7"/>
      <c r="U331" s="7"/>
      <c r="V331" s="7"/>
      <c r="W331" s="7"/>
      <c r="X331" s="7"/>
      <c r="Y331" s="7"/>
      <c r="Z331" s="7"/>
      <c r="AD331" s="92"/>
      <c r="AE331" s="7"/>
      <c r="AF331" s="144"/>
      <c r="AG331" s="144"/>
      <c r="AH331" s="144"/>
      <c r="AI331" s="144"/>
      <c r="AJ331" s="144"/>
      <c r="AK331" s="7"/>
    </row>
    <row r="332" spans="18:37" s="18" customFormat="1">
      <c r="R332" s="7"/>
      <c r="S332" s="7"/>
      <c r="T332" s="7"/>
      <c r="U332" s="7"/>
      <c r="V332" s="7"/>
      <c r="W332" s="7"/>
      <c r="X332" s="7"/>
      <c r="Y332" s="7"/>
      <c r="Z332" s="7"/>
      <c r="AD332" s="92"/>
      <c r="AE332" s="7"/>
      <c r="AF332" s="144"/>
      <c r="AG332" s="144"/>
      <c r="AH332" s="144"/>
      <c r="AI332" s="144"/>
      <c r="AJ332" s="144"/>
      <c r="AK332" s="7"/>
    </row>
    <row r="333" spans="18:37" s="18" customFormat="1">
      <c r="R333" s="7"/>
      <c r="S333" s="7"/>
      <c r="T333" s="7"/>
      <c r="U333" s="7"/>
      <c r="V333" s="7"/>
      <c r="W333" s="7"/>
      <c r="X333" s="7"/>
      <c r="Y333" s="7"/>
      <c r="Z333" s="7"/>
      <c r="AD333" s="92"/>
      <c r="AE333" s="7"/>
      <c r="AF333" s="144"/>
      <c r="AG333" s="144"/>
      <c r="AH333" s="144"/>
      <c r="AI333" s="144"/>
      <c r="AJ333" s="144"/>
      <c r="AK333" s="7"/>
    </row>
    <row r="334" spans="18:37" s="18" customFormat="1">
      <c r="R334" s="7"/>
      <c r="S334" s="7"/>
      <c r="T334" s="7"/>
      <c r="U334" s="7"/>
      <c r="V334" s="7"/>
      <c r="W334" s="7"/>
      <c r="X334" s="7"/>
      <c r="Y334" s="7"/>
      <c r="Z334" s="7"/>
      <c r="AD334" s="92"/>
      <c r="AE334" s="7"/>
      <c r="AF334" s="144"/>
      <c r="AG334" s="144"/>
      <c r="AH334" s="144"/>
      <c r="AI334" s="144"/>
      <c r="AJ334" s="144"/>
      <c r="AK334" s="7"/>
    </row>
    <row r="335" spans="18:37" s="18" customFormat="1">
      <c r="R335" s="7"/>
      <c r="S335" s="7"/>
      <c r="T335" s="7"/>
      <c r="U335" s="7"/>
      <c r="V335" s="7"/>
      <c r="W335" s="7"/>
      <c r="X335" s="7"/>
      <c r="Y335" s="7"/>
      <c r="Z335" s="7"/>
      <c r="AD335" s="92"/>
      <c r="AE335" s="7"/>
      <c r="AF335" s="144"/>
      <c r="AG335" s="144"/>
      <c r="AH335" s="144"/>
      <c r="AI335" s="144"/>
      <c r="AJ335" s="144"/>
      <c r="AK335" s="7"/>
    </row>
    <row r="336" spans="18:37" s="18" customFormat="1">
      <c r="R336" s="7"/>
      <c r="S336" s="7"/>
      <c r="T336" s="7"/>
      <c r="U336" s="7"/>
      <c r="V336" s="7"/>
      <c r="W336" s="7"/>
      <c r="X336" s="7"/>
      <c r="Y336" s="7"/>
      <c r="Z336" s="7"/>
      <c r="AD336" s="92"/>
      <c r="AE336" s="7"/>
      <c r="AF336" s="144"/>
      <c r="AG336" s="144"/>
      <c r="AH336" s="144"/>
      <c r="AI336" s="144"/>
      <c r="AJ336" s="144"/>
      <c r="AK336" s="7"/>
    </row>
    <row r="337" spans="18:37" s="18" customFormat="1">
      <c r="R337" s="7"/>
      <c r="S337" s="7"/>
      <c r="T337" s="7"/>
      <c r="U337" s="7"/>
      <c r="V337" s="7"/>
      <c r="W337" s="7"/>
      <c r="X337" s="7"/>
      <c r="Y337" s="7"/>
      <c r="Z337" s="7"/>
      <c r="AD337" s="92"/>
      <c r="AE337" s="7"/>
      <c r="AF337" s="144"/>
      <c r="AG337" s="144"/>
      <c r="AH337" s="144"/>
      <c r="AI337" s="144"/>
      <c r="AJ337" s="144"/>
      <c r="AK337" s="7"/>
    </row>
    <row r="338" spans="18:37" s="18" customFormat="1">
      <c r="R338" s="7"/>
      <c r="S338" s="7"/>
      <c r="T338" s="7"/>
      <c r="U338" s="7"/>
      <c r="V338" s="7"/>
      <c r="W338" s="7"/>
      <c r="X338" s="7"/>
      <c r="Y338" s="7"/>
      <c r="Z338" s="7"/>
      <c r="AD338" s="92"/>
      <c r="AE338" s="7"/>
      <c r="AF338" s="144"/>
      <c r="AG338" s="144"/>
      <c r="AH338" s="144"/>
      <c r="AI338" s="144"/>
      <c r="AJ338" s="144"/>
      <c r="AK338" s="7"/>
    </row>
    <row r="339" spans="18:37" s="18" customFormat="1">
      <c r="R339" s="7"/>
      <c r="S339" s="7"/>
      <c r="T339" s="7"/>
      <c r="U339" s="7"/>
      <c r="V339" s="7"/>
      <c r="W339" s="7"/>
      <c r="X339" s="7"/>
      <c r="Y339" s="7"/>
      <c r="Z339" s="7"/>
      <c r="AD339" s="92"/>
      <c r="AE339" s="7"/>
      <c r="AF339" s="144"/>
      <c r="AG339" s="144"/>
      <c r="AH339" s="144"/>
      <c r="AI339" s="144"/>
      <c r="AJ339" s="144"/>
      <c r="AK339" s="7"/>
    </row>
    <row r="340" spans="18:37" s="18" customFormat="1">
      <c r="R340" s="7"/>
      <c r="S340" s="7"/>
      <c r="T340" s="7"/>
      <c r="U340" s="7"/>
      <c r="V340" s="7"/>
      <c r="W340" s="7"/>
      <c r="X340" s="7"/>
      <c r="Y340" s="7"/>
      <c r="Z340" s="7"/>
      <c r="AD340" s="92"/>
      <c r="AE340" s="7"/>
      <c r="AF340" s="144"/>
      <c r="AG340" s="144"/>
      <c r="AH340" s="144"/>
      <c r="AI340" s="144"/>
      <c r="AJ340" s="144"/>
      <c r="AK340" s="7"/>
    </row>
    <row r="341" spans="18:37" s="18" customFormat="1">
      <c r="R341" s="7"/>
      <c r="S341" s="7"/>
      <c r="T341" s="7"/>
      <c r="U341" s="7"/>
      <c r="V341" s="7"/>
      <c r="W341" s="7"/>
      <c r="X341" s="7"/>
      <c r="Y341" s="7"/>
      <c r="Z341" s="7"/>
      <c r="AD341" s="92"/>
      <c r="AE341" s="7"/>
      <c r="AF341" s="144"/>
      <c r="AG341" s="144"/>
      <c r="AH341" s="144"/>
      <c r="AI341" s="144"/>
      <c r="AJ341" s="144"/>
      <c r="AK341" s="7"/>
    </row>
    <row r="342" spans="18:37" s="18" customFormat="1">
      <c r="R342" s="7"/>
      <c r="S342" s="7"/>
      <c r="T342" s="7"/>
      <c r="U342" s="7"/>
      <c r="V342" s="7"/>
      <c r="W342" s="7"/>
      <c r="X342" s="7"/>
      <c r="Y342" s="7"/>
      <c r="Z342" s="7"/>
      <c r="AD342" s="92"/>
      <c r="AE342" s="7"/>
      <c r="AF342" s="144"/>
      <c r="AG342" s="144"/>
      <c r="AH342" s="144"/>
      <c r="AI342" s="144"/>
      <c r="AJ342" s="144"/>
      <c r="AK342" s="7"/>
    </row>
    <row r="343" spans="18:37" s="18" customFormat="1">
      <c r="R343" s="7"/>
      <c r="S343" s="7"/>
      <c r="T343" s="7"/>
      <c r="U343" s="7"/>
      <c r="V343" s="7"/>
      <c r="W343" s="7"/>
      <c r="X343" s="7"/>
      <c r="Y343" s="7"/>
      <c r="Z343" s="7"/>
      <c r="AD343" s="92"/>
      <c r="AE343" s="7"/>
      <c r="AF343" s="144"/>
      <c r="AG343" s="144"/>
      <c r="AH343" s="144"/>
      <c r="AI343" s="144"/>
      <c r="AJ343" s="144"/>
      <c r="AK343" s="7"/>
    </row>
    <row r="344" spans="18:37" s="18" customFormat="1">
      <c r="R344" s="7"/>
      <c r="S344" s="7"/>
      <c r="T344" s="7"/>
      <c r="U344" s="7"/>
      <c r="V344" s="7"/>
      <c r="W344" s="7"/>
      <c r="X344" s="7"/>
      <c r="Y344" s="7"/>
      <c r="Z344" s="7"/>
      <c r="AD344" s="92"/>
      <c r="AE344" s="7"/>
      <c r="AF344" s="144"/>
      <c r="AG344" s="144"/>
      <c r="AH344" s="144"/>
      <c r="AI344" s="144"/>
      <c r="AJ344" s="144"/>
      <c r="AK344" s="7"/>
    </row>
    <row r="345" spans="18:37" s="18" customFormat="1">
      <c r="R345" s="7"/>
      <c r="S345" s="7"/>
      <c r="T345" s="7"/>
      <c r="U345" s="7"/>
      <c r="V345" s="7"/>
      <c r="W345" s="7"/>
      <c r="X345" s="7"/>
      <c r="Y345" s="7"/>
      <c r="Z345" s="7"/>
      <c r="AD345" s="92"/>
      <c r="AE345" s="7"/>
      <c r="AF345" s="144"/>
      <c r="AG345" s="144"/>
      <c r="AH345" s="144"/>
      <c r="AI345" s="144"/>
      <c r="AJ345" s="144"/>
      <c r="AK345" s="7"/>
    </row>
    <row r="346" spans="18:37" s="18" customFormat="1">
      <c r="R346" s="7"/>
      <c r="S346" s="7"/>
      <c r="T346" s="7"/>
      <c r="U346" s="7"/>
      <c r="V346" s="7"/>
      <c r="W346" s="7"/>
      <c r="X346" s="7"/>
      <c r="Y346" s="7"/>
      <c r="Z346" s="7"/>
      <c r="AD346" s="92"/>
      <c r="AE346" s="7"/>
      <c r="AF346" s="144"/>
      <c r="AG346" s="144"/>
      <c r="AH346" s="144"/>
      <c r="AI346" s="144"/>
      <c r="AJ346" s="144"/>
      <c r="AK346" s="7"/>
    </row>
    <row r="347" spans="18:37" s="18" customFormat="1">
      <c r="R347" s="7"/>
      <c r="S347" s="7"/>
      <c r="T347" s="7"/>
      <c r="U347" s="7"/>
      <c r="V347" s="7"/>
      <c r="W347" s="7"/>
      <c r="X347" s="7"/>
      <c r="Y347" s="7"/>
      <c r="Z347" s="7"/>
      <c r="AD347" s="92"/>
      <c r="AE347" s="7"/>
      <c r="AF347" s="144"/>
      <c r="AG347" s="144"/>
      <c r="AH347" s="144"/>
      <c r="AI347" s="144"/>
      <c r="AJ347" s="144"/>
      <c r="AK347" s="7"/>
    </row>
    <row r="348" spans="18:37" s="18" customFormat="1">
      <c r="R348" s="7"/>
      <c r="S348" s="7"/>
      <c r="T348" s="7"/>
      <c r="U348" s="7"/>
      <c r="V348" s="7"/>
      <c r="W348" s="7"/>
      <c r="X348" s="7"/>
      <c r="Y348" s="7"/>
      <c r="Z348" s="7"/>
      <c r="AD348" s="92"/>
      <c r="AE348" s="7"/>
      <c r="AF348" s="144"/>
      <c r="AG348" s="144"/>
      <c r="AH348" s="144"/>
      <c r="AI348" s="144"/>
      <c r="AJ348" s="144"/>
      <c r="AK348" s="7"/>
    </row>
    <row r="349" spans="18:37" s="18" customFormat="1">
      <c r="R349" s="7"/>
      <c r="S349" s="7"/>
      <c r="T349" s="7"/>
      <c r="U349" s="7"/>
      <c r="V349" s="7"/>
      <c r="W349" s="7"/>
      <c r="X349" s="7"/>
      <c r="Y349" s="7"/>
      <c r="Z349" s="7"/>
      <c r="AD349" s="92"/>
      <c r="AE349" s="7"/>
      <c r="AF349" s="144"/>
      <c r="AG349" s="144"/>
      <c r="AH349" s="144"/>
      <c r="AI349" s="144"/>
      <c r="AJ349" s="144"/>
      <c r="AK349" s="7"/>
    </row>
    <row r="350" spans="18:37" s="18" customFormat="1">
      <c r="R350" s="7"/>
      <c r="S350" s="7"/>
      <c r="T350" s="7"/>
      <c r="U350" s="7"/>
      <c r="V350" s="7"/>
      <c r="W350" s="7"/>
      <c r="X350" s="7"/>
      <c r="Y350" s="7"/>
      <c r="Z350" s="7"/>
      <c r="AD350" s="92"/>
      <c r="AE350" s="7"/>
      <c r="AF350" s="144"/>
      <c r="AG350" s="144"/>
      <c r="AH350" s="144"/>
      <c r="AI350" s="144"/>
      <c r="AJ350" s="144"/>
      <c r="AK350" s="7"/>
    </row>
    <row r="351" spans="18:37" s="18" customFormat="1">
      <c r="R351" s="7"/>
      <c r="S351" s="7"/>
      <c r="T351" s="7"/>
      <c r="U351" s="7"/>
      <c r="V351" s="7"/>
      <c r="W351" s="7"/>
      <c r="X351" s="7"/>
      <c r="Y351" s="7"/>
      <c r="Z351" s="7"/>
      <c r="AD351" s="92"/>
      <c r="AE351" s="7"/>
      <c r="AF351" s="144"/>
      <c r="AG351" s="144"/>
      <c r="AH351" s="144"/>
      <c r="AI351" s="144"/>
      <c r="AJ351" s="144"/>
      <c r="AK351" s="7"/>
    </row>
    <row r="352" spans="18:37" s="18" customFormat="1">
      <c r="R352" s="7"/>
      <c r="S352" s="7"/>
      <c r="T352" s="7"/>
      <c r="U352" s="7"/>
      <c r="V352" s="7"/>
      <c r="W352" s="7"/>
      <c r="X352" s="7"/>
      <c r="Y352" s="7"/>
      <c r="Z352" s="7"/>
      <c r="AD352" s="92"/>
      <c r="AE352" s="7"/>
      <c r="AF352" s="144"/>
      <c r="AG352" s="144"/>
      <c r="AH352" s="144"/>
      <c r="AI352" s="144"/>
      <c r="AJ352" s="144"/>
      <c r="AK352" s="7"/>
    </row>
    <row r="353" spans="18:37" s="18" customFormat="1">
      <c r="R353" s="7"/>
      <c r="S353" s="7"/>
      <c r="T353" s="7"/>
      <c r="U353" s="7"/>
      <c r="V353" s="7"/>
      <c r="W353" s="7"/>
      <c r="X353" s="7"/>
      <c r="Y353" s="7"/>
      <c r="Z353" s="7"/>
      <c r="AD353" s="92"/>
      <c r="AE353" s="7"/>
      <c r="AF353" s="144"/>
      <c r="AG353" s="144"/>
      <c r="AH353" s="144"/>
      <c r="AI353" s="144"/>
      <c r="AJ353" s="144"/>
      <c r="AK353" s="7"/>
    </row>
    <row r="354" spans="18:37" s="18" customFormat="1">
      <c r="R354" s="7"/>
      <c r="S354" s="7"/>
      <c r="T354" s="7"/>
      <c r="U354" s="7"/>
      <c r="V354" s="7"/>
      <c r="W354" s="7"/>
      <c r="X354" s="7"/>
      <c r="Y354" s="7"/>
      <c r="Z354" s="7"/>
      <c r="AD354" s="92"/>
      <c r="AE354" s="7"/>
      <c r="AF354" s="144"/>
      <c r="AG354" s="144"/>
      <c r="AH354" s="144"/>
      <c r="AI354" s="144"/>
      <c r="AJ354" s="144"/>
      <c r="AK354" s="7"/>
    </row>
    <row r="355" spans="18:37" s="18" customFormat="1">
      <c r="R355" s="7"/>
      <c r="S355" s="7"/>
      <c r="T355" s="7"/>
      <c r="U355" s="7"/>
      <c r="V355" s="7"/>
      <c r="W355" s="7"/>
      <c r="X355" s="7"/>
      <c r="Y355" s="7"/>
      <c r="Z355" s="7"/>
      <c r="AD355" s="92"/>
      <c r="AE355" s="7"/>
      <c r="AF355" s="144"/>
      <c r="AG355" s="144"/>
      <c r="AH355" s="144"/>
      <c r="AI355" s="144"/>
      <c r="AJ355" s="144"/>
      <c r="AK355" s="7"/>
    </row>
    <row r="356" spans="18:37" s="18" customFormat="1">
      <c r="R356" s="7"/>
      <c r="S356" s="7"/>
      <c r="T356" s="7"/>
      <c r="U356" s="7"/>
      <c r="V356" s="7"/>
      <c r="W356" s="7"/>
      <c r="X356" s="7"/>
      <c r="Y356" s="7"/>
      <c r="Z356" s="7"/>
      <c r="AD356" s="92"/>
      <c r="AE356" s="7"/>
      <c r="AF356" s="144"/>
      <c r="AG356" s="144"/>
      <c r="AH356" s="144"/>
      <c r="AI356" s="144"/>
      <c r="AJ356" s="144"/>
      <c r="AK356" s="7"/>
    </row>
    <row r="357" spans="18:37" s="18" customFormat="1">
      <c r="R357" s="7"/>
      <c r="S357" s="7"/>
      <c r="T357" s="7"/>
      <c r="U357" s="7"/>
      <c r="V357" s="7"/>
      <c r="W357" s="7"/>
      <c r="X357" s="7"/>
      <c r="Y357" s="7"/>
      <c r="Z357" s="7"/>
      <c r="AD357" s="92"/>
      <c r="AE357" s="7"/>
      <c r="AF357" s="144"/>
      <c r="AG357" s="144"/>
      <c r="AH357" s="144"/>
      <c r="AI357" s="144"/>
      <c r="AJ357" s="144"/>
      <c r="AK357" s="7"/>
    </row>
    <row r="358" spans="18:37" s="18" customFormat="1">
      <c r="R358" s="7"/>
      <c r="S358" s="7"/>
      <c r="T358" s="7"/>
      <c r="U358" s="7"/>
      <c r="V358" s="7"/>
      <c r="W358" s="7"/>
      <c r="X358" s="7"/>
      <c r="Y358" s="7"/>
      <c r="Z358" s="7"/>
      <c r="AD358" s="92"/>
      <c r="AE358" s="7"/>
      <c r="AF358" s="144"/>
      <c r="AG358" s="144"/>
      <c r="AH358" s="144"/>
      <c r="AI358" s="144"/>
      <c r="AJ358" s="144"/>
      <c r="AK358" s="7"/>
    </row>
    <row r="359" spans="18:37" s="18" customFormat="1">
      <c r="R359" s="7"/>
      <c r="S359" s="7"/>
      <c r="T359" s="7"/>
      <c r="U359" s="7"/>
      <c r="V359" s="7"/>
      <c r="W359" s="7"/>
      <c r="X359" s="7"/>
      <c r="Y359" s="7"/>
      <c r="Z359" s="7"/>
      <c r="AD359" s="92"/>
      <c r="AE359" s="7"/>
      <c r="AF359" s="144"/>
      <c r="AG359" s="144"/>
      <c r="AH359" s="144"/>
      <c r="AI359" s="144"/>
      <c r="AJ359" s="144"/>
      <c r="AK359" s="7"/>
    </row>
    <row r="360" spans="18:37" s="18" customFormat="1">
      <c r="R360" s="7"/>
      <c r="S360" s="7"/>
      <c r="T360" s="7"/>
      <c r="U360" s="7"/>
      <c r="V360" s="7"/>
      <c r="W360" s="7"/>
      <c r="X360" s="7"/>
      <c r="Y360" s="7"/>
      <c r="Z360" s="7"/>
      <c r="AD360" s="92"/>
      <c r="AE360" s="7"/>
      <c r="AF360" s="144"/>
      <c r="AG360" s="144"/>
      <c r="AH360" s="144"/>
      <c r="AI360" s="144"/>
      <c r="AJ360" s="144"/>
      <c r="AK360" s="7"/>
    </row>
    <row r="361" spans="18:37" s="18" customFormat="1">
      <c r="R361" s="7"/>
      <c r="S361" s="7"/>
      <c r="T361" s="7"/>
      <c r="U361" s="7"/>
      <c r="V361" s="7"/>
      <c r="W361" s="7"/>
      <c r="X361" s="7"/>
      <c r="Y361" s="7"/>
      <c r="Z361" s="7"/>
      <c r="AD361" s="92"/>
      <c r="AE361" s="7"/>
      <c r="AF361" s="144"/>
      <c r="AG361" s="144"/>
      <c r="AH361" s="144"/>
      <c r="AI361" s="144"/>
      <c r="AJ361" s="144"/>
      <c r="AK361" s="7"/>
    </row>
    <row r="362" spans="18:37" s="18" customFormat="1">
      <c r="R362" s="7"/>
      <c r="S362" s="7"/>
      <c r="T362" s="7"/>
      <c r="U362" s="7"/>
      <c r="V362" s="7"/>
      <c r="W362" s="7"/>
      <c r="X362" s="7"/>
      <c r="Y362" s="7"/>
      <c r="Z362" s="7"/>
      <c r="AD362" s="92"/>
      <c r="AE362" s="7"/>
      <c r="AF362" s="144"/>
      <c r="AG362" s="144"/>
      <c r="AH362" s="144"/>
      <c r="AI362" s="144"/>
      <c r="AJ362" s="144"/>
      <c r="AK362" s="7"/>
    </row>
    <row r="363" spans="18:37" s="18" customFormat="1">
      <c r="R363" s="7"/>
      <c r="S363" s="7"/>
      <c r="T363" s="7"/>
      <c r="U363" s="7"/>
      <c r="V363" s="7"/>
      <c r="W363" s="7"/>
      <c r="X363" s="7"/>
      <c r="Y363" s="7"/>
      <c r="Z363" s="7"/>
      <c r="AD363" s="92"/>
      <c r="AE363" s="7"/>
      <c r="AF363" s="144"/>
      <c r="AG363" s="144"/>
      <c r="AH363" s="144"/>
      <c r="AI363" s="144"/>
      <c r="AJ363" s="144"/>
      <c r="AK363" s="7"/>
    </row>
    <row r="364" spans="18:37" s="18" customFormat="1">
      <c r="R364" s="7"/>
      <c r="S364" s="7"/>
      <c r="T364" s="7"/>
      <c r="U364" s="7"/>
      <c r="V364" s="7"/>
      <c r="W364" s="7"/>
      <c r="X364" s="7"/>
      <c r="Y364" s="7"/>
      <c r="Z364" s="7"/>
      <c r="AD364" s="92"/>
      <c r="AE364" s="7"/>
      <c r="AF364" s="144"/>
      <c r="AG364" s="144"/>
      <c r="AH364" s="144"/>
      <c r="AI364" s="144"/>
      <c r="AJ364" s="144"/>
      <c r="AK364" s="7"/>
    </row>
    <row r="365" spans="18:37" s="18" customFormat="1">
      <c r="R365" s="7"/>
      <c r="S365" s="7"/>
      <c r="T365" s="7"/>
      <c r="U365" s="7"/>
      <c r="V365" s="7"/>
      <c r="W365" s="7"/>
      <c r="X365" s="7"/>
      <c r="Y365" s="7"/>
      <c r="Z365" s="7"/>
      <c r="AD365" s="92"/>
      <c r="AE365" s="7"/>
      <c r="AF365" s="144"/>
      <c r="AG365" s="144"/>
      <c r="AH365" s="144"/>
      <c r="AI365" s="144"/>
      <c r="AJ365" s="144"/>
      <c r="AK365" s="7"/>
    </row>
    <row r="366" spans="18:37" s="18" customFormat="1">
      <c r="R366" s="7"/>
      <c r="S366" s="7"/>
      <c r="T366" s="7"/>
      <c r="U366" s="7"/>
      <c r="V366" s="7"/>
      <c r="W366" s="7"/>
      <c r="X366" s="7"/>
      <c r="Y366" s="7"/>
      <c r="Z366" s="7"/>
      <c r="AD366" s="92"/>
      <c r="AE366" s="7"/>
      <c r="AF366" s="144"/>
      <c r="AG366" s="144"/>
      <c r="AH366" s="144"/>
      <c r="AI366" s="144"/>
      <c r="AJ366" s="144"/>
      <c r="AK366" s="7"/>
    </row>
    <row r="367" spans="18:37" s="18" customFormat="1">
      <c r="R367" s="7"/>
      <c r="S367" s="7"/>
      <c r="T367" s="7"/>
      <c r="U367" s="7"/>
      <c r="V367" s="7"/>
      <c r="W367" s="7"/>
      <c r="X367" s="7"/>
      <c r="Y367" s="7"/>
      <c r="Z367" s="7"/>
      <c r="AD367" s="92"/>
      <c r="AE367" s="7"/>
      <c r="AF367" s="144"/>
      <c r="AG367" s="144"/>
      <c r="AH367" s="144"/>
      <c r="AI367" s="144"/>
      <c r="AJ367" s="144"/>
      <c r="AK367" s="7"/>
    </row>
    <row r="368" spans="18:37" s="18" customFormat="1">
      <c r="R368" s="7"/>
      <c r="S368" s="7"/>
      <c r="T368" s="7"/>
      <c r="U368" s="7"/>
      <c r="V368" s="7"/>
      <c r="W368" s="7"/>
      <c r="X368" s="7"/>
      <c r="Y368" s="7"/>
      <c r="Z368" s="7"/>
      <c r="AD368" s="92"/>
      <c r="AE368" s="7"/>
      <c r="AF368" s="144"/>
      <c r="AG368" s="144"/>
      <c r="AH368" s="144"/>
      <c r="AI368" s="144"/>
      <c r="AJ368" s="144"/>
      <c r="AK368" s="7"/>
    </row>
    <row r="369" spans="18:37" s="18" customFormat="1">
      <c r="R369" s="7"/>
      <c r="S369" s="7"/>
      <c r="T369" s="7"/>
      <c r="U369" s="7"/>
      <c r="V369" s="7"/>
      <c r="W369" s="7"/>
      <c r="X369" s="7"/>
      <c r="Y369" s="7"/>
      <c r="Z369" s="7"/>
      <c r="AD369" s="92"/>
      <c r="AE369" s="7"/>
      <c r="AF369" s="144"/>
      <c r="AG369" s="144"/>
      <c r="AH369" s="144"/>
      <c r="AI369" s="144"/>
      <c r="AJ369" s="144"/>
      <c r="AK369" s="7"/>
    </row>
    <row r="370" spans="18:37" s="18" customFormat="1">
      <c r="R370" s="7"/>
      <c r="S370" s="7"/>
      <c r="T370" s="7"/>
      <c r="U370" s="7"/>
      <c r="V370" s="7"/>
      <c r="W370" s="7"/>
      <c r="X370" s="7"/>
      <c r="Y370" s="7"/>
      <c r="Z370" s="7"/>
      <c r="AD370" s="92"/>
      <c r="AE370" s="7"/>
      <c r="AF370" s="144"/>
      <c r="AG370" s="144"/>
      <c r="AH370" s="144"/>
      <c r="AI370" s="144"/>
      <c r="AJ370" s="144"/>
      <c r="AK370" s="7"/>
    </row>
    <row r="371" spans="18:37" s="18" customFormat="1">
      <c r="R371" s="7"/>
      <c r="S371" s="7"/>
      <c r="T371" s="7"/>
      <c r="U371" s="7"/>
      <c r="V371" s="7"/>
      <c r="W371" s="7"/>
      <c r="X371" s="7"/>
      <c r="Y371" s="7"/>
      <c r="Z371" s="7"/>
      <c r="AD371" s="92"/>
      <c r="AE371" s="7"/>
      <c r="AF371" s="144"/>
      <c r="AG371" s="144"/>
      <c r="AH371" s="144"/>
      <c r="AI371" s="144"/>
      <c r="AJ371" s="144"/>
      <c r="AK371" s="7"/>
    </row>
    <row r="372" spans="18:37" s="18" customFormat="1">
      <c r="R372" s="7"/>
      <c r="S372" s="7"/>
      <c r="T372" s="7"/>
      <c r="U372" s="7"/>
      <c r="V372" s="7"/>
      <c r="W372" s="7"/>
      <c r="X372" s="7"/>
      <c r="Y372" s="7"/>
      <c r="Z372" s="7"/>
      <c r="AD372" s="92"/>
      <c r="AE372" s="7"/>
      <c r="AF372" s="144"/>
      <c r="AG372" s="144"/>
      <c r="AH372" s="144"/>
      <c r="AI372" s="144"/>
      <c r="AJ372" s="144"/>
      <c r="AK372" s="7"/>
    </row>
    <row r="373" spans="18:37" s="18" customFormat="1">
      <c r="R373" s="7"/>
      <c r="S373" s="7"/>
      <c r="T373" s="7"/>
      <c r="U373" s="7"/>
      <c r="V373" s="7"/>
      <c r="W373" s="7"/>
      <c r="X373" s="7"/>
      <c r="Y373" s="7"/>
      <c r="Z373" s="7"/>
      <c r="AD373" s="92"/>
      <c r="AE373" s="7"/>
      <c r="AF373" s="144"/>
      <c r="AG373" s="144"/>
      <c r="AH373" s="144"/>
      <c r="AI373" s="144"/>
      <c r="AJ373" s="144"/>
      <c r="AK373" s="7"/>
    </row>
    <row r="374" spans="18:37" s="18" customFormat="1">
      <c r="R374" s="7"/>
      <c r="S374" s="7"/>
      <c r="T374" s="7"/>
      <c r="U374" s="7"/>
      <c r="V374" s="7"/>
      <c r="W374" s="7"/>
      <c r="X374" s="7"/>
      <c r="Y374" s="7"/>
      <c r="Z374" s="7"/>
      <c r="AD374" s="92"/>
      <c r="AE374" s="7"/>
      <c r="AF374" s="144"/>
      <c r="AG374" s="144"/>
      <c r="AH374" s="144"/>
      <c r="AI374" s="144"/>
      <c r="AJ374" s="144"/>
      <c r="AK374" s="7"/>
    </row>
    <row r="375" spans="18:37" s="18" customFormat="1">
      <c r="R375" s="7"/>
      <c r="S375" s="7"/>
      <c r="T375" s="7"/>
      <c r="U375" s="7"/>
      <c r="V375" s="7"/>
      <c r="W375" s="7"/>
      <c r="X375" s="7"/>
      <c r="Y375" s="7"/>
      <c r="Z375" s="7"/>
      <c r="AD375" s="92"/>
      <c r="AE375" s="7"/>
      <c r="AF375" s="144"/>
      <c r="AG375" s="144"/>
      <c r="AH375" s="144"/>
      <c r="AI375" s="144"/>
      <c r="AJ375" s="144"/>
      <c r="AK375" s="7"/>
    </row>
    <row r="376" spans="18:37" s="18" customFormat="1">
      <c r="R376" s="7"/>
      <c r="S376" s="7"/>
      <c r="T376" s="7"/>
      <c r="U376" s="7"/>
      <c r="V376" s="7"/>
      <c r="W376" s="7"/>
      <c r="X376" s="7"/>
      <c r="Y376" s="7"/>
      <c r="Z376" s="7"/>
      <c r="AD376" s="92"/>
      <c r="AE376" s="7"/>
      <c r="AF376" s="144"/>
      <c r="AG376" s="144"/>
      <c r="AH376" s="144"/>
      <c r="AI376" s="144"/>
      <c r="AJ376" s="144"/>
      <c r="AK376" s="7"/>
    </row>
    <row r="377" spans="18:37" s="18" customFormat="1">
      <c r="R377" s="7"/>
      <c r="S377" s="7"/>
      <c r="T377" s="7"/>
      <c r="U377" s="7"/>
      <c r="V377" s="7"/>
      <c r="W377" s="7"/>
      <c r="X377" s="7"/>
      <c r="Y377" s="7"/>
      <c r="Z377" s="7"/>
      <c r="AD377" s="92"/>
      <c r="AE377" s="7"/>
      <c r="AF377" s="144"/>
      <c r="AG377" s="144"/>
      <c r="AH377" s="144"/>
      <c r="AI377" s="144"/>
      <c r="AJ377" s="144"/>
      <c r="AK377" s="7"/>
    </row>
    <row r="378" spans="18:37" s="18" customFormat="1">
      <c r="R378" s="7"/>
      <c r="S378" s="7"/>
      <c r="T378" s="7"/>
      <c r="U378" s="7"/>
      <c r="V378" s="7"/>
      <c r="W378" s="7"/>
      <c r="X378" s="7"/>
      <c r="Y378" s="7"/>
      <c r="Z378" s="7"/>
      <c r="AD378" s="92"/>
      <c r="AE378" s="7"/>
      <c r="AF378" s="144"/>
      <c r="AG378" s="144"/>
      <c r="AH378" s="144"/>
      <c r="AI378" s="144"/>
      <c r="AJ378" s="144"/>
      <c r="AK378" s="7"/>
    </row>
    <row r="379" spans="18:37" s="18" customFormat="1">
      <c r="R379" s="7"/>
      <c r="S379" s="7"/>
      <c r="T379" s="7"/>
      <c r="U379" s="7"/>
      <c r="V379" s="7"/>
      <c r="W379" s="7"/>
      <c r="X379" s="7"/>
      <c r="Y379" s="7"/>
      <c r="Z379" s="7"/>
      <c r="AD379" s="92"/>
      <c r="AE379" s="7"/>
      <c r="AF379" s="144"/>
      <c r="AG379" s="144"/>
      <c r="AH379" s="144"/>
      <c r="AI379" s="144"/>
      <c r="AJ379" s="144"/>
      <c r="AK379" s="7"/>
    </row>
    <row r="380" spans="18:37" s="18" customFormat="1">
      <c r="R380" s="7"/>
      <c r="S380" s="7"/>
      <c r="T380" s="7"/>
      <c r="U380" s="7"/>
      <c r="V380" s="7"/>
      <c r="W380" s="7"/>
      <c r="X380" s="7"/>
      <c r="Y380" s="7"/>
      <c r="Z380" s="7"/>
      <c r="AD380" s="92"/>
      <c r="AE380" s="7"/>
      <c r="AF380" s="144"/>
      <c r="AG380" s="144"/>
      <c r="AH380" s="144"/>
      <c r="AI380" s="144"/>
      <c r="AJ380" s="144"/>
      <c r="AK380" s="7"/>
    </row>
    <row r="381" spans="18:37" s="18" customFormat="1">
      <c r="R381" s="7"/>
      <c r="S381" s="7"/>
      <c r="T381" s="7"/>
      <c r="U381" s="7"/>
      <c r="V381" s="7"/>
      <c r="W381" s="7"/>
      <c r="X381" s="7"/>
      <c r="Y381" s="7"/>
      <c r="Z381" s="7"/>
      <c r="AD381" s="92"/>
      <c r="AE381" s="7"/>
      <c r="AF381" s="144"/>
      <c r="AG381" s="144"/>
      <c r="AH381" s="144"/>
      <c r="AI381" s="144"/>
      <c r="AJ381" s="144"/>
      <c r="AK381" s="7"/>
    </row>
    <row r="382" spans="18:37" s="18" customFormat="1">
      <c r="R382" s="7"/>
      <c r="S382" s="7"/>
      <c r="T382" s="7"/>
      <c r="U382" s="7"/>
      <c r="V382" s="7"/>
      <c r="W382" s="7"/>
      <c r="X382" s="7"/>
      <c r="Y382" s="7"/>
      <c r="Z382" s="7"/>
      <c r="AD382" s="92"/>
      <c r="AE382" s="7"/>
      <c r="AF382" s="144"/>
      <c r="AG382" s="144"/>
      <c r="AH382" s="144"/>
      <c r="AI382" s="144"/>
      <c r="AJ382" s="144"/>
      <c r="AK382" s="7"/>
    </row>
    <row r="383" spans="18:37" s="18" customFormat="1">
      <c r="R383" s="7"/>
      <c r="S383" s="7"/>
      <c r="T383" s="7"/>
      <c r="U383" s="7"/>
      <c r="V383" s="7"/>
      <c r="W383" s="7"/>
      <c r="X383" s="7"/>
      <c r="Y383" s="7"/>
      <c r="Z383" s="7"/>
      <c r="AD383" s="92"/>
      <c r="AE383" s="7"/>
      <c r="AF383" s="144"/>
      <c r="AG383" s="144"/>
      <c r="AH383" s="144"/>
      <c r="AI383" s="144"/>
      <c r="AJ383" s="144"/>
      <c r="AK383" s="7"/>
    </row>
    <row r="384" spans="18:37" s="18" customFormat="1">
      <c r="R384" s="7"/>
      <c r="S384" s="7"/>
      <c r="T384" s="7"/>
      <c r="U384" s="7"/>
      <c r="V384" s="7"/>
      <c r="W384" s="7"/>
      <c r="X384" s="7"/>
      <c r="Y384" s="7"/>
      <c r="Z384" s="7"/>
      <c r="AD384" s="92"/>
      <c r="AE384" s="7"/>
      <c r="AF384" s="144"/>
      <c r="AG384" s="144"/>
      <c r="AH384" s="144"/>
      <c r="AI384" s="144"/>
      <c r="AJ384" s="144"/>
      <c r="AK384" s="7"/>
    </row>
    <row r="385" spans="18:37" s="18" customFormat="1">
      <c r="R385" s="7"/>
      <c r="S385" s="7"/>
      <c r="T385" s="7"/>
      <c r="U385" s="7"/>
      <c r="V385" s="7"/>
      <c r="W385" s="7"/>
      <c r="X385" s="7"/>
      <c r="Y385" s="7"/>
      <c r="Z385" s="7"/>
      <c r="AD385" s="92"/>
      <c r="AE385" s="7"/>
      <c r="AF385" s="144"/>
      <c r="AG385" s="144"/>
      <c r="AH385" s="144"/>
      <c r="AI385" s="144"/>
      <c r="AJ385" s="144"/>
      <c r="AK385" s="7"/>
    </row>
    <row r="386" spans="18:37" s="18" customFormat="1">
      <c r="R386" s="7"/>
      <c r="S386" s="7"/>
      <c r="T386" s="7"/>
      <c r="U386" s="7"/>
      <c r="V386" s="7"/>
      <c r="W386" s="7"/>
      <c r="X386" s="7"/>
      <c r="Y386" s="7"/>
      <c r="Z386" s="7"/>
      <c r="AD386" s="92"/>
      <c r="AE386" s="7"/>
      <c r="AF386" s="144"/>
      <c r="AG386" s="144"/>
      <c r="AH386" s="144"/>
      <c r="AI386" s="144"/>
      <c r="AJ386" s="144"/>
      <c r="AK386" s="7"/>
    </row>
    <row r="387" spans="18:37" s="18" customFormat="1">
      <c r="R387" s="7"/>
      <c r="S387" s="7"/>
      <c r="T387" s="7"/>
      <c r="U387" s="7"/>
      <c r="V387" s="7"/>
      <c r="W387" s="7"/>
      <c r="X387" s="7"/>
      <c r="Y387" s="7"/>
      <c r="Z387" s="7"/>
      <c r="AD387" s="92"/>
      <c r="AE387" s="7"/>
      <c r="AF387" s="144"/>
      <c r="AG387" s="144"/>
      <c r="AH387" s="144"/>
      <c r="AI387" s="144"/>
      <c r="AJ387" s="144"/>
      <c r="AK387" s="7"/>
    </row>
    <row r="388" spans="18:37" s="18" customFormat="1">
      <c r="R388" s="7"/>
      <c r="S388" s="7"/>
      <c r="T388" s="7"/>
      <c r="U388" s="7"/>
      <c r="V388" s="7"/>
      <c r="W388" s="7"/>
      <c r="X388" s="7"/>
      <c r="Y388" s="7"/>
      <c r="Z388" s="7"/>
      <c r="AD388" s="92"/>
      <c r="AE388" s="7"/>
      <c r="AF388" s="144"/>
      <c r="AG388" s="144"/>
      <c r="AH388" s="144"/>
      <c r="AI388" s="144"/>
      <c r="AJ388" s="144"/>
      <c r="AK388" s="7"/>
    </row>
    <row r="389" spans="18:37" s="18" customFormat="1">
      <c r="R389" s="7"/>
      <c r="S389" s="7"/>
      <c r="T389" s="7"/>
      <c r="U389" s="7"/>
      <c r="V389" s="7"/>
      <c r="W389" s="7"/>
      <c r="X389" s="7"/>
      <c r="Y389" s="7"/>
      <c r="Z389" s="7"/>
      <c r="AD389" s="92"/>
      <c r="AE389" s="7"/>
      <c r="AF389" s="144"/>
      <c r="AG389" s="144"/>
      <c r="AH389" s="144"/>
      <c r="AI389" s="144"/>
      <c r="AJ389" s="144"/>
      <c r="AK389" s="7"/>
    </row>
    <row r="390" spans="18:37" s="18" customFormat="1">
      <c r="R390" s="7"/>
      <c r="S390" s="7"/>
      <c r="T390" s="7"/>
      <c r="U390" s="7"/>
      <c r="V390" s="7"/>
      <c r="W390" s="7"/>
      <c r="X390" s="7"/>
      <c r="Y390" s="7"/>
      <c r="Z390" s="7"/>
      <c r="AD390" s="92"/>
      <c r="AE390" s="7"/>
      <c r="AF390" s="144"/>
      <c r="AG390" s="144"/>
      <c r="AH390" s="144"/>
      <c r="AI390" s="144"/>
      <c r="AJ390" s="144"/>
      <c r="AK390" s="7"/>
    </row>
    <row r="391" spans="18:37" s="18" customFormat="1">
      <c r="R391" s="7"/>
      <c r="S391" s="7"/>
      <c r="T391" s="7"/>
      <c r="U391" s="7"/>
      <c r="V391" s="7"/>
      <c r="W391" s="7"/>
      <c r="X391" s="7"/>
      <c r="Y391" s="7"/>
      <c r="Z391" s="7"/>
      <c r="AD391" s="92"/>
      <c r="AE391" s="7"/>
      <c r="AF391" s="144"/>
      <c r="AG391" s="144"/>
      <c r="AH391" s="144"/>
      <c r="AI391" s="144"/>
      <c r="AJ391" s="144"/>
      <c r="AK391" s="7"/>
    </row>
    <row r="392" spans="18:37" s="18" customFormat="1">
      <c r="R392" s="7"/>
      <c r="S392" s="7"/>
      <c r="T392" s="7"/>
      <c r="U392" s="7"/>
      <c r="V392" s="7"/>
      <c r="W392" s="7"/>
      <c r="X392" s="7"/>
      <c r="Y392" s="7"/>
      <c r="Z392" s="7"/>
      <c r="AD392" s="92"/>
      <c r="AE392" s="7"/>
      <c r="AF392" s="144"/>
      <c r="AG392" s="144"/>
      <c r="AH392" s="144"/>
      <c r="AI392" s="144"/>
      <c r="AJ392" s="144"/>
      <c r="AK392" s="7"/>
    </row>
    <row r="393" spans="18:37" s="18" customFormat="1">
      <c r="R393" s="7"/>
      <c r="S393" s="7"/>
      <c r="T393" s="7"/>
      <c r="U393" s="7"/>
      <c r="V393" s="7"/>
      <c r="W393" s="7"/>
      <c r="X393" s="7"/>
      <c r="Y393" s="7"/>
      <c r="Z393" s="7"/>
      <c r="AD393" s="92"/>
      <c r="AE393" s="7"/>
      <c r="AF393" s="144"/>
      <c r="AG393" s="144"/>
      <c r="AH393" s="144"/>
      <c r="AI393" s="144"/>
      <c r="AJ393" s="144"/>
      <c r="AK393" s="7"/>
    </row>
    <row r="394" spans="18:37" s="18" customFormat="1">
      <c r="R394" s="7"/>
      <c r="S394" s="7"/>
      <c r="T394" s="7"/>
      <c r="U394" s="7"/>
      <c r="V394" s="7"/>
      <c r="W394" s="7"/>
      <c r="X394" s="7"/>
      <c r="Y394" s="7"/>
      <c r="Z394" s="7"/>
      <c r="AD394" s="92"/>
      <c r="AE394" s="7"/>
      <c r="AF394" s="144"/>
      <c r="AG394" s="144"/>
      <c r="AH394" s="144"/>
      <c r="AI394" s="144"/>
      <c r="AJ394" s="144"/>
      <c r="AK394" s="7"/>
    </row>
    <row r="395" spans="18:37" s="18" customFormat="1">
      <c r="R395" s="7"/>
      <c r="S395" s="7"/>
      <c r="T395" s="7"/>
      <c r="U395" s="7"/>
      <c r="V395" s="7"/>
      <c r="W395" s="7"/>
      <c r="X395" s="7"/>
      <c r="Y395" s="7"/>
      <c r="Z395" s="7"/>
      <c r="AD395" s="92"/>
      <c r="AE395" s="7"/>
      <c r="AF395" s="144"/>
      <c r="AG395" s="144"/>
      <c r="AH395" s="144"/>
      <c r="AI395" s="144"/>
      <c r="AJ395" s="144"/>
      <c r="AK395" s="7"/>
    </row>
    <row r="396" spans="18:37" s="18" customFormat="1">
      <c r="R396" s="7"/>
      <c r="S396" s="7"/>
      <c r="T396" s="7"/>
      <c r="U396" s="7"/>
      <c r="V396" s="7"/>
      <c r="W396" s="7"/>
      <c r="X396" s="7"/>
      <c r="Y396" s="7"/>
      <c r="Z396" s="7"/>
      <c r="AD396" s="92"/>
      <c r="AE396" s="7"/>
      <c r="AF396" s="144"/>
      <c r="AG396" s="144"/>
      <c r="AH396" s="144"/>
      <c r="AI396" s="144"/>
      <c r="AJ396" s="144"/>
      <c r="AK396" s="7"/>
    </row>
    <row r="397" spans="18:37" s="18" customFormat="1">
      <c r="R397" s="7"/>
      <c r="S397" s="7"/>
      <c r="T397" s="7"/>
      <c r="U397" s="7"/>
      <c r="V397" s="7"/>
      <c r="W397" s="7"/>
      <c r="X397" s="7"/>
      <c r="Y397" s="7"/>
      <c r="Z397" s="7"/>
      <c r="AD397" s="92"/>
      <c r="AE397" s="7"/>
      <c r="AF397" s="144"/>
      <c r="AG397" s="144"/>
      <c r="AH397" s="144"/>
      <c r="AI397" s="144"/>
      <c r="AJ397" s="144"/>
      <c r="AK397" s="7"/>
    </row>
    <row r="398" spans="18:37" s="18" customFormat="1">
      <c r="R398" s="7"/>
      <c r="S398" s="7"/>
      <c r="T398" s="7"/>
      <c r="U398" s="7"/>
      <c r="V398" s="7"/>
      <c r="W398" s="7"/>
      <c r="X398" s="7"/>
      <c r="Y398" s="7"/>
      <c r="Z398" s="7"/>
      <c r="AD398" s="92"/>
      <c r="AE398" s="7"/>
      <c r="AF398" s="144"/>
      <c r="AG398" s="144"/>
      <c r="AH398" s="144"/>
      <c r="AI398" s="144"/>
      <c r="AJ398" s="144"/>
      <c r="AK398" s="7"/>
    </row>
    <row r="399" spans="18:37" s="18" customFormat="1">
      <c r="R399" s="7"/>
      <c r="S399" s="7"/>
      <c r="T399" s="7"/>
      <c r="U399" s="7"/>
      <c r="V399" s="7"/>
      <c r="W399" s="7"/>
      <c r="X399" s="7"/>
      <c r="Y399" s="7"/>
      <c r="Z399" s="7"/>
      <c r="AD399" s="92"/>
      <c r="AE399" s="7"/>
      <c r="AF399" s="144"/>
      <c r="AG399" s="144"/>
      <c r="AH399" s="144"/>
      <c r="AI399" s="144"/>
      <c r="AJ399" s="144"/>
      <c r="AK399" s="7"/>
    </row>
    <row r="400" spans="18:37" s="18" customFormat="1">
      <c r="R400" s="7"/>
      <c r="S400" s="7"/>
      <c r="T400" s="7"/>
      <c r="U400" s="7"/>
      <c r="V400" s="7"/>
      <c r="W400" s="7"/>
      <c r="X400" s="7"/>
      <c r="Y400" s="7"/>
      <c r="Z400" s="7"/>
      <c r="AD400" s="92"/>
      <c r="AE400" s="7"/>
      <c r="AF400" s="144"/>
      <c r="AG400" s="144"/>
      <c r="AH400" s="144"/>
      <c r="AI400" s="144"/>
      <c r="AJ400" s="144"/>
      <c r="AK400" s="7"/>
    </row>
    <row r="401" spans="18:37" s="18" customFormat="1">
      <c r="R401" s="7"/>
      <c r="S401" s="7"/>
      <c r="T401" s="7"/>
      <c r="U401" s="7"/>
      <c r="V401" s="7"/>
      <c r="W401" s="7"/>
      <c r="X401" s="7"/>
      <c r="Y401" s="7"/>
      <c r="Z401" s="7"/>
      <c r="AD401" s="92"/>
      <c r="AE401" s="7"/>
      <c r="AF401" s="144"/>
      <c r="AG401" s="144"/>
      <c r="AH401" s="144"/>
      <c r="AI401" s="144"/>
      <c r="AJ401" s="144"/>
      <c r="AK401" s="7"/>
    </row>
    <row r="402" spans="18:37" s="18" customFormat="1">
      <c r="R402" s="7"/>
      <c r="S402" s="7"/>
      <c r="T402" s="7"/>
      <c r="U402" s="7"/>
      <c r="V402" s="7"/>
      <c r="W402" s="7"/>
      <c r="X402" s="7"/>
      <c r="Y402" s="7"/>
      <c r="Z402" s="7"/>
      <c r="AD402" s="92"/>
      <c r="AE402" s="7"/>
      <c r="AF402" s="144"/>
      <c r="AG402" s="144"/>
      <c r="AH402" s="144"/>
      <c r="AI402" s="144"/>
      <c r="AJ402" s="144"/>
      <c r="AK402" s="7"/>
    </row>
    <row r="403" spans="18:37" s="18" customFormat="1">
      <c r="R403" s="7"/>
      <c r="S403" s="7"/>
      <c r="T403" s="7"/>
      <c r="U403" s="7"/>
      <c r="V403" s="7"/>
      <c r="W403" s="7"/>
      <c r="X403" s="7"/>
      <c r="Y403" s="7"/>
      <c r="Z403" s="7"/>
      <c r="AD403" s="92"/>
      <c r="AE403" s="7"/>
      <c r="AF403" s="144"/>
      <c r="AG403" s="144"/>
      <c r="AH403" s="144"/>
      <c r="AI403" s="144"/>
      <c r="AJ403" s="144"/>
      <c r="AK403" s="7"/>
    </row>
    <row r="404" spans="18:37" s="18" customFormat="1">
      <c r="R404" s="7"/>
      <c r="S404" s="7"/>
      <c r="T404" s="7"/>
      <c r="U404" s="7"/>
      <c r="V404" s="7"/>
      <c r="W404" s="7"/>
      <c r="X404" s="7"/>
      <c r="Y404" s="7"/>
      <c r="Z404" s="7"/>
      <c r="AD404" s="92"/>
      <c r="AE404" s="7"/>
      <c r="AF404" s="144"/>
      <c r="AG404" s="144"/>
      <c r="AH404" s="144"/>
      <c r="AI404" s="144"/>
      <c r="AJ404" s="144"/>
      <c r="AK404" s="7"/>
    </row>
    <row r="405" spans="18:37" s="18" customFormat="1">
      <c r="R405" s="7"/>
      <c r="S405" s="7"/>
      <c r="T405" s="7"/>
      <c r="U405" s="7"/>
      <c r="V405" s="7"/>
      <c r="W405" s="7"/>
      <c r="X405" s="7"/>
      <c r="Y405" s="7"/>
      <c r="Z405" s="7"/>
      <c r="AD405" s="92"/>
      <c r="AE405" s="7"/>
      <c r="AF405" s="144"/>
      <c r="AG405" s="144"/>
      <c r="AH405" s="144"/>
      <c r="AI405" s="144"/>
      <c r="AJ405" s="144"/>
      <c r="AK405" s="7"/>
    </row>
    <row r="406" spans="18:37" s="18" customFormat="1">
      <c r="R406" s="7"/>
      <c r="S406" s="7"/>
      <c r="T406" s="7"/>
      <c r="U406" s="7"/>
      <c r="V406" s="7"/>
      <c r="W406" s="7"/>
      <c r="X406" s="7"/>
      <c r="Y406" s="7"/>
      <c r="Z406" s="7"/>
      <c r="AD406" s="92"/>
      <c r="AE406" s="7"/>
      <c r="AF406" s="144"/>
      <c r="AG406" s="144"/>
      <c r="AH406" s="144"/>
      <c r="AI406" s="144"/>
      <c r="AJ406" s="144"/>
      <c r="AK406" s="7"/>
    </row>
    <row r="407" spans="18:37" s="18" customFormat="1">
      <c r="R407" s="7"/>
      <c r="S407" s="7"/>
      <c r="T407" s="7"/>
      <c r="U407" s="7"/>
      <c r="V407" s="7"/>
      <c r="W407" s="7"/>
      <c r="X407" s="7"/>
      <c r="Y407" s="7"/>
      <c r="Z407" s="7"/>
      <c r="AD407" s="92"/>
      <c r="AE407" s="7"/>
      <c r="AF407" s="144"/>
      <c r="AG407" s="144"/>
      <c r="AH407" s="144"/>
      <c r="AI407" s="144"/>
      <c r="AJ407" s="144"/>
      <c r="AK407" s="7"/>
    </row>
    <row r="408" spans="18:37" s="18" customFormat="1">
      <c r="R408" s="7"/>
      <c r="S408" s="7"/>
      <c r="T408" s="7"/>
      <c r="U408" s="7"/>
      <c r="V408" s="7"/>
      <c r="W408" s="7"/>
      <c r="X408" s="7"/>
      <c r="Y408" s="7"/>
      <c r="Z408" s="7"/>
      <c r="AD408" s="92"/>
      <c r="AE408" s="7"/>
      <c r="AF408" s="144"/>
      <c r="AG408" s="144"/>
      <c r="AH408" s="144"/>
      <c r="AI408" s="144"/>
      <c r="AJ408" s="144"/>
      <c r="AK408" s="7"/>
    </row>
    <row r="409" spans="18:37" s="18" customFormat="1">
      <c r="R409" s="7"/>
      <c r="S409" s="7"/>
      <c r="T409" s="7"/>
      <c r="U409" s="7"/>
      <c r="V409" s="7"/>
      <c r="W409" s="7"/>
      <c r="X409" s="7"/>
      <c r="Y409" s="7"/>
      <c r="Z409" s="7"/>
      <c r="AD409" s="92"/>
      <c r="AE409" s="7"/>
      <c r="AF409" s="144"/>
      <c r="AG409" s="144"/>
      <c r="AH409" s="144"/>
      <c r="AI409" s="144"/>
      <c r="AJ409" s="144"/>
      <c r="AK409" s="7"/>
    </row>
    <row r="410" spans="18:37" s="18" customFormat="1">
      <c r="R410" s="7"/>
      <c r="S410" s="7"/>
      <c r="T410" s="7"/>
      <c r="U410" s="7"/>
      <c r="V410" s="7"/>
      <c r="W410" s="7"/>
      <c r="X410" s="7"/>
      <c r="Y410" s="7"/>
      <c r="Z410" s="7"/>
      <c r="AD410" s="92"/>
      <c r="AE410" s="7"/>
      <c r="AF410" s="144"/>
      <c r="AG410" s="144"/>
      <c r="AH410" s="144"/>
      <c r="AI410" s="144"/>
      <c r="AJ410" s="144"/>
      <c r="AK410" s="7"/>
    </row>
    <row r="411" spans="18:37" s="18" customFormat="1">
      <c r="R411" s="7"/>
      <c r="S411" s="7"/>
      <c r="T411" s="7"/>
      <c r="U411" s="7"/>
      <c r="V411" s="7"/>
      <c r="W411" s="7"/>
      <c r="X411" s="7"/>
      <c r="Y411" s="7"/>
      <c r="Z411" s="7"/>
      <c r="AD411" s="92"/>
      <c r="AE411" s="7"/>
      <c r="AF411" s="144"/>
      <c r="AG411" s="144"/>
      <c r="AH411" s="144"/>
      <c r="AI411" s="144"/>
      <c r="AJ411" s="144"/>
      <c r="AK411" s="7"/>
    </row>
    <row r="412" spans="18:37" s="18" customFormat="1">
      <c r="R412" s="7"/>
      <c r="S412" s="7"/>
      <c r="T412" s="7"/>
      <c r="U412" s="7"/>
      <c r="V412" s="7"/>
      <c r="W412" s="7"/>
      <c r="X412" s="7"/>
      <c r="Y412" s="7"/>
      <c r="Z412" s="7"/>
      <c r="AD412" s="92"/>
      <c r="AE412" s="7"/>
      <c r="AF412" s="144"/>
      <c r="AG412" s="144"/>
      <c r="AH412" s="144"/>
      <c r="AI412" s="144"/>
      <c r="AJ412" s="144"/>
      <c r="AK412" s="7"/>
    </row>
    <row r="413" spans="18:37" s="18" customFormat="1">
      <c r="R413" s="7"/>
      <c r="S413" s="7"/>
      <c r="T413" s="7"/>
      <c r="U413" s="7"/>
      <c r="V413" s="7"/>
      <c r="W413" s="7"/>
      <c r="X413" s="7"/>
      <c r="Y413" s="7"/>
      <c r="Z413" s="7"/>
      <c r="AD413" s="92"/>
      <c r="AE413" s="7"/>
      <c r="AF413" s="144"/>
      <c r="AG413" s="144"/>
      <c r="AH413" s="144"/>
      <c r="AI413" s="144"/>
      <c r="AJ413" s="144"/>
      <c r="AK413" s="7"/>
    </row>
    <row r="414" spans="18:37" s="18" customFormat="1">
      <c r="R414" s="7"/>
      <c r="S414" s="7"/>
      <c r="T414" s="7"/>
      <c r="U414" s="7"/>
      <c r="V414" s="7"/>
      <c r="W414" s="7"/>
      <c r="X414" s="7"/>
      <c r="Y414" s="7"/>
      <c r="Z414" s="7"/>
      <c r="AD414" s="92"/>
      <c r="AE414" s="7"/>
      <c r="AF414" s="144"/>
      <c r="AG414" s="144"/>
      <c r="AH414" s="144"/>
      <c r="AI414" s="144"/>
      <c r="AJ414" s="144"/>
      <c r="AK414" s="7"/>
    </row>
    <row r="415" spans="18:37" s="18" customFormat="1">
      <c r="R415" s="7"/>
      <c r="S415" s="7"/>
      <c r="T415" s="7"/>
      <c r="U415" s="7"/>
      <c r="V415" s="7"/>
      <c r="W415" s="7"/>
      <c r="X415" s="7"/>
      <c r="Y415" s="7"/>
      <c r="Z415" s="7"/>
      <c r="AD415" s="92"/>
      <c r="AE415" s="7"/>
      <c r="AF415" s="144"/>
      <c r="AG415" s="144"/>
      <c r="AH415" s="144"/>
      <c r="AI415" s="144"/>
      <c r="AJ415" s="144"/>
      <c r="AK415" s="7"/>
    </row>
    <row r="416" spans="18:37" s="18" customFormat="1">
      <c r="R416" s="7"/>
      <c r="S416" s="7"/>
      <c r="T416" s="7"/>
      <c r="U416" s="7"/>
      <c r="V416" s="7"/>
      <c r="W416" s="7"/>
      <c r="X416" s="7"/>
      <c r="Y416" s="7"/>
      <c r="Z416" s="7"/>
      <c r="AD416" s="92"/>
      <c r="AE416" s="7"/>
      <c r="AF416" s="144"/>
      <c r="AG416" s="144"/>
      <c r="AH416" s="144"/>
      <c r="AI416" s="144"/>
      <c r="AJ416" s="144"/>
      <c r="AK416" s="7"/>
    </row>
    <row r="417" spans="6:60" s="18" customFormat="1">
      <c r="R417" s="7"/>
      <c r="S417" s="7"/>
      <c r="T417" s="7"/>
      <c r="U417" s="7"/>
      <c r="V417" s="7"/>
      <c r="W417" s="7"/>
      <c r="X417" s="7"/>
      <c r="Y417" s="7"/>
      <c r="Z417" s="7"/>
      <c r="AD417" s="92"/>
      <c r="AE417" s="7"/>
      <c r="AF417" s="144"/>
      <c r="AG417" s="144"/>
      <c r="AH417" s="144"/>
      <c r="AI417" s="144"/>
      <c r="AJ417" s="144"/>
      <c r="AK417" s="7"/>
    </row>
    <row r="418" spans="6:60" s="18" customFormat="1">
      <c r="R418" s="7"/>
      <c r="S418" s="7"/>
      <c r="T418" s="7"/>
      <c r="U418" s="7"/>
      <c r="V418" s="7"/>
      <c r="W418" s="7"/>
      <c r="X418" s="7"/>
      <c r="Y418" s="7"/>
      <c r="Z418" s="7"/>
      <c r="AD418" s="92"/>
      <c r="AE418" s="7"/>
      <c r="AF418" s="144"/>
      <c r="AG418" s="144"/>
      <c r="AH418" s="144"/>
      <c r="AI418" s="144"/>
      <c r="AJ418" s="144"/>
      <c r="AK418" s="7"/>
    </row>
    <row r="419" spans="6:60" s="18" customFormat="1">
      <c r="R419" s="7"/>
      <c r="S419" s="7"/>
      <c r="T419" s="7"/>
      <c r="U419" s="7"/>
      <c r="V419" s="7"/>
      <c r="W419" s="7"/>
      <c r="X419" s="7"/>
      <c r="Y419" s="7"/>
      <c r="Z419" s="7"/>
      <c r="AD419" s="92"/>
      <c r="AE419" s="7"/>
      <c r="AF419" s="144"/>
      <c r="AG419" s="144"/>
      <c r="AH419" s="144"/>
      <c r="AI419" s="144"/>
      <c r="AJ419" s="144"/>
      <c r="AK419" s="7"/>
    </row>
    <row r="420" spans="6:60" s="18" customFormat="1">
      <c r="R420" s="7"/>
      <c r="S420" s="7"/>
      <c r="T420" s="7"/>
      <c r="U420" s="7"/>
      <c r="V420" s="7"/>
      <c r="W420" s="7"/>
      <c r="X420" s="7"/>
      <c r="Y420" s="7"/>
      <c r="Z420" s="7"/>
      <c r="AD420" s="92"/>
      <c r="AE420" s="7"/>
      <c r="AF420" s="144"/>
      <c r="AG420" s="144"/>
      <c r="AH420" s="144"/>
      <c r="AI420" s="144"/>
      <c r="AJ420" s="144"/>
      <c r="AK420" s="7"/>
    </row>
    <row r="421" spans="6:60" s="18" customFormat="1">
      <c r="R421" s="7"/>
      <c r="S421" s="7"/>
      <c r="T421" s="7"/>
      <c r="U421" s="7"/>
      <c r="V421" s="7"/>
      <c r="W421" s="7"/>
      <c r="X421" s="7"/>
      <c r="Y421" s="7"/>
      <c r="Z421" s="7"/>
      <c r="AD421" s="92"/>
      <c r="AE421" s="7"/>
      <c r="AF421" s="144"/>
      <c r="AG421" s="144"/>
      <c r="AH421" s="144"/>
      <c r="AI421" s="144"/>
      <c r="AJ421" s="144"/>
      <c r="AK421" s="7"/>
    </row>
    <row r="422" spans="6:60" s="18" customFormat="1">
      <c r="R422" s="7"/>
      <c r="S422" s="7"/>
      <c r="T422" s="7"/>
      <c r="U422" s="7"/>
      <c r="V422" s="7"/>
      <c r="W422" s="7"/>
      <c r="X422" s="7"/>
      <c r="Y422" s="7"/>
      <c r="Z422" s="7"/>
      <c r="AD422" s="92"/>
      <c r="AE422" s="7"/>
      <c r="AF422" s="144"/>
      <c r="AG422" s="144"/>
      <c r="AH422" s="144"/>
      <c r="AI422" s="144"/>
      <c r="AJ422" s="144"/>
      <c r="AK422" s="7"/>
    </row>
    <row r="423" spans="6:60" s="18" customFormat="1">
      <c r="R423" s="7"/>
      <c r="S423" s="7"/>
      <c r="T423" s="7"/>
      <c r="U423" s="7"/>
      <c r="V423" s="7"/>
      <c r="W423" s="7"/>
      <c r="X423" s="7"/>
      <c r="Y423" s="7"/>
      <c r="Z423" s="7"/>
      <c r="AD423" s="92"/>
      <c r="AE423" s="7"/>
      <c r="AF423" s="144"/>
      <c r="AG423" s="144"/>
      <c r="AH423" s="144"/>
      <c r="AI423" s="144"/>
      <c r="AJ423" s="144"/>
      <c r="AK423" s="7"/>
    </row>
    <row r="424" spans="6:60" s="18" customFormat="1">
      <c r="R424" s="7"/>
      <c r="S424" s="7"/>
      <c r="T424" s="7"/>
      <c r="U424" s="7"/>
      <c r="V424" s="7"/>
      <c r="W424" s="7"/>
      <c r="X424" s="7"/>
      <c r="Y424" s="7"/>
      <c r="Z424" s="7"/>
      <c r="AD424" s="92"/>
      <c r="AE424" s="7"/>
      <c r="AF424" s="144"/>
      <c r="AG424" s="144"/>
      <c r="AH424" s="144"/>
      <c r="AI424" s="144"/>
      <c r="AJ424" s="144"/>
      <c r="AK424" s="7"/>
    </row>
    <row r="425" spans="6:60" s="18" customFormat="1">
      <c r="R425" s="7"/>
      <c r="S425" s="7"/>
      <c r="T425" s="7"/>
      <c r="U425" s="7"/>
      <c r="V425" s="7"/>
      <c r="W425" s="7"/>
      <c r="X425" s="7"/>
      <c r="Y425" s="7"/>
      <c r="Z425" s="7"/>
      <c r="AD425" s="92"/>
      <c r="AE425" s="7"/>
      <c r="AF425" s="144"/>
      <c r="AG425" s="144"/>
      <c r="AH425" s="144"/>
      <c r="AI425" s="144"/>
      <c r="AJ425" s="144"/>
      <c r="AK425" s="7"/>
    </row>
    <row r="426" spans="6:60" s="18" customFormat="1">
      <c r="R426" s="7"/>
      <c r="S426" s="7"/>
      <c r="T426" s="7"/>
      <c r="U426" s="7"/>
      <c r="V426" s="7"/>
      <c r="W426" s="7"/>
      <c r="X426" s="7"/>
      <c r="Y426" s="7"/>
      <c r="Z426" s="7"/>
      <c r="AD426" s="92"/>
      <c r="AE426" s="7"/>
      <c r="AF426" s="144"/>
      <c r="AG426" s="144"/>
      <c r="AH426" s="144"/>
      <c r="AI426" s="144"/>
      <c r="AJ426" s="144"/>
      <c r="AK426" s="7"/>
    </row>
    <row r="427" spans="6:60" s="18" customFormat="1">
      <c r="R427" s="7"/>
      <c r="S427" s="7"/>
      <c r="T427" s="7"/>
      <c r="U427" s="7"/>
      <c r="V427" s="7"/>
      <c r="W427" s="7"/>
      <c r="X427" s="7"/>
      <c r="Y427" s="7"/>
      <c r="Z427" s="7"/>
      <c r="AD427" s="92"/>
      <c r="AE427" s="7"/>
      <c r="AF427" s="144"/>
      <c r="AG427" s="144"/>
      <c r="AH427" s="144"/>
      <c r="AI427" s="144"/>
      <c r="AJ427" s="144"/>
      <c r="AK427" s="7"/>
    </row>
    <row r="428" spans="6:60" s="18" customFormat="1">
      <c r="R428" s="7"/>
      <c r="S428" s="7"/>
      <c r="T428" s="7"/>
      <c r="U428" s="7"/>
      <c r="V428" s="7"/>
      <c r="W428" s="7"/>
      <c r="X428" s="7"/>
      <c r="Y428" s="7"/>
      <c r="Z428" s="7"/>
      <c r="AD428" s="92"/>
      <c r="AE428" s="7"/>
      <c r="AF428" s="144"/>
      <c r="AG428" s="144"/>
      <c r="AH428" s="144"/>
      <c r="AI428" s="144"/>
      <c r="AJ428" s="144"/>
      <c r="AK428" s="7"/>
    </row>
    <row r="429" spans="6:60" s="18" customFormat="1">
      <c r="R429" s="7"/>
      <c r="S429" s="7"/>
      <c r="T429" s="7"/>
      <c r="U429" s="7"/>
      <c r="V429" s="7"/>
      <c r="W429" s="7"/>
      <c r="X429" s="7"/>
      <c r="Y429" s="7"/>
      <c r="Z429" s="7"/>
      <c r="AD429" s="92"/>
      <c r="AE429" s="7"/>
      <c r="AF429" s="144"/>
      <c r="AG429" s="144"/>
      <c r="AH429" s="144"/>
      <c r="AI429" s="144"/>
      <c r="AJ429" s="144"/>
      <c r="AK429" s="7"/>
    </row>
    <row r="430" spans="6:60" s="18" customFormat="1">
      <c r="R430" s="7"/>
      <c r="S430" s="7"/>
      <c r="T430" s="7"/>
      <c r="U430" s="7"/>
      <c r="V430" s="7"/>
      <c r="W430" s="7"/>
      <c r="X430" s="7"/>
      <c r="Y430" s="7"/>
      <c r="Z430" s="7"/>
      <c r="AD430" s="92"/>
      <c r="AE430" s="7"/>
      <c r="AF430" s="144"/>
      <c r="AG430" s="144"/>
      <c r="AH430" s="144"/>
      <c r="AI430" s="144"/>
      <c r="AJ430" s="144"/>
      <c r="AK430" s="7"/>
    </row>
    <row r="431" spans="6:60" s="18" customFormat="1">
      <c r="R431" s="7"/>
      <c r="S431" s="7"/>
      <c r="T431" s="7"/>
      <c r="U431" s="7"/>
      <c r="V431" s="7"/>
      <c r="W431" s="7"/>
      <c r="X431" s="7"/>
      <c r="Y431" s="7"/>
      <c r="Z431" s="7"/>
      <c r="AD431" s="92"/>
      <c r="AE431" s="7"/>
      <c r="AF431" s="144"/>
      <c r="AG431" s="144"/>
      <c r="AH431" s="144"/>
      <c r="AI431" s="144"/>
      <c r="AJ431" s="144"/>
      <c r="AK431" s="7"/>
    </row>
    <row r="432" spans="6:60" s="18" customFormat="1">
      <c r="F432"/>
      <c r="G432"/>
      <c r="H432"/>
      <c r="I432"/>
      <c r="J432"/>
      <c r="K432"/>
      <c r="L432"/>
      <c r="M432"/>
      <c r="N432"/>
      <c r="O432"/>
      <c r="P432"/>
      <c r="Q432"/>
      <c r="R432" s="7"/>
      <c r="S432" s="7"/>
      <c r="T432" s="7"/>
      <c r="U432" s="7"/>
      <c r="V432" s="7"/>
      <c r="W432" s="7"/>
      <c r="X432" s="7"/>
      <c r="Y432" s="7"/>
      <c r="Z432" s="7"/>
      <c r="AA432"/>
      <c r="AB432"/>
      <c r="AC432"/>
      <c r="AD432" s="28"/>
      <c r="AE432" s="7"/>
      <c r="AF432" s="144"/>
      <c r="AG432" s="144"/>
      <c r="AH432" s="144"/>
      <c r="AI432" s="144"/>
      <c r="AJ432" s="144"/>
      <c r="AK432" s="7"/>
      <c r="BH432"/>
    </row>
    <row r="433" spans="1:47">
      <c r="A433" s="18"/>
      <c r="C433" s="18"/>
      <c r="D433" s="18"/>
      <c r="U433" s="9"/>
      <c r="V433" s="10"/>
      <c r="W433" s="10"/>
      <c r="X433" s="10"/>
      <c r="Y433" s="10"/>
      <c r="Z433" s="10"/>
      <c r="AA433" s="10"/>
      <c r="AB433" s="7"/>
      <c r="AC433" s="7"/>
      <c r="AF433" s="144"/>
      <c r="AG433" s="144"/>
      <c r="AH433" s="144"/>
      <c r="AI433" s="144"/>
      <c r="AJ433" s="144"/>
      <c r="AK433" s="7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</row>
    <row r="434" spans="1:47">
      <c r="C434" s="18"/>
      <c r="D434" s="18"/>
      <c r="U434" s="9"/>
      <c r="V434" s="10"/>
      <c r="W434" s="10"/>
      <c r="X434" s="10"/>
      <c r="Y434" s="10"/>
      <c r="Z434" s="10"/>
      <c r="AA434" s="10"/>
      <c r="AB434" s="7"/>
      <c r="AC434" s="7"/>
      <c r="AH434" s="144"/>
      <c r="AI434" s="144"/>
      <c r="AJ434" s="144"/>
      <c r="AK434" s="7"/>
      <c r="AL434" s="7"/>
      <c r="AM434" s="7"/>
      <c r="AN434" s="7"/>
      <c r="AO434" s="7"/>
      <c r="AP434" s="7"/>
      <c r="AQ434" s="7"/>
      <c r="AR434" s="7"/>
      <c r="AS434" s="7"/>
    </row>
    <row r="435" spans="1:47">
      <c r="C435" s="18"/>
      <c r="D435" s="18"/>
      <c r="U435" s="9"/>
      <c r="V435" s="10"/>
      <c r="W435" s="10"/>
      <c r="X435" s="10"/>
      <c r="Y435" s="10"/>
      <c r="Z435" s="10"/>
      <c r="AA435" s="10"/>
      <c r="AB435" s="7"/>
      <c r="AC435" s="7"/>
      <c r="AL435" s="7"/>
      <c r="AM435" s="7"/>
      <c r="AN435" s="7"/>
      <c r="AO435" s="7"/>
      <c r="AP435" s="7"/>
      <c r="AQ435" s="7"/>
      <c r="AR435" s="7"/>
      <c r="AS435" s="7"/>
    </row>
    <row r="436" spans="1:47">
      <c r="C436" s="18"/>
      <c r="D436" s="18"/>
      <c r="U436" s="9"/>
      <c r="V436" s="11"/>
      <c r="W436" s="12"/>
      <c r="X436" s="12"/>
      <c r="Y436" s="12"/>
      <c r="Z436" s="11"/>
      <c r="AA436" s="10"/>
      <c r="AB436" s="7"/>
      <c r="AC436" s="7"/>
      <c r="AL436" s="7"/>
      <c r="AM436" s="15"/>
      <c r="AN436" s="15"/>
      <c r="AO436" s="15"/>
      <c r="AP436" s="15"/>
      <c r="AQ436" s="15"/>
      <c r="AR436" s="15"/>
      <c r="AS436" s="7"/>
    </row>
    <row r="437" spans="1:47">
      <c r="C437" s="18"/>
      <c r="D437" s="18"/>
      <c r="U437" s="9"/>
      <c r="V437" s="11"/>
      <c r="W437" s="12"/>
      <c r="X437" s="12"/>
      <c r="Y437" s="12"/>
      <c r="Z437" s="11"/>
      <c r="AA437" s="10"/>
      <c r="AB437" s="7"/>
      <c r="AC437" s="7"/>
      <c r="AL437" s="7"/>
      <c r="AM437" s="16"/>
      <c r="AN437" s="16"/>
      <c r="AO437" s="16"/>
      <c r="AP437" s="16"/>
      <c r="AQ437" s="16"/>
      <c r="AR437" s="16"/>
      <c r="AS437" s="7"/>
    </row>
    <row r="438" spans="1:47">
      <c r="C438" s="18"/>
      <c r="D438" s="18"/>
      <c r="U438" s="9"/>
      <c r="V438" s="11"/>
      <c r="W438" s="12"/>
      <c r="X438" s="12"/>
      <c r="Y438" s="12"/>
      <c r="Z438" s="11"/>
      <c r="AA438" s="10"/>
      <c r="AB438" s="7"/>
      <c r="AC438" s="13"/>
    </row>
    <row r="439" spans="1:47">
      <c r="C439" s="18"/>
      <c r="D439" s="18"/>
      <c r="U439" s="9"/>
      <c r="V439" s="11"/>
      <c r="W439" s="12"/>
      <c r="X439" s="12"/>
      <c r="Y439" s="12"/>
      <c r="Z439" s="11"/>
      <c r="AA439" s="10"/>
      <c r="AB439" s="7"/>
      <c r="AC439" s="7"/>
    </row>
    <row r="440" spans="1:47">
      <c r="C440" s="18"/>
      <c r="D440" s="18"/>
      <c r="U440" s="9"/>
      <c r="V440" s="11"/>
      <c r="W440" s="12"/>
      <c r="X440" s="12"/>
      <c r="Y440" s="12"/>
      <c r="Z440" s="11"/>
      <c r="AA440" s="10"/>
      <c r="AB440" s="7"/>
      <c r="AC440" s="7"/>
    </row>
    <row r="441" spans="1:47">
      <c r="C441" s="18"/>
      <c r="D441" s="18"/>
      <c r="U441" s="9"/>
      <c r="V441" s="10"/>
      <c r="W441" s="10"/>
      <c r="X441" s="10"/>
      <c r="Y441" s="10"/>
      <c r="Z441" s="10"/>
      <c r="AA441" s="10"/>
      <c r="AB441" s="7"/>
      <c r="AC441" s="7"/>
    </row>
    <row r="442" spans="1:47">
      <c r="C442" s="18"/>
      <c r="D442" s="18"/>
      <c r="U442" s="9"/>
      <c r="V442" s="10"/>
      <c r="W442" s="10"/>
      <c r="X442" s="10"/>
      <c r="Y442" s="10"/>
      <c r="Z442" s="10"/>
      <c r="AA442" s="10"/>
      <c r="AB442" s="7"/>
      <c r="AC442" s="7"/>
    </row>
    <row r="443" spans="1:47">
      <c r="C443" s="18"/>
      <c r="D443" s="18"/>
      <c r="U443" s="7"/>
      <c r="V443" s="7"/>
      <c r="W443" s="7"/>
      <c r="X443" s="7"/>
      <c r="Y443" s="7"/>
      <c r="Z443" s="7"/>
      <c r="AA443" s="7"/>
      <c r="AB443" s="7"/>
      <c r="AC443" s="7"/>
    </row>
    <row r="444" spans="1:47">
      <c r="C444" s="18"/>
      <c r="D444" s="18"/>
      <c r="U444" s="7"/>
      <c r="V444" s="7"/>
      <c r="W444" s="7"/>
      <c r="X444" s="7"/>
      <c r="Y444" s="7"/>
      <c r="Z444" s="7"/>
      <c r="AA444" s="7"/>
      <c r="AB444" s="7"/>
      <c r="AC444" s="7"/>
    </row>
    <row r="445" spans="1:47">
      <c r="C445" s="18"/>
      <c r="D445" s="18"/>
      <c r="U445" s="7"/>
      <c r="V445" s="7"/>
      <c r="W445" s="7"/>
      <c r="X445" s="7"/>
      <c r="Y445" s="7"/>
      <c r="Z445" s="7"/>
      <c r="AA445" s="7"/>
      <c r="AB445" s="7"/>
      <c r="AC445" s="7"/>
    </row>
    <row r="446" spans="1:47">
      <c r="C446" s="18"/>
      <c r="D446" s="18"/>
      <c r="U446" s="7"/>
      <c r="V446" s="7"/>
      <c r="W446" s="7"/>
      <c r="X446" s="7"/>
      <c r="Y446" s="7"/>
      <c r="Z446" s="7"/>
      <c r="AA446" s="7"/>
      <c r="AB446" s="7"/>
      <c r="AC446" s="7"/>
    </row>
    <row r="447" spans="1:47">
      <c r="C447" s="18"/>
      <c r="D447" s="18"/>
      <c r="U447" s="7"/>
      <c r="V447" s="7"/>
      <c r="W447" s="7"/>
      <c r="X447" s="7"/>
      <c r="Y447" s="7"/>
      <c r="Z447" s="7"/>
      <c r="AA447" s="7"/>
      <c r="AB447" s="7"/>
      <c r="AC447" s="7"/>
    </row>
    <row r="448" spans="1:47">
      <c r="C448" s="18"/>
      <c r="D448" s="18"/>
      <c r="U448" s="7"/>
      <c r="V448" s="7"/>
      <c r="W448" s="7"/>
      <c r="X448" s="7"/>
      <c r="Y448" s="7"/>
      <c r="Z448" s="7"/>
      <c r="AA448" s="7"/>
      <c r="AB448" s="7"/>
      <c r="AC448" s="7"/>
    </row>
    <row r="449" spans="3:24">
      <c r="C449" s="18"/>
      <c r="D449" s="18"/>
      <c r="W449"/>
      <c r="X449"/>
    </row>
    <row r="450" spans="3:24">
      <c r="C450" s="18"/>
      <c r="D450" s="18"/>
      <c r="W450"/>
      <c r="X450"/>
    </row>
    <row r="451" spans="3:24">
      <c r="C451" s="18"/>
      <c r="D451" s="18"/>
      <c r="W451"/>
      <c r="X451"/>
    </row>
    <row r="452" spans="3:24">
      <c r="C452" s="18"/>
      <c r="D452" s="18"/>
      <c r="W452"/>
      <c r="X452"/>
    </row>
    <row r="453" spans="3:24">
      <c r="C453" s="18"/>
      <c r="D453" s="18"/>
      <c r="W453"/>
      <c r="X453"/>
    </row>
    <row r="454" spans="3:24">
      <c r="C454" s="18"/>
      <c r="D454" s="18"/>
      <c r="W454"/>
      <c r="X454"/>
    </row>
    <row r="455" spans="3:24">
      <c r="C455" s="18"/>
      <c r="D455" s="18"/>
      <c r="W455"/>
      <c r="X455"/>
    </row>
    <row r="456" spans="3:24">
      <c r="C456" s="18"/>
      <c r="D456" s="18"/>
      <c r="W456"/>
      <c r="X456"/>
    </row>
    <row r="457" spans="3:24">
      <c r="C457" s="18"/>
      <c r="D457" s="18"/>
      <c r="W457"/>
      <c r="X457"/>
    </row>
    <row r="458" spans="3:24">
      <c r="C458" s="18"/>
      <c r="D458" s="18"/>
      <c r="W458"/>
      <c r="X458"/>
    </row>
    <row r="459" spans="3:24">
      <c r="C459" s="18"/>
      <c r="D459" s="18"/>
      <c r="W459"/>
      <c r="X459"/>
    </row>
    <row r="460" spans="3:24">
      <c r="C460" s="18"/>
      <c r="D460" s="18"/>
      <c r="W460"/>
      <c r="X460"/>
    </row>
    <row r="461" spans="3:24">
      <c r="C461" s="18"/>
      <c r="D461" s="18"/>
      <c r="W461"/>
      <c r="X461"/>
    </row>
    <row r="462" spans="3:24">
      <c r="C462" s="18"/>
      <c r="D462" s="18"/>
      <c r="W462"/>
      <c r="X462"/>
    </row>
    <row r="463" spans="3:24">
      <c r="C463" s="18"/>
      <c r="D463" s="18"/>
      <c r="W463"/>
      <c r="X463"/>
    </row>
    <row r="464" spans="3:24">
      <c r="C464" s="18"/>
      <c r="D464" s="18"/>
      <c r="W464"/>
      <c r="X464"/>
    </row>
    <row r="465" spans="3:24">
      <c r="C465" s="18"/>
      <c r="D465" s="18"/>
      <c r="W465"/>
      <c r="X465"/>
    </row>
    <row r="466" spans="3:24">
      <c r="C466" s="18"/>
      <c r="D466" s="18"/>
      <c r="W466"/>
      <c r="X466"/>
    </row>
    <row r="467" spans="3:24">
      <c r="C467" s="18"/>
      <c r="D467" s="18"/>
      <c r="W467"/>
      <c r="X467"/>
    </row>
    <row r="468" spans="3:24">
      <c r="C468" s="18"/>
      <c r="D468" s="18"/>
      <c r="W468"/>
      <c r="X468"/>
    </row>
    <row r="469" spans="3:24">
      <c r="C469" s="18"/>
      <c r="D469" s="18"/>
      <c r="W469"/>
      <c r="X469"/>
    </row>
    <row r="470" spans="3:24">
      <c r="C470" s="18"/>
      <c r="D470" s="18"/>
      <c r="W470"/>
      <c r="X470"/>
    </row>
    <row r="471" spans="3:24">
      <c r="C471" s="18"/>
      <c r="D471" s="18"/>
      <c r="W471"/>
      <c r="X471"/>
    </row>
    <row r="472" spans="3:24">
      <c r="C472" s="18"/>
      <c r="D472" s="18"/>
      <c r="W472"/>
      <c r="X472"/>
    </row>
    <row r="473" spans="3:24">
      <c r="C473" s="18"/>
      <c r="D473" s="18"/>
      <c r="W473"/>
      <c r="X473"/>
    </row>
    <row r="474" spans="3:24">
      <c r="C474" s="18"/>
      <c r="D474" s="18"/>
      <c r="W474"/>
      <c r="X474"/>
    </row>
    <row r="475" spans="3:24">
      <c r="C475" s="18"/>
      <c r="D475" s="18"/>
      <c r="W475"/>
      <c r="X475"/>
    </row>
    <row r="476" spans="3:24">
      <c r="C476" s="18"/>
      <c r="D476" s="18"/>
    </row>
    <row r="477" spans="3:24">
      <c r="C477" s="18"/>
      <c r="D477" s="18"/>
    </row>
  </sheetData>
  <mergeCells count="1">
    <mergeCell ref="A1:C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Z477"/>
  <sheetViews>
    <sheetView zoomScaleNormal="100" workbookViewId="0">
      <selection activeCell="AX52" sqref="AX52"/>
    </sheetView>
  </sheetViews>
  <sheetFormatPr baseColWidth="10" defaultRowHeight="15"/>
  <cols>
    <col min="1" max="22" width="5.7109375" customWidth="1"/>
    <col min="23" max="24" width="5.7109375" style="18" customWidth="1"/>
    <col min="25" max="78" width="5.7109375" customWidth="1"/>
  </cols>
  <sheetData>
    <row r="1" spans="1:78">
      <c r="A1" s="367" t="s">
        <v>5</v>
      </c>
      <c r="B1" s="367"/>
      <c r="C1" s="367"/>
      <c r="D1" s="29" t="s">
        <v>72</v>
      </c>
      <c r="E1" s="29"/>
      <c r="F1" s="87">
        <f>Stufengrün!AH39</f>
        <v>17</v>
      </c>
      <c r="G1" s="29" t="s">
        <v>71</v>
      </c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</row>
    <row r="2" spans="1:78">
      <c r="A2" s="88" t="s">
        <v>74</v>
      </c>
      <c r="B2" s="88"/>
      <c r="C2" s="216" t="s">
        <v>58</v>
      </c>
      <c r="D2" s="216" t="s">
        <v>59</v>
      </c>
      <c r="E2" s="2" t="s">
        <v>121</v>
      </c>
      <c r="F2" s="216" t="s">
        <v>58</v>
      </c>
      <c r="G2" s="216" t="s">
        <v>59</v>
      </c>
      <c r="H2" s="2" t="s">
        <v>121</v>
      </c>
      <c r="I2" s="216" t="s">
        <v>58</v>
      </c>
      <c r="J2" s="216" t="s">
        <v>59</v>
      </c>
      <c r="K2" s="2" t="s">
        <v>121</v>
      </c>
      <c r="L2" s="216" t="s">
        <v>58</v>
      </c>
      <c r="M2" s="216" t="s">
        <v>59</v>
      </c>
      <c r="N2" s="292" t="s">
        <v>121</v>
      </c>
      <c r="W2"/>
      <c r="X2"/>
      <c r="AG2" s="94"/>
      <c r="AH2" t="s">
        <v>125</v>
      </c>
    </row>
    <row r="3" spans="1:78">
      <c r="C3" s="228">
        <v>-1.1403000000000001</v>
      </c>
      <c r="D3" s="228">
        <v>3.4344999999999999</v>
      </c>
      <c r="E3" s="1">
        <f>SQRT(C3*C3+D3*D3)</f>
        <v>3.6188498642524531</v>
      </c>
      <c r="F3" s="228">
        <v>-1.2450000000000001</v>
      </c>
      <c r="G3" s="228">
        <v>3.5059999999999998</v>
      </c>
      <c r="H3" s="1">
        <f>SQRT(F3*F3+G3*G3)</f>
        <v>3.7204920373520487</v>
      </c>
      <c r="I3" s="228">
        <v>-1.397</v>
      </c>
      <c r="J3" s="228">
        <v>3.6549999999999998</v>
      </c>
      <c r="K3" s="1">
        <f>SQRT(I3*I3+J3*J3)</f>
        <v>3.9128805246263267</v>
      </c>
      <c r="L3" s="228">
        <v>-1.115</v>
      </c>
      <c r="M3" s="228">
        <v>3.4449999999999998</v>
      </c>
      <c r="N3" s="1">
        <f>SQRT(L3*L3+M3*M3)</f>
        <v>3.6209460089871541</v>
      </c>
      <c r="W3"/>
      <c r="X3"/>
      <c r="AG3" s="94"/>
      <c r="AH3" t="s">
        <v>134</v>
      </c>
    </row>
    <row r="4" spans="1:78">
      <c r="C4" s="26" t="s">
        <v>65</v>
      </c>
      <c r="D4" s="26" t="s">
        <v>66</v>
      </c>
      <c r="E4" s="230" t="s">
        <v>24</v>
      </c>
      <c r="F4" s="26" t="s">
        <v>65</v>
      </c>
      <c r="G4" s="26" t="s">
        <v>66</v>
      </c>
      <c r="H4" s="230" t="s">
        <v>24</v>
      </c>
      <c r="I4" s="26" t="s">
        <v>65</v>
      </c>
      <c r="J4" s="26" t="s">
        <v>66</v>
      </c>
      <c r="K4" s="230" t="s">
        <v>24</v>
      </c>
      <c r="L4" s="26" t="s">
        <v>65</v>
      </c>
      <c r="M4" s="26" t="s">
        <v>66</v>
      </c>
      <c r="N4" s="230" t="s">
        <v>24</v>
      </c>
      <c r="W4"/>
      <c r="X4"/>
      <c r="AG4" s="94"/>
      <c r="AH4" t="s">
        <v>122</v>
      </c>
      <c r="BB4" s="1" t="s">
        <v>142</v>
      </c>
      <c r="BL4" s="1" t="s">
        <v>143</v>
      </c>
      <c r="BV4" s="1" t="s">
        <v>144</v>
      </c>
    </row>
    <row r="5" spans="1:78">
      <c r="C5" s="110">
        <v>2</v>
      </c>
      <c r="D5" s="110">
        <v>-2</v>
      </c>
      <c r="E5" s="231">
        <v>4.0238533719196692</v>
      </c>
      <c r="F5" s="2">
        <v>2</v>
      </c>
      <c r="G5" s="2">
        <v>-2</v>
      </c>
      <c r="H5" s="232">
        <v>3.6321285140562223</v>
      </c>
      <c r="I5" s="2">
        <v>2</v>
      </c>
      <c r="J5" s="2">
        <v>-2</v>
      </c>
      <c r="K5" s="233">
        <v>3.2326413743736566</v>
      </c>
      <c r="L5" s="292">
        <v>2</v>
      </c>
      <c r="M5" s="292">
        <v>-2</v>
      </c>
      <c r="N5" s="233">
        <v>4.1790000000000003</v>
      </c>
      <c r="W5"/>
      <c r="X5"/>
      <c r="AG5" s="94"/>
      <c r="AL5" s="379">
        <f>(SUM(AM14:AM21)-SUM(AP14:AP21))/8</f>
        <v>-0.74162499999999953</v>
      </c>
      <c r="AM5" s="380"/>
      <c r="AN5" s="381"/>
      <c r="AP5" s="379">
        <f>(SUM(AS14:AS21)-SUM(AP14:AP21))/8</f>
        <v>0.5963750000000001</v>
      </c>
      <c r="AQ5" s="380"/>
      <c r="AR5" s="381"/>
      <c r="BS5" s="293" t="s">
        <v>153</v>
      </c>
      <c r="BV5" s="293" t="s">
        <v>154</v>
      </c>
      <c r="BY5" s="293" t="s">
        <v>155</v>
      </c>
    </row>
    <row r="6" spans="1:78">
      <c r="C6" s="110">
        <v>1.9657015922689496</v>
      </c>
      <c r="D6" s="110">
        <v>-1.8967416968990323</v>
      </c>
      <c r="E6" s="300" t="s">
        <v>160</v>
      </c>
      <c r="F6" s="2">
        <v>1.9633438141286075</v>
      </c>
      <c r="G6" s="2">
        <v>-1.8968178802628624</v>
      </c>
      <c r="H6" s="301" t="s">
        <v>159</v>
      </c>
      <c r="I6" s="2">
        <v>1.9607392871772793</v>
      </c>
      <c r="J6" s="2">
        <v>-1.897321510063317</v>
      </c>
      <c r="K6" s="302" t="s">
        <v>161</v>
      </c>
      <c r="L6" s="3">
        <v>2</v>
      </c>
      <c r="M6" s="3">
        <v>-2</v>
      </c>
      <c r="N6" s="303" t="s">
        <v>162</v>
      </c>
      <c r="W6"/>
      <c r="X6"/>
      <c r="AG6" s="94"/>
      <c r="AK6" s="392" t="s">
        <v>133</v>
      </c>
      <c r="AL6" s="392"/>
      <c r="AM6" s="392"/>
      <c r="AN6" s="392"/>
      <c r="AO6" s="392"/>
      <c r="AP6" s="392"/>
      <c r="AQ6" s="392"/>
      <c r="AR6" s="392"/>
      <c r="AS6" s="392"/>
      <c r="AT6" s="392"/>
      <c r="AU6" s="392"/>
      <c r="AV6" s="392"/>
      <c r="AX6" s="386" t="s">
        <v>135</v>
      </c>
      <c r="AY6" s="386"/>
      <c r="AZ6" s="386"/>
      <c r="BA6" s="386" t="s">
        <v>136</v>
      </c>
      <c r="BB6" s="386"/>
      <c r="BC6" s="386"/>
      <c r="BD6" s="386" t="s">
        <v>137</v>
      </c>
      <c r="BE6" s="386"/>
      <c r="BF6" s="386"/>
      <c r="BH6" s="386" t="s">
        <v>138</v>
      </c>
      <c r="BI6" s="386"/>
      <c r="BJ6" s="386"/>
      <c r="BK6" s="386" t="s">
        <v>139</v>
      </c>
      <c r="BL6" s="386"/>
      <c r="BM6" s="386"/>
      <c r="BN6" s="386" t="s">
        <v>140</v>
      </c>
      <c r="BO6" s="386"/>
      <c r="BP6" s="386"/>
      <c r="BR6" s="386" t="s">
        <v>145</v>
      </c>
      <c r="BS6" s="386"/>
      <c r="BT6" s="386"/>
      <c r="BU6" s="386" t="s">
        <v>93</v>
      </c>
      <c r="BV6" s="386"/>
      <c r="BW6" s="386"/>
      <c r="BX6" s="386" t="s">
        <v>146</v>
      </c>
      <c r="BY6" s="386"/>
      <c r="BZ6" s="386"/>
    </row>
    <row r="7" spans="1:78">
      <c r="C7" s="110">
        <v>1.931849122406156</v>
      </c>
      <c r="D7" s="110">
        <v>-1.7949168064099099</v>
      </c>
      <c r="F7" s="2">
        <v>1.9271410291579127</v>
      </c>
      <c r="G7" s="2">
        <v>-1.7949991349025642</v>
      </c>
      <c r="I7" s="2">
        <v>1.9219188749606184</v>
      </c>
      <c r="J7" s="2">
        <v>-1.7958739654169773</v>
      </c>
      <c r="L7" s="3">
        <v>1.9666360805194365</v>
      </c>
      <c r="M7" s="3">
        <v>-1.8969614726236912</v>
      </c>
      <c r="W7"/>
      <c r="X7"/>
      <c r="AG7" s="94"/>
      <c r="AI7" s="250"/>
      <c r="AJ7" s="251" t="s">
        <v>126</v>
      </c>
      <c r="AK7" s="387">
        <f t="shared" ref="AK7:AM7" si="0">2*0.438</f>
        <v>0.876</v>
      </c>
      <c r="AL7" s="387">
        <f t="shared" si="0"/>
        <v>0.876</v>
      </c>
      <c r="AM7" s="387">
        <f t="shared" si="0"/>
        <v>0.876</v>
      </c>
      <c r="AN7" s="387">
        <f>2*0.704</f>
        <v>1.4079999999999999</v>
      </c>
      <c r="AO7" s="387">
        <f>2*0.894</f>
        <v>1.788</v>
      </c>
      <c r="AP7" s="387">
        <f>2*1.05</f>
        <v>2.1</v>
      </c>
      <c r="AQ7" s="387">
        <f t="shared" ref="AQ7:AS7" si="1">2*0.894</f>
        <v>1.788</v>
      </c>
      <c r="AR7" s="387">
        <f t="shared" si="1"/>
        <v>1.788</v>
      </c>
      <c r="AS7" s="387">
        <f t="shared" si="1"/>
        <v>1.788</v>
      </c>
      <c r="AT7" s="387">
        <f t="shared" ref="AT7:AV7" si="2">2*1.05</f>
        <v>2.1</v>
      </c>
      <c r="AU7" s="387">
        <f t="shared" si="2"/>
        <v>2.1</v>
      </c>
      <c r="AV7" s="387">
        <f t="shared" si="2"/>
        <v>2.1</v>
      </c>
      <c r="AX7" s="387">
        <f>2*0.905</f>
        <v>1.81</v>
      </c>
      <c r="AY7" s="387"/>
      <c r="AZ7" s="387"/>
      <c r="BA7" s="387">
        <f>2*0.812</f>
        <v>1.6240000000000001</v>
      </c>
      <c r="BB7" s="387"/>
      <c r="BC7" s="387"/>
      <c r="BD7" s="387">
        <f>2*0.704</f>
        <v>1.4079999999999999</v>
      </c>
      <c r="BE7" s="387">
        <f>2*0.894</f>
        <v>1.788</v>
      </c>
      <c r="BF7" s="387">
        <f>2*1.05</f>
        <v>2.1</v>
      </c>
      <c r="BH7" s="388">
        <f>2*0.704</f>
        <v>1.4079999999999999</v>
      </c>
      <c r="BI7" s="384"/>
      <c r="BJ7" s="384"/>
      <c r="BK7" s="384"/>
      <c r="BL7" s="384"/>
      <c r="BM7" s="384"/>
      <c r="BN7" s="384"/>
      <c r="BO7" s="384"/>
      <c r="BP7" s="385"/>
      <c r="BR7" s="387">
        <f>2*0.804</f>
        <v>1.6080000000000001</v>
      </c>
      <c r="BS7" s="387"/>
      <c r="BT7" s="387"/>
      <c r="BU7" s="387">
        <f>2*0.704</f>
        <v>1.4079999999999999</v>
      </c>
      <c r="BV7" s="387"/>
      <c r="BW7" s="387"/>
      <c r="BX7" s="387">
        <f>2*0.579</f>
        <v>1.1579999999999999</v>
      </c>
      <c r="BY7" s="387">
        <f>2*0.894</f>
        <v>1.788</v>
      </c>
      <c r="BZ7" s="387">
        <f>2*1.05</f>
        <v>2.1</v>
      </c>
    </row>
    <row r="8" spans="1:78">
      <c r="C8" s="110">
        <v>1.8984364367011339</v>
      </c>
      <c r="D8" s="110">
        <v>-1.6945042970778759</v>
      </c>
      <c r="F8" s="2">
        <v>1.8913856941354004</v>
      </c>
      <c r="G8" s="2">
        <v>-1.6945247289474177</v>
      </c>
      <c r="I8" s="2">
        <v>1.8835335248860283</v>
      </c>
      <c r="J8" s="2">
        <v>-1.6956417784867963</v>
      </c>
      <c r="L8" s="3">
        <v>1.9337035874816686</v>
      </c>
      <c r="M8" s="3">
        <v>-1.7953452732086956</v>
      </c>
      <c r="W8"/>
      <c r="X8"/>
      <c r="AG8" s="94"/>
      <c r="AK8" s="389" t="s">
        <v>129</v>
      </c>
      <c r="AL8" s="389"/>
      <c r="AM8" s="389"/>
      <c r="AN8" s="390" t="s">
        <v>130</v>
      </c>
      <c r="AO8" s="390"/>
      <c r="AP8" s="390"/>
      <c r="AQ8" s="389" t="s">
        <v>131</v>
      </c>
      <c r="AR8" s="389"/>
      <c r="AS8" s="389"/>
      <c r="AT8" s="391" t="s">
        <v>132</v>
      </c>
      <c r="AU8" s="391"/>
      <c r="AV8" s="391"/>
      <c r="AX8" s="382" t="s">
        <v>147</v>
      </c>
      <c r="AY8" s="383"/>
      <c r="AZ8" s="383"/>
      <c r="BA8" s="384"/>
      <c r="BB8" s="384"/>
      <c r="BC8" s="384"/>
      <c r="BD8" s="384"/>
      <c r="BE8" s="384"/>
      <c r="BF8" s="385"/>
      <c r="BH8" s="382" t="s">
        <v>141</v>
      </c>
      <c r="BI8" s="383"/>
      <c r="BJ8" s="383"/>
      <c r="BK8" s="384"/>
      <c r="BL8" s="384"/>
      <c r="BM8" s="384"/>
      <c r="BN8" s="384"/>
      <c r="BO8" s="384"/>
      <c r="BP8" s="385"/>
      <c r="BR8" s="382" t="s">
        <v>148</v>
      </c>
      <c r="BS8" s="383"/>
      <c r="BT8" s="383"/>
      <c r="BU8" s="384"/>
      <c r="BV8" s="384"/>
      <c r="BW8" s="384"/>
      <c r="BX8" s="384"/>
      <c r="BY8" s="384"/>
      <c r="BZ8" s="385"/>
    </row>
    <row r="9" spans="1:78">
      <c r="C9" s="110">
        <v>1.8654574712819783</v>
      </c>
      <c r="D9" s="110">
        <v>-1.5954834627110668</v>
      </c>
      <c r="F9" s="2">
        <v>1.8560719407285826</v>
      </c>
      <c r="G9" s="2">
        <v>-1.5953759074924685</v>
      </c>
      <c r="I9" s="2">
        <v>1.8455780644037489</v>
      </c>
      <c r="J9" s="2">
        <v>-1.5966095696598863</v>
      </c>
      <c r="L9" s="3">
        <v>1.9011965992837196</v>
      </c>
      <c r="M9" s="3">
        <v>-1.6951306476852599</v>
      </c>
      <c r="W9"/>
      <c r="X9"/>
      <c r="AG9" s="94"/>
      <c r="AI9" s="2" t="s">
        <v>65</v>
      </c>
      <c r="AJ9" s="2" t="s">
        <v>66</v>
      </c>
      <c r="AK9" s="239" t="s">
        <v>123</v>
      </c>
      <c r="AL9" s="239" t="s">
        <v>124</v>
      </c>
      <c r="AM9" s="243" t="s">
        <v>24</v>
      </c>
      <c r="AN9" s="247" t="s">
        <v>123</v>
      </c>
      <c r="AO9" s="247" t="s">
        <v>124</v>
      </c>
      <c r="AP9" s="248" t="s">
        <v>24</v>
      </c>
      <c r="AQ9" s="239" t="s">
        <v>123</v>
      </c>
      <c r="AR9" s="239" t="s">
        <v>124</v>
      </c>
      <c r="AS9" s="243" t="s">
        <v>24</v>
      </c>
      <c r="AT9" s="247" t="s">
        <v>123</v>
      </c>
      <c r="AU9" s="247" t="s">
        <v>124</v>
      </c>
      <c r="AV9" s="248" t="s">
        <v>24</v>
      </c>
      <c r="AX9" s="247" t="s">
        <v>123</v>
      </c>
      <c r="AY9" s="247" t="s">
        <v>124</v>
      </c>
      <c r="AZ9" s="248" t="s">
        <v>24</v>
      </c>
      <c r="BA9" s="247" t="s">
        <v>123</v>
      </c>
      <c r="BB9" s="247" t="s">
        <v>124</v>
      </c>
      <c r="BC9" s="248" t="s">
        <v>24</v>
      </c>
      <c r="BD9" s="247" t="s">
        <v>123</v>
      </c>
      <c r="BE9" s="247" t="s">
        <v>124</v>
      </c>
      <c r="BF9" s="248" t="s">
        <v>24</v>
      </c>
      <c r="BH9" s="247" t="s">
        <v>123</v>
      </c>
      <c r="BI9" s="247" t="s">
        <v>124</v>
      </c>
      <c r="BJ9" s="248" t="s">
        <v>24</v>
      </c>
      <c r="BK9" s="247" t="s">
        <v>123</v>
      </c>
      <c r="BL9" s="247" t="s">
        <v>124</v>
      </c>
      <c r="BM9" s="248" t="s">
        <v>24</v>
      </c>
      <c r="BN9" s="247" t="s">
        <v>123</v>
      </c>
      <c r="BO9" s="247" t="s">
        <v>124</v>
      </c>
      <c r="BP9" s="248" t="s">
        <v>24</v>
      </c>
      <c r="BR9" s="247" t="s">
        <v>123</v>
      </c>
      <c r="BS9" s="247" t="s">
        <v>124</v>
      </c>
      <c r="BT9" s="248" t="s">
        <v>24</v>
      </c>
      <c r="BU9" s="247" t="s">
        <v>123</v>
      </c>
      <c r="BV9" s="247" t="s">
        <v>124</v>
      </c>
      <c r="BW9" s="248" t="s">
        <v>24</v>
      </c>
      <c r="BX9" s="247" t="s">
        <v>123</v>
      </c>
      <c r="BY9" s="247" t="s">
        <v>124</v>
      </c>
      <c r="BZ9" s="248" t="s">
        <v>24</v>
      </c>
    </row>
    <row r="10" spans="1:78">
      <c r="C10" s="110">
        <v>1.8329062507319385</v>
      </c>
      <c r="D10" s="110">
        <v>-1.4978339170911714</v>
      </c>
      <c r="F10" s="2">
        <v>1.821193982015229</v>
      </c>
      <c r="G10" s="2">
        <v>-1.4975341913674889</v>
      </c>
      <c r="I10" s="2">
        <v>1.8080473860035193</v>
      </c>
      <c r="J10" s="2">
        <v>-1.4987621643684439</v>
      </c>
      <c r="L10" s="3">
        <v>1.869109280316402</v>
      </c>
      <c r="M10" s="3">
        <v>-1.5962971612217796</v>
      </c>
      <c r="W10"/>
      <c r="X10"/>
      <c r="AG10" s="94"/>
      <c r="AI10" s="242">
        <v>1</v>
      </c>
      <c r="AJ10" s="242">
        <v>-1</v>
      </c>
      <c r="AK10" s="244">
        <v>-0.73250000000000004</v>
      </c>
      <c r="AL10" s="244">
        <v>2.7995000000000001</v>
      </c>
      <c r="AM10" s="246">
        <v>2.8220000000000001</v>
      </c>
      <c r="AN10" s="244">
        <v>-0.75800000000000001</v>
      </c>
      <c r="AO10" s="244">
        <v>3.3260000000000001</v>
      </c>
      <c r="AP10" s="249">
        <v>3.3879999999999999</v>
      </c>
      <c r="AQ10" s="244">
        <v>-0.77900000000000003</v>
      </c>
      <c r="AR10" s="244">
        <v>3.7625000000000002</v>
      </c>
      <c r="AS10" s="246">
        <v>3.83</v>
      </c>
      <c r="AT10" s="244">
        <v>-0.79700000000000004</v>
      </c>
      <c r="AU10" s="244">
        <v>4.1319999999999997</v>
      </c>
      <c r="AV10" s="249">
        <v>4.1840000000000002</v>
      </c>
    </row>
    <row r="11" spans="1:78">
      <c r="C11" s="96">
        <v>1.8208223712364151</v>
      </c>
      <c r="D11" s="96">
        <v>-1.4616059968463011</v>
      </c>
      <c r="F11" s="2">
        <v>1.8083790408665454</v>
      </c>
      <c r="G11" s="2">
        <v>-1.4616059968439361</v>
      </c>
      <c r="I11" s="2">
        <v>1.7937879352403632</v>
      </c>
      <c r="J11" s="2">
        <v>-1.4616059968426138</v>
      </c>
      <c r="L11" s="3">
        <v>1.8374358796468591</v>
      </c>
      <c r="M11" s="3">
        <v>-1.4988246930612532</v>
      </c>
      <c r="W11"/>
      <c r="X11"/>
      <c r="AG11" s="94"/>
      <c r="AI11" s="242">
        <v>1</v>
      </c>
      <c r="AJ11" s="242">
        <v>-2</v>
      </c>
      <c r="AK11" s="244">
        <v>-0.63500000000000001</v>
      </c>
      <c r="AL11" s="244">
        <v>3.08</v>
      </c>
      <c r="AM11" s="246">
        <v>2.85</v>
      </c>
      <c r="AN11" s="244">
        <v>-0.66100000000000003</v>
      </c>
      <c r="AO11" s="244">
        <v>3.5937000000000001</v>
      </c>
      <c r="AP11" s="249">
        <v>3.4369999999999998</v>
      </c>
      <c r="AQ11" s="244">
        <v>-0.68400000000000005</v>
      </c>
      <c r="AR11" s="244">
        <v>4.0259999999999998</v>
      </c>
      <c r="AS11" s="246">
        <v>3.8860000000000001</v>
      </c>
      <c r="AT11" s="244">
        <v>-0.70399999999999996</v>
      </c>
      <c r="AU11" s="244">
        <v>4.3959999999999999</v>
      </c>
      <c r="AV11" s="249">
        <v>4.2439999999999998</v>
      </c>
    </row>
    <row r="12" spans="1:78">
      <c r="C12" s="96">
        <v>1.7845676292946178</v>
      </c>
      <c r="D12" s="96">
        <v>-1.3530896772301138</v>
      </c>
      <c r="F12" s="2">
        <v>1.7696966514213568</v>
      </c>
      <c r="G12" s="2">
        <v>-1.3533235142274957</v>
      </c>
      <c r="I12" s="2">
        <v>1.7523744361905946</v>
      </c>
      <c r="J12" s="2">
        <v>-1.3538467376596357</v>
      </c>
      <c r="L12" s="3">
        <v>1.8253343653945604</v>
      </c>
      <c r="M12" s="3">
        <v>-1.461605996847559</v>
      </c>
      <c r="W12"/>
      <c r="X12"/>
      <c r="AG12" s="94"/>
      <c r="AI12" s="242">
        <v>1</v>
      </c>
      <c r="AJ12" s="242">
        <v>-3</v>
      </c>
      <c r="AK12" s="244">
        <v>-0.56599999999999995</v>
      </c>
      <c r="AL12" s="244">
        <v>3.3134000000000001</v>
      </c>
      <c r="AM12" s="246">
        <v>2.8540000000000001</v>
      </c>
      <c r="AN12" s="244">
        <v>-0.59</v>
      </c>
      <c r="AO12" s="244">
        <v>3.8054999999999999</v>
      </c>
      <c r="AP12" s="249">
        <v>3.45</v>
      </c>
      <c r="AQ12" s="244">
        <v>-0.61199999999999999</v>
      </c>
      <c r="AR12" s="244">
        <v>4.2244999999999999</v>
      </c>
      <c r="AS12" s="246">
        <v>3.903</v>
      </c>
      <c r="AT12" s="244">
        <v>-0.63200000000000001</v>
      </c>
      <c r="AU12" s="244">
        <v>4.5860000000000003</v>
      </c>
      <c r="AV12" s="249">
        <v>4.2560000000000002</v>
      </c>
      <c r="AY12" s="379">
        <f>(SUM(AZ14:AZ21)-SUM(BF14:BF21))/8</f>
        <v>-0.39575000000000005</v>
      </c>
      <c r="AZ12" s="380"/>
      <c r="BA12" s="381"/>
      <c r="BC12" s="379">
        <f>(SUM(BC14:BC21)-SUM(BF14:BF21))/8</f>
        <v>-0.11474999999999946</v>
      </c>
      <c r="BD12" s="380"/>
      <c r="BE12" s="381"/>
      <c r="BI12" s="379">
        <f>(SUM(BJ14:BJ21)-SUM(BM14:BM21))/8+0.5</f>
        <v>-0.1131249999999997</v>
      </c>
      <c r="BJ12" s="380"/>
      <c r="BK12" s="381"/>
      <c r="BM12" s="379">
        <f>(SUM(BP14:BP21)-SUM(BM14:BM21))/8-0.5</f>
        <v>9.0374999999999872E-2</v>
      </c>
      <c r="BN12" s="380"/>
      <c r="BO12" s="381"/>
      <c r="BS12" s="379">
        <f>(SUM(BT14:BT21)-SUM(BW14:BW21))/8</f>
        <v>0.31899999999999995</v>
      </c>
      <c r="BT12" s="380"/>
      <c r="BU12" s="381"/>
      <c r="BW12" s="379">
        <f>(SUM(BZ14:BZ21)-SUM(BW14:BW21))/8</f>
        <v>-0.3722499999999993</v>
      </c>
      <c r="BX12" s="380"/>
      <c r="BY12" s="381"/>
    </row>
    <row r="13" spans="1:78" ht="15.75" thickBot="1">
      <c r="C13" s="96">
        <v>1.7489678361160521</v>
      </c>
      <c r="D13" s="96">
        <v>-1.2468451057994026</v>
      </c>
      <c r="F13" s="2">
        <v>1.7316750882190037</v>
      </c>
      <c r="G13" s="2">
        <v>-1.2471875752647004</v>
      </c>
      <c r="I13" s="2">
        <v>1.7115976644496023</v>
      </c>
      <c r="J13" s="2">
        <v>-1.2480133148943382</v>
      </c>
      <c r="L13" s="3">
        <v>1.7900210286821252</v>
      </c>
      <c r="M13" s="3">
        <v>-1.3531742459705258</v>
      </c>
      <c r="W13"/>
      <c r="X13"/>
      <c r="AG13" s="94"/>
      <c r="AI13" s="242">
        <v>1</v>
      </c>
      <c r="AJ13" s="242">
        <v>-4</v>
      </c>
      <c r="AK13" s="244">
        <v>-0.51400000000000001</v>
      </c>
      <c r="AL13" s="244">
        <v>3.5259999999999998</v>
      </c>
      <c r="AM13" s="246">
        <v>2.86</v>
      </c>
      <c r="AN13" s="260">
        <v>-0.53500000000000003</v>
      </c>
      <c r="AO13" s="260">
        <v>3.9952999999999999</v>
      </c>
      <c r="AP13" s="261">
        <v>3.468</v>
      </c>
      <c r="AQ13" s="244">
        <v>-0.55700000000000005</v>
      </c>
      <c r="AR13" s="244">
        <v>4.4009999999999998</v>
      </c>
      <c r="AS13" s="246">
        <v>3.9009999999999998</v>
      </c>
      <c r="AT13" s="244">
        <v>-0.57499999999999996</v>
      </c>
      <c r="AU13" s="244">
        <v>4.7530000000000001</v>
      </c>
      <c r="AV13" s="249">
        <v>4.266</v>
      </c>
    </row>
    <row r="14" spans="1:78">
      <c r="C14" s="96">
        <v>1.7140094331705686</v>
      </c>
      <c r="D14" s="96">
        <v>-1.1428188766521319</v>
      </c>
      <c r="F14" s="2">
        <v>1.6943014139746233</v>
      </c>
      <c r="G14" s="2">
        <v>-1.1431504149115832</v>
      </c>
      <c r="I14" s="2">
        <v>1.6714463997877729</v>
      </c>
      <c r="J14" s="2">
        <v>-1.1440671110524416</v>
      </c>
      <c r="L14" s="3">
        <v>1.7553431149748719</v>
      </c>
      <c r="M14" s="3">
        <v>-1.2470025214501372</v>
      </c>
      <c r="W14"/>
      <c r="X14"/>
      <c r="AG14" s="94"/>
      <c r="AI14" s="2">
        <v>2</v>
      </c>
      <c r="AJ14" s="2">
        <v>-1</v>
      </c>
      <c r="AK14" s="245">
        <v>-1.3520000000000001</v>
      </c>
      <c r="AL14" s="245">
        <v>2.6749999999999998</v>
      </c>
      <c r="AM14" s="257">
        <v>2.9569999999999999</v>
      </c>
      <c r="AN14" s="264">
        <v>-1.381</v>
      </c>
      <c r="AO14" s="265">
        <v>3.2160000000000002</v>
      </c>
      <c r="AP14" s="266">
        <v>3.657</v>
      </c>
      <c r="AQ14" s="258">
        <v>-1.405</v>
      </c>
      <c r="AR14" s="245">
        <v>3.66</v>
      </c>
      <c r="AS14" s="246">
        <v>4.21</v>
      </c>
      <c r="AT14" s="245">
        <v>-1.425</v>
      </c>
      <c r="AU14" s="245">
        <v>4.0345000000000004</v>
      </c>
      <c r="AV14" s="249">
        <v>4.6619999999999999</v>
      </c>
      <c r="AX14" s="254">
        <v>-1.4079999999999999</v>
      </c>
      <c r="AY14" s="254">
        <v>2.923</v>
      </c>
      <c r="AZ14" s="273">
        <v>3.1520000000000001</v>
      </c>
      <c r="BA14" s="256">
        <v>-1.3919999999999999</v>
      </c>
      <c r="BB14" s="256">
        <v>3.137</v>
      </c>
      <c r="BC14" s="273">
        <v>3.5070000000000001</v>
      </c>
      <c r="BD14" s="264">
        <v>-1.381</v>
      </c>
      <c r="BE14" s="265">
        <v>3.2160000000000002</v>
      </c>
      <c r="BF14" s="266">
        <v>3.657</v>
      </c>
      <c r="BH14" s="256">
        <v>-1.5009999999999999</v>
      </c>
      <c r="BI14" s="256">
        <v>3.0579999999999998</v>
      </c>
      <c r="BJ14" s="273">
        <v>3.0750000000000002</v>
      </c>
      <c r="BK14" s="275">
        <v>-1.381</v>
      </c>
      <c r="BL14" s="276">
        <v>3.2160000000000002</v>
      </c>
      <c r="BM14" s="277">
        <v>3.657</v>
      </c>
      <c r="BN14" s="258">
        <v>-1.2815000000000001</v>
      </c>
      <c r="BO14" s="245">
        <v>3.3530000000000002</v>
      </c>
      <c r="BP14" s="249">
        <v>4.2329999999999997</v>
      </c>
      <c r="BR14" s="256">
        <v>-1.2490000000000001</v>
      </c>
      <c r="BS14" s="256">
        <v>3.0935000000000001</v>
      </c>
      <c r="BT14" s="273">
        <v>3.9540000000000002</v>
      </c>
      <c r="BU14" s="275">
        <v>-1.381</v>
      </c>
      <c r="BV14" s="276">
        <v>3.2160000000000002</v>
      </c>
      <c r="BW14" s="277">
        <v>3.657</v>
      </c>
      <c r="BX14" s="258">
        <v>-1.59</v>
      </c>
      <c r="BY14" s="245">
        <v>3.4220000000000002</v>
      </c>
      <c r="BZ14" s="249">
        <v>3.3039999999999998</v>
      </c>
    </row>
    <row r="15" spans="1:78">
      <c r="C15" s="96">
        <v>1.6796791782227578</v>
      </c>
      <c r="D15" s="96">
        <v>-1.0409589772972838</v>
      </c>
      <c r="F15" s="2">
        <v>1.6575629768427094</v>
      </c>
      <c r="G15" s="2">
        <v>-1.0411654475474479</v>
      </c>
      <c r="I15" s="2">
        <v>1.6319096448431303</v>
      </c>
      <c r="J15" s="2">
        <v>-1.0419703678095225</v>
      </c>
      <c r="L15" s="3">
        <v>1.7212875212956513</v>
      </c>
      <c r="M15" s="3">
        <v>-1.1430379152506058</v>
      </c>
      <c r="W15"/>
      <c r="X15"/>
      <c r="AG15" s="94"/>
      <c r="AI15" s="2">
        <v>2</v>
      </c>
      <c r="AJ15" s="2">
        <v>-2</v>
      </c>
      <c r="AK15" s="245">
        <v>-1.208</v>
      </c>
      <c r="AL15" s="245">
        <v>2.9860000000000002</v>
      </c>
      <c r="AM15" s="257">
        <v>2.944</v>
      </c>
      <c r="AN15" s="267">
        <v>-1.2450000000000001</v>
      </c>
      <c r="AO15" s="245">
        <v>3.5059999999999998</v>
      </c>
      <c r="AP15" s="268">
        <v>3.6320000000000001</v>
      </c>
      <c r="AQ15" s="258">
        <v>-1.276</v>
      </c>
      <c r="AR15" s="245">
        <v>3.9420000000000002</v>
      </c>
      <c r="AS15" s="246">
        <v>4.1790000000000003</v>
      </c>
      <c r="AT15" s="245">
        <v>-1.302</v>
      </c>
      <c r="AU15" s="245">
        <v>4.3135000000000003</v>
      </c>
      <c r="AV15" s="249">
        <v>4.6260000000000003</v>
      </c>
      <c r="AX15" s="254">
        <v>-1.2609999999999999</v>
      </c>
      <c r="AY15" s="254">
        <v>3.31</v>
      </c>
      <c r="AZ15" s="273">
        <v>3.25</v>
      </c>
      <c r="BA15" s="256">
        <v>-1.2529999999999999</v>
      </c>
      <c r="BB15" s="256">
        <v>3.4580000000000002</v>
      </c>
      <c r="BC15" s="273">
        <v>3.52</v>
      </c>
      <c r="BD15" s="267">
        <v>-1.2450000000000001</v>
      </c>
      <c r="BE15" s="245">
        <v>3.5059999999999998</v>
      </c>
      <c r="BF15" s="268">
        <v>3.6320000000000001</v>
      </c>
      <c r="BH15" s="256">
        <v>-1.351</v>
      </c>
      <c r="BI15" s="256">
        <v>3.3660000000000001</v>
      </c>
      <c r="BJ15" s="273">
        <v>2.9830000000000001</v>
      </c>
      <c r="BK15" s="278">
        <v>-1.2450000000000001</v>
      </c>
      <c r="BL15" s="256">
        <v>3.5059999999999998</v>
      </c>
      <c r="BM15" s="279">
        <v>3.6320000000000001</v>
      </c>
      <c r="BN15" s="258">
        <v>-1.1625000000000001</v>
      </c>
      <c r="BO15" s="245">
        <v>3.6269999999999998</v>
      </c>
      <c r="BP15" s="249">
        <v>4.24</v>
      </c>
      <c r="BR15" s="256">
        <v>-1.131</v>
      </c>
      <c r="BS15" s="256">
        <v>3.3477000000000001</v>
      </c>
      <c r="BT15" s="273">
        <v>3.92</v>
      </c>
      <c r="BU15" s="278">
        <v>-1.2450000000000001</v>
      </c>
      <c r="BV15" s="256">
        <v>3.5059999999999998</v>
      </c>
      <c r="BW15" s="279">
        <v>3.6320000000000001</v>
      </c>
      <c r="BX15" s="258">
        <v>-1.427</v>
      </c>
      <c r="BY15" s="245">
        <v>3.7709999999999999</v>
      </c>
      <c r="BZ15" s="249">
        <v>3.2850000000000001</v>
      </c>
    </row>
    <row r="16" spans="1:78">
      <c r="C16" s="96">
        <v>1.6459641371264155</v>
      </c>
      <c r="D16" s="96">
        <v>-0.94121474870326227</v>
      </c>
      <c r="F16" s="2">
        <v>1.6214474034127158</v>
      </c>
      <c r="G16" s="2">
        <v>-0.94118723497298507</v>
      </c>
      <c r="I16" s="2">
        <v>1.5929766201967588</v>
      </c>
      <c r="J16" s="2">
        <v>-0.94168616500588598</v>
      </c>
      <c r="L16" s="3">
        <v>1.6878414491506477</v>
      </c>
      <c r="M16" s="3">
        <v>-1.0412288941445749</v>
      </c>
      <c r="W16"/>
      <c r="X16"/>
      <c r="AG16" s="94"/>
      <c r="AI16" s="2">
        <v>2</v>
      </c>
      <c r="AJ16" s="2">
        <v>-3</v>
      </c>
      <c r="AK16" s="245">
        <v>-1.0940000000000001</v>
      </c>
      <c r="AL16" s="245">
        <v>3.24</v>
      </c>
      <c r="AM16" s="257">
        <v>2.923</v>
      </c>
      <c r="AN16" s="267">
        <v>-1.1337999999999999</v>
      </c>
      <c r="AO16" s="245">
        <v>3.7345000000000002</v>
      </c>
      <c r="AP16" s="268">
        <v>3.5880000000000001</v>
      </c>
      <c r="AQ16" s="258">
        <v>-1.167</v>
      </c>
      <c r="AR16" s="245">
        <v>4.1550000000000002</v>
      </c>
      <c r="AS16" s="246">
        <v>4.1210000000000004</v>
      </c>
      <c r="AT16" s="245">
        <v>-1.196</v>
      </c>
      <c r="AU16" s="245">
        <v>4.5170000000000003</v>
      </c>
      <c r="AV16" s="249">
        <v>4.5540000000000003</v>
      </c>
      <c r="AX16" s="254">
        <v>-1.145</v>
      </c>
      <c r="AY16" s="254">
        <v>3.5855000000000001</v>
      </c>
      <c r="AZ16" s="273">
        <v>3.2629999999999999</v>
      </c>
      <c r="BA16" s="256">
        <v>-1.1399999999999999</v>
      </c>
      <c r="BB16" s="256">
        <v>3.7</v>
      </c>
      <c r="BC16" s="273">
        <v>3.4910000000000001</v>
      </c>
      <c r="BD16" s="267">
        <v>-1.1337999999999999</v>
      </c>
      <c r="BE16" s="245">
        <v>3.7345000000000002</v>
      </c>
      <c r="BF16" s="268">
        <v>3.5880000000000001</v>
      </c>
      <c r="BH16" s="256">
        <v>-1.2224999999999999</v>
      </c>
      <c r="BI16" s="256">
        <v>3.61</v>
      </c>
      <c r="BJ16" s="273">
        <v>2.9060000000000001</v>
      </c>
      <c r="BK16" s="278">
        <v>-1.1337999999999999</v>
      </c>
      <c r="BL16" s="256">
        <v>3.7345000000000002</v>
      </c>
      <c r="BM16" s="279">
        <v>3.5880000000000001</v>
      </c>
      <c r="BN16" s="258">
        <v>-1.0645</v>
      </c>
      <c r="BO16" s="245">
        <v>3.8454999999999999</v>
      </c>
      <c r="BP16" s="249">
        <v>4.2249999999999996</v>
      </c>
      <c r="BR16" s="256">
        <v>-1.0309999999999999</v>
      </c>
      <c r="BS16" s="256">
        <v>3.5445000000000002</v>
      </c>
      <c r="BT16" s="273">
        <v>3.8759999999999999</v>
      </c>
      <c r="BU16" s="278">
        <v>-1.1337999999999999</v>
      </c>
      <c r="BV16" s="256">
        <v>3.7345000000000002</v>
      </c>
      <c r="BW16" s="279">
        <v>3.5880000000000001</v>
      </c>
      <c r="BX16" s="258">
        <v>-1.2949999999999999</v>
      </c>
      <c r="BY16" s="245">
        <v>4.0525000000000002</v>
      </c>
      <c r="BZ16" s="249">
        <v>3.2589999999999999</v>
      </c>
    </row>
    <row r="17" spans="1:78">
      <c r="C17" s="129">
        <v>1.6421737338465265</v>
      </c>
      <c r="D17" s="129">
        <v>-0.93001918678852913</v>
      </c>
      <c r="F17" s="2">
        <v>1.6174068803753261</v>
      </c>
      <c r="G17" s="2">
        <v>-0.9300191867885288</v>
      </c>
      <c r="I17" s="2">
        <v>1.5884407840204278</v>
      </c>
      <c r="J17" s="2">
        <v>-0.9300191867885631</v>
      </c>
      <c r="L17" s="3">
        <v>1.6549923966607749</v>
      </c>
      <c r="M17" s="3">
        <v>-0.94152526045222285</v>
      </c>
      <c r="W17"/>
      <c r="X17"/>
      <c r="AG17" s="94"/>
      <c r="AI17" s="2">
        <v>2</v>
      </c>
      <c r="AJ17" s="2">
        <v>-4</v>
      </c>
      <c r="AK17" s="245">
        <v>-1.004</v>
      </c>
      <c r="AL17" s="245">
        <v>3.4660000000000002</v>
      </c>
      <c r="AM17" s="257">
        <v>2.9039999999999999</v>
      </c>
      <c r="AN17" s="267">
        <v>-1.042</v>
      </c>
      <c r="AO17" s="245">
        <v>3.9380000000000002</v>
      </c>
      <c r="AP17" s="268">
        <v>3.5590000000000002</v>
      </c>
      <c r="AQ17" s="258">
        <v>-1.0760000000000001</v>
      </c>
      <c r="AR17" s="245">
        <v>4.3433000000000002</v>
      </c>
      <c r="AS17" s="246">
        <v>4.0730000000000004</v>
      </c>
      <c r="AT17" s="245">
        <v>-1.1060000000000001</v>
      </c>
      <c r="AU17" s="245">
        <v>4.6950000000000003</v>
      </c>
      <c r="AV17" s="249">
        <v>4.49</v>
      </c>
      <c r="AX17" s="254">
        <v>-1.05</v>
      </c>
      <c r="AY17" s="254">
        <v>3.8149999999999999</v>
      </c>
      <c r="AZ17" s="273">
        <v>3.2669999999999999</v>
      </c>
      <c r="BA17" s="256">
        <v>-1.0469999999999999</v>
      </c>
      <c r="BB17" s="256">
        <v>3.91</v>
      </c>
      <c r="BC17" s="273">
        <v>3.4689999999999999</v>
      </c>
      <c r="BD17" s="267">
        <v>-1.042</v>
      </c>
      <c r="BE17" s="245">
        <v>3.9380000000000002</v>
      </c>
      <c r="BF17" s="268">
        <v>3.5590000000000002</v>
      </c>
      <c r="BH17" s="256">
        <v>-1.1160000000000001</v>
      </c>
      <c r="BI17" s="256">
        <v>3.8239999999999998</v>
      </c>
      <c r="BJ17" s="273">
        <v>2.8530000000000002</v>
      </c>
      <c r="BK17" s="278">
        <v>-1.042</v>
      </c>
      <c r="BL17" s="256">
        <v>3.9380000000000002</v>
      </c>
      <c r="BM17" s="279">
        <v>3.5590000000000002</v>
      </c>
      <c r="BN17" s="258">
        <v>-0.98399999999999999</v>
      </c>
      <c r="BO17" s="245">
        <v>4.04</v>
      </c>
      <c r="BP17" s="249">
        <v>4.2110000000000003</v>
      </c>
      <c r="BR17" s="256">
        <v>-0.94899999999999995</v>
      </c>
      <c r="BS17" s="256">
        <v>3.7185000000000001</v>
      </c>
      <c r="BT17" s="273">
        <v>3.8370000000000002</v>
      </c>
      <c r="BU17" s="278">
        <v>-1.042</v>
      </c>
      <c r="BV17" s="256">
        <v>3.9380000000000002</v>
      </c>
      <c r="BW17" s="279">
        <v>3.5590000000000002</v>
      </c>
      <c r="BX17" s="258">
        <v>-1.19</v>
      </c>
      <c r="BY17" s="245">
        <v>4.3014999999999999</v>
      </c>
      <c r="BZ17" s="249">
        <v>3.2290000000000001</v>
      </c>
    </row>
    <row r="18" spans="1:78">
      <c r="A18" s="84"/>
      <c r="B18" s="84"/>
      <c r="C18" s="129">
        <v>1.6236291350589389</v>
      </c>
      <c r="D18" s="129">
        <v>-0.87534147507588189</v>
      </c>
      <c r="F18" s="2">
        <v>1.5976288942778019</v>
      </c>
      <c r="G18" s="2">
        <v>-0.87544430548477392</v>
      </c>
      <c r="I18" s="2">
        <v>1.5672806848095824</v>
      </c>
      <c r="J18" s="2">
        <v>-0.87567440769481542</v>
      </c>
      <c r="L18" s="3">
        <v>1.6511954061839587</v>
      </c>
      <c r="M18" s="3">
        <v>-0.93001918678854367</v>
      </c>
      <c r="W18"/>
      <c r="X18"/>
      <c r="AG18" s="94"/>
      <c r="AI18" s="242">
        <v>3</v>
      </c>
      <c r="AJ18" s="242">
        <v>-1</v>
      </c>
      <c r="AK18" s="244">
        <v>-1.8360000000000001</v>
      </c>
      <c r="AL18" s="244">
        <v>2.548</v>
      </c>
      <c r="AM18" s="257">
        <v>3.1629999999999998</v>
      </c>
      <c r="AN18" s="269">
        <v>-1.8580000000000001</v>
      </c>
      <c r="AO18" s="244">
        <v>3.1110000000000002</v>
      </c>
      <c r="AP18" s="268">
        <v>4.0229999999999997</v>
      </c>
      <c r="AQ18" s="259">
        <v>-1.873</v>
      </c>
      <c r="AR18" s="244">
        <v>3.5705</v>
      </c>
      <c r="AS18" s="246">
        <v>4.7190000000000003</v>
      </c>
      <c r="AT18" s="244">
        <v>-1.885</v>
      </c>
      <c r="AU18" s="244">
        <v>3.9556</v>
      </c>
      <c r="AV18" s="249">
        <v>5.2949999999999999</v>
      </c>
      <c r="AX18" s="255">
        <v>-1.88</v>
      </c>
      <c r="AY18" s="255">
        <v>2.798</v>
      </c>
      <c r="AZ18" s="274">
        <v>3.4649999999999999</v>
      </c>
      <c r="BA18" s="255">
        <v>-1.867</v>
      </c>
      <c r="BB18" s="255">
        <v>3.0274999999999999</v>
      </c>
      <c r="BC18" s="274">
        <v>3.8650000000000002</v>
      </c>
      <c r="BD18" s="269">
        <v>-1.8580000000000001</v>
      </c>
      <c r="BE18" s="244">
        <v>3.1110000000000002</v>
      </c>
      <c r="BF18" s="268">
        <v>4.0229999999999997</v>
      </c>
      <c r="BH18" s="255">
        <v>-1.95</v>
      </c>
      <c r="BI18" s="255">
        <v>2.9609999999999999</v>
      </c>
      <c r="BJ18" s="274">
        <v>3.5550000000000002</v>
      </c>
      <c r="BK18" s="280">
        <v>-1.8580000000000001</v>
      </c>
      <c r="BL18" s="255">
        <v>3.1110000000000002</v>
      </c>
      <c r="BM18" s="281">
        <v>4.0229999999999997</v>
      </c>
      <c r="BN18" s="259">
        <v>-1.766</v>
      </c>
      <c r="BO18" s="244">
        <v>3.2505000000000002</v>
      </c>
      <c r="BP18" s="249">
        <v>4.5220000000000002</v>
      </c>
      <c r="BR18" s="255">
        <v>-1.6719999999999999</v>
      </c>
      <c r="BS18" s="255">
        <v>3.0074999999999998</v>
      </c>
      <c r="BT18" s="274">
        <v>4.3959999999999999</v>
      </c>
      <c r="BU18" s="280">
        <v>-1.8580000000000001</v>
      </c>
      <c r="BV18" s="255">
        <v>3.1110000000000002</v>
      </c>
      <c r="BW18" s="281">
        <v>4.0229999999999997</v>
      </c>
      <c r="BX18" s="259">
        <v>-2.1480000000000001</v>
      </c>
      <c r="BY18" s="244">
        <v>3.2890000000000001</v>
      </c>
      <c r="BZ18" s="249">
        <v>3.5939999999999999</v>
      </c>
    </row>
    <row r="19" spans="1:78">
      <c r="A19" s="84"/>
      <c r="B19" s="84"/>
      <c r="C19" s="129">
        <v>1.6053222727107823</v>
      </c>
      <c r="D19" s="129">
        <v>-0.82153759014810501</v>
      </c>
      <c r="F19" s="2">
        <v>1.5780892779270952</v>
      </c>
      <c r="G19" s="2">
        <v>-0.8216911851640174</v>
      </c>
      <c r="I19" s="2">
        <v>1.5463479479417461</v>
      </c>
      <c r="J19" s="2">
        <v>-0.82206115528833024</v>
      </c>
      <c r="L19" s="3">
        <v>1.6331326487736184</v>
      </c>
      <c r="M19" s="3">
        <v>-0.87537953956733838</v>
      </c>
      <c r="W19"/>
      <c r="X19"/>
      <c r="AG19" s="94"/>
      <c r="AI19" s="242">
        <v>3</v>
      </c>
      <c r="AJ19" s="242">
        <v>-2</v>
      </c>
      <c r="AK19" s="244">
        <v>-1.6915</v>
      </c>
      <c r="AL19" s="244">
        <v>2.8715000000000002</v>
      </c>
      <c r="AM19" s="257">
        <v>3.093</v>
      </c>
      <c r="AN19" s="269">
        <v>-1.7250000000000001</v>
      </c>
      <c r="AO19" s="244">
        <v>3.4075000000000002</v>
      </c>
      <c r="AP19" s="268">
        <v>3.9260000000000002</v>
      </c>
      <c r="AQ19" s="259">
        <v>-1.7509999999999999</v>
      </c>
      <c r="AR19" s="244">
        <v>3.8540000000000001</v>
      </c>
      <c r="AS19" s="246">
        <v>4.6029999999999998</v>
      </c>
      <c r="AT19" s="244">
        <v>-1.772</v>
      </c>
      <c r="AU19" s="244">
        <v>4.2335000000000003</v>
      </c>
      <c r="AV19" s="249">
        <v>5.1669999999999998</v>
      </c>
      <c r="AX19" s="255">
        <v>-1.744</v>
      </c>
      <c r="AY19" s="255">
        <v>3.194</v>
      </c>
      <c r="AZ19" s="274">
        <v>3.4940000000000002</v>
      </c>
      <c r="BA19" s="255">
        <v>-1.734</v>
      </c>
      <c r="BB19" s="255">
        <v>3.3553000000000002</v>
      </c>
      <c r="BC19" s="274">
        <v>3.8050000000000002</v>
      </c>
      <c r="BD19" s="269">
        <v>-1.7250000000000001</v>
      </c>
      <c r="BE19" s="244">
        <v>3.4075000000000002</v>
      </c>
      <c r="BF19" s="268">
        <v>3.9260000000000002</v>
      </c>
      <c r="BH19" s="255">
        <v>-1.8214999999999999</v>
      </c>
      <c r="BI19" s="255">
        <v>3.2631999999999999</v>
      </c>
      <c r="BJ19" s="274">
        <v>3.3740000000000001</v>
      </c>
      <c r="BK19" s="280">
        <v>-1.7250000000000001</v>
      </c>
      <c r="BL19" s="255">
        <v>3.4075000000000002</v>
      </c>
      <c r="BM19" s="281">
        <v>3.9260000000000002</v>
      </c>
      <c r="BN19" s="259">
        <v>-1.6379999999999999</v>
      </c>
      <c r="BO19" s="244">
        <v>3.5367000000000002</v>
      </c>
      <c r="BP19" s="249">
        <v>4.4770000000000003</v>
      </c>
      <c r="BR19" s="255">
        <v>-1.5580000000000001</v>
      </c>
      <c r="BS19" s="255">
        <v>3.2650000000000001</v>
      </c>
      <c r="BT19" s="274">
        <v>4.2869999999999999</v>
      </c>
      <c r="BU19" s="280">
        <v>-1.7250000000000001</v>
      </c>
      <c r="BV19" s="255">
        <v>3.4075000000000002</v>
      </c>
      <c r="BW19" s="281">
        <v>3.9260000000000002</v>
      </c>
      <c r="BX19" s="259">
        <v>-1.9870000000000001</v>
      </c>
      <c r="BY19" s="244">
        <v>3.6480000000000001</v>
      </c>
      <c r="BZ19" s="249">
        <v>3.508</v>
      </c>
    </row>
    <row r="20" spans="1:78">
      <c r="A20" s="84"/>
      <c r="B20" s="84"/>
      <c r="C20" s="129">
        <v>1.5872493960380667</v>
      </c>
      <c r="D20" s="129">
        <v>-0.76859107668203841</v>
      </c>
      <c r="F20" s="2">
        <v>1.5587844933125994</v>
      </c>
      <c r="G20" s="2">
        <v>-0.76874525219693579</v>
      </c>
      <c r="I20" s="2">
        <v>1.525639562117397</v>
      </c>
      <c r="J20" s="2">
        <v>-0.76916783756962392</v>
      </c>
      <c r="L20" s="3">
        <v>1.6153005650599723</v>
      </c>
      <c r="M20" s="3">
        <v>-0.8216091331882649</v>
      </c>
      <c r="W20"/>
      <c r="X20"/>
      <c r="AG20" s="94"/>
      <c r="AI20" s="242">
        <v>3</v>
      </c>
      <c r="AJ20" s="242">
        <v>-3</v>
      </c>
      <c r="AK20" s="244">
        <v>-1.5629999999999999</v>
      </c>
      <c r="AL20" s="244">
        <v>3.1425000000000001</v>
      </c>
      <c r="AM20" s="257">
        <v>3.032</v>
      </c>
      <c r="AN20" s="269">
        <v>-1.6045</v>
      </c>
      <c r="AO20" s="244">
        <v>3.6459999999999999</v>
      </c>
      <c r="AP20" s="268">
        <v>3.8170000000000002</v>
      </c>
      <c r="AQ20" s="259">
        <v>-1.6379999999999999</v>
      </c>
      <c r="AR20" s="244">
        <v>4.0730000000000004</v>
      </c>
      <c r="AS20" s="246">
        <v>4.46</v>
      </c>
      <c r="AT20" s="244">
        <v>-1.6639999999999999</v>
      </c>
      <c r="AU20" s="244">
        <v>4.4405000000000001</v>
      </c>
      <c r="AV20" s="249">
        <v>5.0060000000000002</v>
      </c>
      <c r="AX20" s="255">
        <v>-1.6180000000000001</v>
      </c>
      <c r="AY20" s="255">
        <v>3.4845000000000002</v>
      </c>
      <c r="AZ20" s="274">
        <v>3.4609999999999999</v>
      </c>
      <c r="BA20" s="255">
        <v>-1.611</v>
      </c>
      <c r="BB20" s="255">
        <v>3.6080000000000001</v>
      </c>
      <c r="BC20" s="274">
        <v>3.7189999999999999</v>
      </c>
      <c r="BD20" s="269">
        <v>-1.6045</v>
      </c>
      <c r="BE20" s="244">
        <v>3.6459999999999999</v>
      </c>
      <c r="BF20" s="268">
        <v>3.8170000000000002</v>
      </c>
      <c r="BH20" s="255">
        <v>-1.6970000000000001</v>
      </c>
      <c r="BI20" s="255">
        <v>3.5110000000000001</v>
      </c>
      <c r="BJ20" s="274">
        <v>3.2069999999999999</v>
      </c>
      <c r="BK20" s="280">
        <v>-1.6045</v>
      </c>
      <c r="BL20" s="255">
        <v>3.6459999999999999</v>
      </c>
      <c r="BM20" s="281">
        <v>3.8170000000000002</v>
      </c>
      <c r="BN20" s="259">
        <v>-1.5249999999999999</v>
      </c>
      <c r="BO20" s="244">
        <v>3.7654999999999998</v>
      </c>
      <c r="BP20" s="249">
        <v>4.4080000000000004</v>
      </c>
      <c r="BR20" s="255">
        <v>-1.4530000000000001</v>
      </c>
      <c r="BS20" s="255">
        <v>3.4685000000000001</v>
      </c>
      <c r="BT20" s="274">
        <v>4.1609999999999996</v>
      </c>
      <c r="BU20" s="280">
        <v>-1.6045</v>
      </c>
      <c r="BV20" s="255">
        <v>3.6459999999999999</v>
      </c>
      <c r="BW20" s="281">
        <v>3.8170000000000002</v>
      </c>
      <c r="BX20" s="259">
        <v>-1.8414999999999999</v>
      </c>
      <c r="BY20" s="244">
        <v>3.944</v>
      </c>
      <c r="BZ20" s="249">
        <v>3.4249999999999998</v>
      </c>
    </row>
    <row r="21" spans="1:78" ht="15.75" thickBot="1">
      <c r="A21" s="84"/>
      <c r="B21" s="84"/>
      <c r="C21" s="129">
        <v>1.5694068243948114</v>
      </c>
      <c r="D21" s="129">
        <v>-0.71648583630613694</v>
      </c>
      <c r="F21" s="2">
        <v>1.5397110646690078</v>
      </c>
      <c r="G21" s="2">
        <v>-0.71659223065466837</v>
      </c>
      <c r="I21" s="2">
        <v>1.5051525633361573</v>
      </c>
      <c r="J21" s="2">
        <v>-0.71698307411794504</v>
      </c>
      <c r="L21" s="3">
        <v>1.5976955302287648</v>
      </c>
      <c r="M21" s="3">
        <v>-0.76869166948982959</v>
      </c>
      <c r="W21"/>
      <c r="X21"/>
      <c r="AG21" s="94"/>
      <c r="AI21" s="242">
        <v>3</v>
      </c>
      <c r="AJ21" s="242">
        <v>-4</v>
      </c>
      <c r="AK21" s="244">
        <v>-1.4515</v>
      </c>
      <c r="AL21" s="244">
        <v>3.3839999999999999</v>
      </c>
      <c r="AM21" s="257">
        <v>2.9940000000000002</v>
      </c>
      <c r="AN21" s="270">
        <v>-1.496</v>
      </c>
      <c r="AO21" s="271">
        <v>3.86</v>
      </c>
      <c r="AP21" s="272">
        <v>3.7410000000000001</v>
      </c>
      <c r="AQ21" s="259">
        <v>-1.534</v>
      </c>
      <c r="AR21" s="244">
        <v>4.2690000000000001</v>
      </c>
      <c r="AS21" s="246">
        <v>4.3490000000000002</v>
      </c>
      <c r="AT21" s="244">
        <v>-1.5649999999999999</v>
      </c>
      <c r="AU21" s="244">
        <v>4.6239999999999997</v>
      </c>
      <c r="AV21" s="249">
        <v>4.8639999999999999</v>
      </c>
      <c r="AX21" s="255">
        <v>-1.5062</v>
      </c>
      <c r="AY21" s="255">
        <v>3.7280000000000002</v>
      </c>
      <c r="AZ21" s="274">
        <v>3.4249999999999998</v>
      </c>
      <c r="BA21" s="255">
        <v>-1.502</v>
      </c>
      <c r="BB21" s="255">
        <v>3.8294999999999999</v>
      </c>
      <c r="BC21" s="274">
        <v>3.649</v>
      </c>
      <c r="BD21" s="270">
        <v>-1.496</v>
      </c>
      <c r="BE21" s="271">
        <v>3.86</v>
      </c>
      <c r="BF21" s="272">
        <v>3.7410000000000001</v>
      </c>
      <c r="BH21" s="255">
        <v>-1.5814999999999999</v>
      </c>
      <c r="BI21" s="255">
        <v>3.7349999999999999</v>
      </c>
      <c r="BJ21" s="274">
        <v>3.085</v>
      </c>
      <c r="BK21" s="282">
        <v>-1.496</v>
      </c>
      <c r="BL21" s="283">
        <v>3.86</v>
      </c>
      <c r="BM21" s="284">
        <v>3.7410000000000001</v>
      </c>
      <c r="BN21" s="259">
        <v>-1.4265000000000001</v>
      </c>
      <c r="BO21" s="244">
        <v>3.9704999999999999</v>
      </c>
      <c r="BP21" s="249">
        <v>4.3499999999999996</v>
      </c>
      <c r="BR21" s="255">
        <v>-1.3580000000000001</v>
      </c>
      <c r="BS21" s="255">
        <v>3.6505000000000001</v>
      </c>
      <c r="BT21" s="274">
        <v>4.0640000000000001</v>
      </c>
      <c r="BU21" s="282">
        <v>-1.496</v>
      </c>
      <c r="BV21" s="283">
        <v>3.86</v>
      </c>
      <c r="BW21" s="284">
        <v>3.7410000000000001</v>
      </c>
      <c r="BX21" s="259">
        <v>-1.7150000000000001</v>
      </c>
      <c r="BY21" s="244">
        <v>4.2080000000000002</v>
      </c>
      <c r="BZ21" s="249">
        <v>3.3610000000000002</v>
      </c>
    </row>
    <row r="22" spans="1:78">
      <c r="A22" s="84"/>
      <c r="B22" s="84"/>
      <c r="C22" s="129">
        <v>1.551790945739439</v>
      </c>
      <c r="D22" s="129">
        <v>-0.66520611883829384</v>
      </c>
      <c r="F22" s="2">
        <v>1.5208655772114734</v>
      </c>
      <c r="G22" s="2">
        <v>-0.66521813542682273</v>
      </c>
      <c r="I22" s="2">
        <v>1.4848840340383631</v>
      </c>
      <c r="J22" s="2">
        <v>-0.66549569172040468</v>
      </c>
      <c r="L22" s="3">
        <v>1.5803139869553087</v>
      </c>
      <c r="M22" s="3">
        <v>-0.71661120235878117</v>
      </c>
      <c r="W22"/>
      <c r="X22"/>
      <c r="AG22" s="94"/>
      <c r="AI22" s="2">
        <v>4</v>
      </c>
      <c r="AJ22" s="2">
        <v>-1</v>
      </c>
      <c r="AK22" s="245">
        <v>-2.222</v>
      </c>
      <c r="AL22" s="245">
        <v>2.444</v>
      </c>
      <c r="AM22" s="246">
        <v>3.4</v>
      </c>
      <c r="AN22" s="262">
        <v>-2.2330000000000001</v>
      </c>
      <c r="AO22" s="262">
        <v>3.0329999999999999</v>
      </c>
      <c r="AP22" s="263">
        <v>4.4329999999999998</v>
      </c>
      <c r="AQ22" s="245">
        <v>-2.238</v>
      </c>
      <c r="AR22" s="245">
        <v>3.5074999999999998</v>
      </c>
      <c r="AS22" s="246">
        <v>5.2690000000000001</v>
      </c>
      <c r="AT22" s="245">
        <v>-2.2364999999999999</v>
      </c>
      <c r="AU22" s="245">
        <v>3.9032</v>
      </c>
      <c r="AV22" s="249">
        <v>5.9809999999999999</v>
      </c>
      <c r="BL22" s="104"/>
    </row>
    <row r="23" spans="1:78">
      <c r="A23" s="84"/>
      <c r="B23" s="84"/>
      <c r="C23" s="131">
        <v>1.5500005209177459</v>
      </c>
      <c r="D23" s="131">
        <v>-0.66000334397620597</v>
      </c>
      <c r="F23" s="2">
        <v>1.5189494488061235</v>
      </c>
      <c r="G23" s="2">
        <v>-0.66000334397618832</v>
      </c>
      <c r="I23" s="2">
        <v>1.4827186402914077</v>
      </c>
      <c r="J23" s="2">
        <v>-0.66000334397619587</v>
      </c>
      <c r="L23" s="3">
        <v>1.563152443953534</v>
      </c>
      <c r="M23" s="3">
        <v>-0.66535212912435227</v>
      </c>
      <c r="W23"/>
      <c r="X23"/>
      <c r="AG23" s="94"/>
      <c r="AI23" s="2">
        <v>4</v>
      </c>
      <c r="AJ23" s="2">
        <v>-2</v>
      </c>
      <c r="AK23" s="245">
        <v>-2.0924999999999998</v>
      </c>
      <c r="AL23" s="245">
        <v>2.7650000000000001</v>
      </c>
      <c r="AM23" s="246">
        <v>3.286</v>
      </c>
      <c r="AN23" s="245">
        <v>-2.117</v>
      </c>
      <c r="AO23" s="245">
        <v>3.3214999999999999</v>
      </c>
      <c r="AP23" s="249">
        <v>4.2759999999999998</v>
      </c>
      <c r="AQ23" s="245">
        <v>-2.1320000000000001</v>
      </c>
      <c r="AR23" s="245">
        <v>3.7829999999999999</v>
      </c>
      <c r="AS23" s="246">
        <v>5.0979999999999999</v>
      </c>
      <c r="AT23" s="245">
        <v>-2.14</v>
      </c>
      <c r="AU23" s="245">
        <v>4.1734999999999998</v>
      </c>
      <c r="AV23" s="249">
        <v>5.8010000000000002</v>
      </c>
      <c r="BJ23" s="273">
        <f>BJ14+0.5</f>
        <v>3.5750000000000002</v>
      </c>
      <c r="BK23" t="s">
        <v>151</v>
      </c>
      <c r="BP23" s="273">
        <f>BP14-0.5</f>
        <v>3.7329999999999997</v>
      </c>
    </row>
    <row r="24" spans="1:78">
      <c r="A24" s="85"/>
      <c r="B24" s="85"/>
      <c r="C24" s="131">
        <v>1.5381935563693974</v>
      </c>
      <c r="D24" s="131">
        <v>-0.62575995609202317</v>
      </c>
      <c r="F24" s="2">
        <v>1.5063679235603895</v>
      </c>
      <c r="G24" s="2">
        <v>-0.62582507388283803</v>
      </c>
      <c r="I24" s="2">
        <v>1.4692770178756727</v>
      </c>
      <c r="J24" s="2">
        <v>-0.62596597446032243</v>
      </c>
      <c r="L24" s="3">
        <v>1.5613585395936456</v>
      </c>
      <c r="M24" s="3">
        <v>-0.66000334397620364</v>
      </c>
      <c r="W24"/>
      <c r="X24"/>
      <c r="AG24" s="94"/>
      <c r="AI24" s="2">
        <v>4</v>
      </c>
      <c r="AJ24" s="2">
        <v>-3</v>
      </c>
      <c r="AK24" s="245">
        <v>-1.9678</v>
      </c>
      <c r="AL24" s="245">
        <v>3.0407999999999999</v>
      </c>
      <c r="AM24" s="246">
        <v>3.181</v>
      </c>
      <c r="AN24" s="245">
        <v>-2.0030000000000001</v>
      </c>
      <c r="AO24" s="245">
        <v>3.56</v>
      </c>
      <c r="AP24" s="249">
        <v>4.109</v>
      </c>
      <c r="AQ24" s="245">
        <v>-2.028</v>
      </c>
      <c r="AR24" s="245">
        <v>3.9990000000000001</v>
      </c>
      <c r="AS24" s="246">
        <v>4.8879999999999999</v>
      </c>
      <c r="AT24" s="245">
        <v>-2.044</v>
      </c>
      <c r="AU24" s="245">
        <v>4.3760000000000003</v>
      </c>
      <c r="AV24" s="249">
        <v>5.5640000000000001</v>
      </c>
      <c r="BJ24" s="273">
        <f t="shared" ref="BJ24:BJ30" si="3">BJ15+0.5</f>
        <v>3.4830000000000001</v>
      </c>
      <c r="BP24" s="273">
        <f t="shared" ref="BP24:BP30" si="4">BP15-0.5</f>
        <v>3.74</v>
      </c>
    </row>
    <row r="25" spans="1:78">
      <c r="C25" s="131">
        <v>1.5265170085592767</v>
      </c>
      <c r="D25" s="131">
        <v>-0.59201470278178792</v>
      </c>
      <c r="F25" s="2">
        <v>1.493916426550834</v>
      </c>
      <c r="G25" s="2">
        <v>-0.5921133498016381</v>
      </c>
      <c r="I25" s="2">
        <v>1.4559583042605608</v>
      </c>
      <c r="J25" s="2">
        <v>-0.59234117105087569</v>
      </c>
      <c r="L25" s="3">
        <v>1.5498589936348113</v>
      </c>
      <c r="M25" s="3">
        <v>-0.62578171330392929</v>
      </c>
      <c r="W25"/>
      <c r="X25"/>
      <c r="AG25" s="94"/>
      <c r="AI25" s="2">
        <v>4</v>
      </c>
      <c r="AJ25" s="2">
        <v>-4</v>
      </c>
      <c r="AK25" s="245">
        <v>-1.8525</v>
      </c>
      <c r="AL25" s="245">
        <v>3.2905000000000002</v>
      </c>
      <c r="AM25" s="246">
        <v>3.105</v>
      </c>
      <c r="AN25" s="245">
        <v>-1.8939999999999999</v>
      </c>
      <c r="AO25" s="245">
        <v>3.778</v>
      </c>
      <c r="AP25" s="249">
        <v>3.9790000000000001</v>
      </c>
      <c r="AQ25" s="245">
        <v>-1.927</v>
      </c>
      <c r="AR25" s="245">
        <v>4.1955999999999998</v>
      </c>
      <c r="AS25" s="246">
        <v>4.7089999999999996</v>
      </c>
      <c r="AT25" s="245">
        <v>-1.95</v>
      </c>
      <c r="AU25" s="245">
        <v>4.5576999999999996</v>
      </c>
      <c r="AV25" s="249">
        <v>5.3490000000000002</v>
      </c>
      <c r="BJ25" s="273">
        <f t="shared" si="3"/>
        <v>3.4060000000000001</v>
      </c>
      <c r="BP25" s="273">
        <f t="shared" si="4"/>
        <v>3.7249999999999996</v>
      </c>
    </row>
    <row r="26" spans="1:78">
      <c r="C26" s="131">
        <v>1.5149690042741559</v>
      </c>
      <c r="D26" s="131">
        <v>-0.5587587638475211</v>
      </c>
      <c r="F26" s="2">
        <v>1.4815932077608387</v>
      </c>
      <c r="G26" s="2">
        <v>-0.55886042330665475</v>
      </c>
      <c r="I26" s="2">
        <v>1.4427610331037304</v>
      </c>
      <c r="J26" s="2">
        <v>-0.55912285229764391</v>
      </c>
      <c r="L26" s="3">
        <v>1.5384859997920273</v>
      </c>
      <c r="M26" s="3">
        <v>-0.59205556477321586</v>
      </c>
      <c r="W26"/>
      <c r="X26"/>
      <c r="AG26" s="94"/>
      <c r="BJ26" s="273">
        <f t="shared" si="3"/>
        <v>3.3530000000000002</v>
      </c>
      <c r="BP26" s="273">
        <f t="shared" si="4"/>
        <v>3.7110000000000003</v>
      </c>
    </row>
    <row r="27" spans="1:78">
      <c r="C27" s="131">
        <v>1.5035477032604436</v>
      </c>
      <c r="D27" s="131">
        <v>-0.52598350322836207</v>
      </c>
      <c r="F27" s="2">
        <v>1.4693965460409564</v>
      </c>
      <c r="G27" s="2">
        <v>-0.52605869770430425</v>
      </c>
      <c r="I27" s="2">
        <v>1.4296837595187797</v>
      </c>
      <c r="J27" s="2">
        <v>-0.52630504246296661</v>
      </c>
      <c r="L27" s="3">
        <v>1.5272377478784616</v>
      </c>
      <c r="M27" s="3">
        <v>-0.55881616424408509</v>
      </c>
      <c r="W27"/>
      <c r="X27"/>
      <c r="AG27" s="94"/>
      <c r="BJ27" s="274">
        <f t="shared" si="3"/>
        <v>4.0549999999999997</v>
      </c>
      <c r="BP27" s="274">
        <f t="shared" si="4"/>
        <v>4.0220000000000002</v>
      </c>
    </row>
    <row r="28" spans="1:78">
      <c r="C28" s="131">
        <v>1.4922512975389102</v>
      </c>
      <c r="D28" s="131">
        <v>-0.49368046457481829</v>
      </c>
      <c r="F28" s="2">
        <v>1.457324748546057</v>
      </c>
      <c r="G28" s="2">
        <v>-0.49370072461216058</v>
      </c>
      <c r="I28" s="2">
        <v>1.4167250597039538</v>
      </c>
      <c r="J28" s="2">
        <v>-0.49388186940536011</v>
      </c>
      <c r="L28" s="3">
        <v>1.5161124594232582</v>
      </c>
      <c r="M28" s="3">
        <v>-0.52605495911825528</v>
      </c>
      <c r="W28"/>
      <c r="X28"/>
      <c r="AG28" s="94"/>
      <c r="BJ28" s="274">
        <f t="shared" si="3"/>
        <v>3.8740000000000001</v>
      </c>
      <c r="BP28" s="274">
        <f t="shared" si="4"/>
        <v>3.9770000000000003</v>
      </c>
    </row>
    <row r="29" spans="1:78">
      <c r="C29" s="101">
        <v>1.4912252804040258</v>
      </c>
      <c r="D29" s="101">
        <v>-0.49075210650337309</v>
      </c>
      <c r="F29" s="2">
        <v>1.4562227049902159</v>
      </c>
      <c r="G29" s="2">
        <v>-0.49075210650337675</v>
      </c>
      <c r="I29" s="2">
        <v>1.4154721215482111</v>
      </c>
      <c r="J29" s="2">
        <v>-0.49075210650337392</v>
      </c>
      <c r="L29" s="3">
        <v>1.5051083870149313</v>
      </c>
      <c r="M29" s="3">
        <v>-0.49376357399471577</v>
      </c>
      <c r="W29"/>
      <c r="X29"/>
      <c r="AG29" s="94"/>
      <c r="BJ29" s="274">
        <f t="shared" si="3"/>
        <v>3.7069999999999999</v>
      </c>
      <c r="BP29" s="274">
        <f t="shared" si="4"/>
        <v>3.9080000000000004</v>
      </c>
    </row>
    <row r="30" spans="1:78">
      <c r="C30" s="101">
        <v>1.4825069651292531</v>
      </c>
      <c r="D30" s="101">
        <v>-0.46592321263735204</v>
      </c>
      <c r="F30" s="2">
        <v>1.4469432692210507</v>
      </c>
      <c r="G30" s="2">
        <v>-0.46597503402345153</v>
      </c>
      <c r="I30" s="2">
        <v>1.4055775448978807</v>
      </c>
      <c r="J30" s="2">
        <v>-0.46608144797585993</v>
      </c>
      <c r="L30" s="3">
        <v>1.5040801959525505</v>
      </c>
      <c r="M30" s="3">
        <v>-0.49075210650337375</v>
      </c>
      <c r="W30"/>
      <c r="X30"/>
      <c r="AG30" s="94"/>
      <c r="BJ30" s="274">
        <f t="shared" si="3"/>
        <v>3.585</v>
      </c>
      <c r="BP30" s="274">
        <f t="shared" si="4"/>
        <v>3.8499999999999996</v>
      </c>
    </row>
    <row r="31" spans="1:78">
      <c r="C31" s="101">
        <v>1.4738824465726534</v>
      </c>
      <c r="D31" s="101">
        <v>-0.44146024000520551</v>
      </c>
      <c r="F31" s="2">
        <v>1.4377568291030245</v>
      </c>
      <c r="G31" s="2">
        <v>-0.44153930696084859</v>
      </c>
      <c r="I31" s="2">
        <v>1.3957700914226077</v>
      </c>
      <c r="J31" s="2">
        <v>-0.44171069673760183</v>
      </c>
      <c r="L31" s="3">
        <v>1.4955895621306845</v>
      </c>
      <c r="M31" s="3">
        <v>-0.46593761056997274</v>
      </c>
      <c r="W31"/>
      <c r="X31"/>
      <c r="AG31" s="94"/>
    </row>
    <row r="32" spans="1:78">
      <c r="C32" s="101">
        <v>1.465350358750608</v>
      </c>
      <c r="D32" s="101">
        <v>-0.41735648357269051</v>
      </c>
      <c r="F32" s="2">
        <v>1.4286621202311869</v>
      </c>
      <c r="G32" s="2">
        <v>-0.41743908070817526</v>
      </c>
      <c r="I32" s="2">
        <v>1.3860487174146896</v>
      </c>
      <c r="J32" s="2">
        <v>-0.4176353233494331</v>
      </c>
      <c r="L32" s="3">
        <v>1.4871899466907805</v>
      </c>
      <c r="M32" s="3">
        <v>-0.4414870556017817</v>
      </c>
      <c r="W32"/>
      <c r="X32"/>
      <c r="AG32" s="94"/>
    </row>
    <row r="33" spans="3:34">
      <c r="C33" s="101">
        <v>1.4569093605719723</v>
      </c>
      <c r="D33" s="101">
        <v>-0.39360538527108996</v>
      </c>
      <c r="F33" s="2">
        <v>1.419657899723936</v>
      </c>
      <c r="G33" s="2">
        <v>-0.3936686303807545</v>
      </c>
      <c r="I33" s="2">
        <v>1.376412394832162</v>
      </c>
      <c r="J33" s="2">
        <v>-0.39385088023459891</v>
      </c>
      <c r="L33" s="3">
        <v>1.4788800298394562</v>
      </c>
      <c r="M33" s="3">
        <v>-0.41739380349966526</v>
      </c>
      <c r="W33"/>
      <c r="X33"/>
      <c r="AG33" s="94"/>
    </row>
    <row r="34" spans="3:34">
      <c r="C34" s="101">
        <v>1.4485581352944656</v>
      </c>
      <c r="D34" s="101">
        <v>-0.37020053025054034</v>
      </c>
      <c r="F34" s="2">
        <v>1.410742945783789</v>
      </c>
      <c r="G34" s="2">
        <v>-0.37022234796366915</v>
      </c>
      <c r="I34" s="2">
        <v>1.3668601110167533</v>
      </c>
      <c r="J34" s="2">
        <v>-0.37035299995700732</v>
      </c>
      <c r="L34" s="3">
        <v>1.47065851572783</v>
      </c>
      <c r="M34" s="3">
        <v>-0.39365136100237708</v>
      </c>
      <c r="W34"/>
      <c r="X34"/>
      <c r="AG34" s="94"/>
    </row>
    <row r="35" spans="3:34">
      <c r="C35" s="134">
        <v>1.4479001349363869</v>
      </c>
      <c r="D35" s="134">
        <v>-0.36836040959450334</v>
      </c>
      <c r="F35" s="229">
        <v>1.4100335412777052</v>
      </c>
      <c r="G35" s="23">
        <v>-0.36836040959450267</v>
      </c>
      <c r="H35" s="28"/>
      <c r="I35" s="23">
        <v>1.3660486103180955</v>
      </c>
      <c r="J35" s="235">
        <v>-0.36836040959449923</v>
      </c>
      <c r="L35" s="3">
        <v>1.4625241319309235</v>
      </c>
      <c r="M35" s="3">
        <v>-0.37025337601076436</v>
      </c>
      <c r="W35"/>
      <c r="X35"/>
      <c r="AG35" s="94"/>
    </row>
    <row r="36" spans="3:34">
      <c r="C36" s="134">
        <v>1.4407353915764547</v>
      </c>
      <c r="D36" s="134">
        <v>-0.34837458268389754</v>
      </c>
      <c r="F36" s="23">
        <v>1.4024192246032883</v>
      </c>
      <c r="G36" s="23">
        <v>-0.34842296592120786</v>
      </c>
      <c r="H36" s="28"/>
      <c r="I36" s="23">
        <v>1.3579499186971702</v>
      </c>
      <c r="J36" s="23">
        <v>-0.34851659285788883</v>
      </c>
      <c r="L36" s="3">
        <v>1.4618646256914121</v>
      </c>
      <c r="M36" s="3">
        <v>-0.36836040959450012</v>
      </c>
      <c r="W36"/>
      <c r="X36"/>
      <c r="AG36" s="94"/>
    </row>
    <row r="37" spans="3:34">
      <c r="C37" s="134">
        <v>1.4336524102848602</v>
      </c>
      <c r="D37" s="134">
        <v>-0.32871033002437539</v>
      </c>
      <c r="F37" s="2">
        <v>1.3948854835516113</v>
      </c>
      <c r="G37" s="2">
        <v>-0.32878419770407136</v>
      </c>
      <c r="I37" s="2">
        <v>1.3499259920531277</v>
      </c>
      <c r="J37" s="2">
        <v>-0.32893337482800528</v>
      </c>
      <c r="L37" s="3">
        <v>1.4548877790534489</v>
      </c>
      <c r="M37" s="3">
        <v>-0.34838517359075338</v>
      </c>
      <c r="W37"/>
      <c r="X37"/>
      <c r="AG37" s="94"/>
    </row>
    <row r="38" spans="3:34">
      <c r="C38" s="134">
        <v>1.4266498900295572</v>
      </c>
      <c r="D38" s="134">
        <v>-0.30936112648198899</v>
      </c>
      <c r="F38" s="2">
        <v>1.3874311256451806</v>
      </c>
      <c r="G38" s="2">
        <v>-0.30943846414548914</v>
      </c>
      <c r="I38" s="2">
        <v>1.3419758615692314</v>
      </c>
      <c r="J38" s="2">
        <v>-0.30960644220857153</v>
      </c>
      <c r="L38" s="3">
        <v>1.4479902669453417</v>
      </c>
      <c r="M38" s="3">
        <v>-0.32872973280451179</v>
      </c>
      <c r="W38"/>
      <c r="X38"/>
      <c r="AF38" s="224"/>
      <c r="AG38" s="236"/>
      <c r="AH38" s="151"/>
    </row>
    <row r="39" spans="3:34">
      <c r="C39" s="134">
        <v>1.4197265560449479</v>
      </c>
      <c r="D39" s="134">
        <v>-0.29032060677462901</v>
      </c>
      <c r="F39" s="2">
        <v>1.3800549808097113</v>
      </c>
      <c r="G39" s="2">
        <v>-0.29038025309686788</v>
      </c>
      <c r="I39" s="2">
        <v>1.3340985743776481</v>
      </c>
      <c r="J39" s="2">
        <v>-0.29053156795359592</v>
      </c>
      <c r="L39" s="3">
        <v>1.4411708326972008</v>
      </c>
      <c r="M39" s="3">
        <v>-0.30938762909381329</v>
      </c>
      <c r="W39"/>
      <c r="X39"/>
      <c r="AF39" s="224"/>
      <c r="AG39" s="236"/>
      <c r="AH39" s="151"/>
    </row>
    <row r="40" spans="3:34">
      <c r="C40" s="134">
        <v>1.412881159190688</v>
      </c>
      <c r="D40" s="134">
        <v>-0.2715825608886735</v>
      </c>
      <c r="F40" s="2">
        <v>1.372755900865003</v>
      </c>
      <c r="G40" s="2">
        <v>-0.27160417762364919</v>
      </c>
      <c r="I40" s="2">
        <v>1.3262931932416466</v>
      </c>
      <c r="J40" s="2">
        <v>-0.27170460924734202</v>
      </c>
      <c r="L40" s="3">
        <v>1.4344282448927892</v>
      </c>
      <c r="M40" s="3">
        <v>-0.29035256178099311</v>
      </c>
      <c r="W40"/>
      <c r="X40"/>
      <c r="AF40" s="224"/>
      <c r="AG40" s="236"/>
      <c r="AH40" s="151"/>
    </row>
    <row r="41" spans="3:34">
      <c r="C41" s="136">
        <v>1.4124304365647959</v>
      </c>
      <c r="D41" s="136">
        <v>-0.27035186996590721</v>
      </c>
      <c r="F41" s="2">
        <v>1.3722679271244049</v>
      </c>
      <c r="G41" s="2">
        <v>-0.27035186996590999</v>
      </c>
      <c r="I41" s="2">
        <v>1.325731190021971</v>
      </c>
      <c r="J41" s="2">
        <v>-0.27035186996591054</v>
      </c>
      <c r="L41" s="3">
        <v>1.4277612967559139</v>
      </c>
      <c r="M41" s="3">
        <v>-0.27161838315892745</v>
      </c>
      <c r="W41"/>
      <c r="X41"/>
      <c r="AF41" s="224"/>
      <c r="AG41" s="236"/>
      <c r="AH41" s="151"/>
    </row>
    <row r="42" spans="3:34">
      <c r="C42" s="136">
        <v>1.4058482925478974</v>
      </c>
      <c r="D42" s="136">
        <v>-0.2524349803324229</v>
      </c>
      <c r="F42" s="2">
        <v>1.3652871097542105</v>
      </c>
      <c r="G42" s="2">
        <v>-0.25248853155118994</v>
      </c>
      <c r="I42" s="2">
        <v>1.3183313442207412</v>
      </c>
      <c r="J42" s="2">
        <v>-0.25258595226379238</v>
      </c>
      <c r="L42" s="3">
        <v>1.4273094608865726</v>
      </c>
      <c r="M42" s="3">
        <v>-0.27035186996590954</v>
      </c>
      <c r="R42" t="s">
        <v>48</v>
      </c>
      <c r="W42"/>
      <c r="X42"/>
      <c r="AF42" s="224"/>
      <c r="AG42" s="236"/>
      <c r="AH42" s="151"/>
    </row>
    <row r="43" spans="3:34">
      <c r="C43" s="136">
        <v>1.399352738634644</v>
      </c>
      <c r="D43" s="136">
        <v>-0.23485745150929335</v>
      </c>
      <c r="F43" s="2">
        <v>1.3583910211789445</v>
      </c>
      <c r="G43" s="2">
        <v>-0.23493875731383146</v>
      </c>
      <c r="I43" s="2">
        <v>1.3110092334837102</v>
      </c>
      <c r="J43" s="2">
        <v>-0.23509137693445056</v>
      </c>
      <c r="L43" s="3">
        <v>1.4209009936505286</v>
      </c>
      <c r="M43" s="3">
        <v>-0.25244379402064504</v>
      </c>
      <c r="W43"/>
      <c r="X43"/>
      <c r="AF43" s="224"/>
      <c r="AG43" s="236"/>
      <c r="AH43" s="151"/>
    </row>
    <row r="44" spans="3:34">
      <c r="C44" s="136">
        <v>1.3929421521123424</v>
      </c>
      <c r="D44" s="136">
        <v>-0.21761110377547171</v>
      </c>
      <c r="F44" s="2">
        <v>1.3515781911357623</v>
      </c>
      <c r="G44" s="2">
        <v>-0.21769554450482437</v>
      </c>
      <c r="I44" s="2">
        <v>1.3037636852147692</v>
      </c>
      <c r="J44" s="2">
        <v>-0.21786287203624349</v>
      </c>
      <c r="L44" s="3">
        <v>1.414576529496804</v>
      </c>
      <c r="M44" s="3">
        <v>-0.2348731379579668</v>
      </c>
      <c r="W44"/>
      <c r="X44"/>
      <c r="AF44" s="28"/>
      <c r="AG44" s="236"/>
      <c r="AH44" s="151"/>
    </row>
    <row r="45" spans="3:34">
      <c r="C45" s="136">
        <v>1.386614949185289</v>
      </c>
      <c r="D45" s="136">
        <v>-0.20068799678162264</v>
      </c>
      <c r="F45" s="2">
        <v>1.3448471820300123</v>
      </c>
      <c r="G45" s="2">
        <v>-0.20075208032068487</v>
      </c>
      <c r="I45" s="2">
        <v>1.2965935494848957</v>
      </c>
      <c r="J45" s="2">
        <v>-0.20089529011167298</v>
      </c>
      <c r="L45" s="3">
        <v>1.4083345017638871</v>
      </c>
      <c r="M45" s="3">
        <v>-0.21763180928098663</v>
      </c>
      <c r="W45"/>
      <c r="X45"/>
      <c r="AF45" s="28"/>
      <c r="AG45" s="236"/>
      <c r="AH45" s="151"/>
    </row>
    <row r="46" spans="3:34">
      <c r="C46" s="136">
        <v>1.3803695838401704</v>
      </c>
      <c r="D46" s="136">
        <v>-0.18408042132235075</v>
      </c>
      <c r="F46" s="2">
        <v>1.3381965880523956</v>
      </c>
      <c r="G46" s="2">
        <v>-0.18410173584976314</v>
      </c>
      <c r="I46" s="2">
        <v>1.2894976984988196</v>
      </c>
      <c r="J46" s="2">
        <v>-0.18418360473159451</v>
      </c>
      <c r="L46" s="3">
        <v>1.4021733811806656</v>
      </c>
      <c r="M46" s="3">
        <v>-0.20071195114285534</v>
      </c>
      <c r="W46"/>
      <c r="X46"/>
      <c r="AF46" s="28"/>
      <c r="AG46" s="236"/>
      <c r="AH46" s="151"/>
    </row>
    <row r="47" spans="3:34">
      <c r="C47" s="128">
        <v>1.3800444004239829</v>
      </c>
      <c r="D47" s="128">
        <v>-0.18321833372345564</v>
      </c>
      <c r="F47" s="2">
        <v>1.3378427227725525</v>
      </c>
      <c r="G47" s="2">
        <v>-0.18321833372345783</v>
      </c>
      <c r="I47" s="2">
        <v>1.2890868023633295</v>
      </c>
      <c r="J47" s="2">
        <v>-0.18321833372345828</v>
      </c>
      <c r="L47" s="3">
        <v>1.3960916747816385</v>
      </c>
      <c r="M47" s="3">
        <v>-0.18410593428659533</v>
      </c>
      <c r="W47"/>
      <c r="X47"/>
      <c r="AG47" s="236"/>
      <c r="AH47" s="151"/>
    </row>
    <row r="48" spans="3:34">
      <c r="C48" s="128">
        <v>1.372634927306696</v>
      </c>
      <c r="D48" s="128">
        <v>-0.16366210821090649</v>
      </c>
      <c r="F48" s="2">
        <v>1.330010875843612</v>
      </c>
      <c r="G48" s="2">
        <v>-0.1637470640079654</v>
      </c>
      <c r="I48" s="2">
        <v>1.2808299505046885</v>
      </c>
      <c r="J48" s="2">
        <v>-0.16389109868576687</v>
      </c>
      <c r="L48" s="3">
        <v>1.3957656183759459</v>
      </c>
      <c r="M48" s="3">
        <v>-0.18321833372345758</v>
      </c>
      <c r="W48"/>
      <c r="X48"/>
      <c r="AG48" s="94"/>
    </row>
    <row r="49" spans="1:57">
      <c r="C49" s="128">
        <v>1.3653596344554397</v>
      </c>
      <c r="D49" s="128">
        <v>-0.14462368993427721</v>
      </c>
      <c r="F49" s="2">
        <v>1.3223090198624361</v>
      </c>
      <c r="G49" s="2">
        <v>-0.1447506491952176</v>
      </c>
      <c r="I49" s="2">
        <v>1.2726904967194723</v>
      </c>
      <c r="J49" s="2">
        <v>-0.14496994289945794</v>
      </c>
      <c r="L49" s="3">
        <v>1.3885536113981798</v>
      </c>
      <c r="M49" s="3">
        <v>-0.16367168753119349</v>
      </c>
      <c r="W49"/>
      <c r="X49"/>
      <c r="AG49" s="94"/>
    </row>
    <row r="50" spans="1:57">
      <c r="A50" s="28"/>
      <c r="C50" s="128">
        <v>1.3582150083183571</v>
      </c>
      <c r="D50" s="128">
        <v>-0.12608555122040582</v>
      </c>
      <c r="F50" s="23">
        <v>1.3147340216809638</v>
      </c>
      <c r="G50" s="23">
        <v>-0.12621428498346554</v>
      </c>
      <c r="H50" s="28"/>
      <c r="I50" s="23">
        <v>1.2646660045786431</v>
      </c>
      <c r="J50" s="23">
        <v>-0.12644395690981503</v>
      </c>
      <c r="K50" s="28"/>
      <c r="L50" s="36">
        <v>1.3814717241311527</v>
      </c>
      <c r="M50" s="36">
        <v>-0.14463971691094424</v>
      </c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G50" s="94"/>
      <c r="AX50" t="s">
        <v>127</v>
      </c>
    </row>
    <row r="51" spans="1:57">
      <c r="B51" s="28"/>
      <c r="C51" s="128">
        <v>1.351197653587435</v>
      </c>
      <c r="D51" s="128">
        <v>-0.10803088637331064</v>
      </c>
      <c r="E51" s="28"/>
      <c r="F51" s="2">
        <v>1.3072828452736778</v>
      </c>
      <c r="G51" s="2">
        <v>-0.10812372905580411</v>
      </c>
      <c r="I51" s="2">
        <v>1.2567541027508704</v>
      </c>
      <c r="J51" s="2">
        <v>-0.10830258848361077</v>
      </c>
      <c r="L51" s="3">
        <v>1.3745165669469499</v>
      </c>
      <c r="M51" s="3">
        <v>-0.1261050920607831</v>
      </c>
      <c r="W51"/>
      <c r="X51"/>
      <c r="AD51" s="28"/>
      <c r="AE51" s="7"/>
      <c r="AG51" s="94"/>
      <c r="AX51" t="s">
        <v>128</v>
      </c>
    </row>
    <row r="52" spans="1:57">
      <c r="C52" s="128">
        <v>1.3443042883508545</v>
      </c>
      <c r="D52" s="128">
        <v>-9.04435767162797E-2</v>
      </c>
      <c r="F52" s="2">
        <v>1.2999525480674019</v>
      </c>
      <c r="G52" s="2">
        <v>-9.0465275988421356E-2</v>
      </c>
      <c r="I52" s="2">
        <v>1.2489524828798444</v>
      </c>
      <c r="J52" s="2">
        <v>-9.0535628838749244E-2</v>
      </c>
      <c r="L52" s="3">
        <v>1.3676848637019441</v>
      </c>
      <c r="M52" s="3">
        <v>-0.10805119326827393</v>
      </c>
      <c r="R52" s="7"/>
      <c r="S52" s="7"/>
      <c r="T52" s="7"/>
      <c r="U52" s="7"/>
      <c r="V52" s="7"/>
      <c r="W52" s="7"/>
      <c r="X52" s="7"/>
      <c r="Y52" s="7"/>
      <c r="Z52" s="7"/>
      <c r="AD52" s="28"/>
      <c r="AE52" s="14"/>
      <c r="AF52" s="7"/>
      <c r="AG52" s="237"/>
      <c r="AH52" s="7"/>
      <c r="AX52" s="253" t="s">
        <v>163</v>
      </c>
      <c r="AY52" s="253"/>
      <c r="AZ52" s="253"/>
      <c r="BA52" s="253"/>
      <c r="BB52" s="253"/>
      <c r="BC52" s="253"/>
      <c r="BD52" s="253"/>
      <c r="BE52" s="253"/>
    </row>
    <row r="53" spans="1:57">
      <c r="C53" s="111">
        <v>1.3440642034318724</v>
      </c>
      <c r="D53" s="111">
        <v>-8.983369412745007E-2</v>
      </c>
      <c r="F53" s="2">
        <v>1.2996893048805451</v>
      </c>
      <c r="G53" s="2">
        <v>-8.9833694127449598E-2</v>
      </c>
      <c r="I53" s="2">
        <v>1.2486431633434441</v>
      </c>
      <c r="J53" s="2">
        <v>-8.9833694127448668E-2</v>
      </c>
      <c r="L53" s="3">
        <v>1.3609734471083326</v>
      </c>
      <c r="M53" s="3">
        <v>-9.0462076706474798E-2</v>
      </c>
      <c r="R53" s="7"/>
      <c r="S53" s="7"/>
      <c r="T53" s="7"/>
      <c r="U53" s="7"/>
      <c r="V53" s="7"/>
      <c r="W53" s="7"/>
      <c r="X53" s="7"/>
      <c r="Y53" s="7"/>
      <c r="Z53" s="7"/>
      <c r="AD53" s="28"/>
      <c r="AE53" s="7"/>
      <c r="AF53" s="144"/>
      <c r="AG53" s="238"/>
      <c r="AH53" s="144"/>
      <c r="AI53" s="7"/>
      <c r="AJ53" s="7"/>
      <c r="AK53" s="7"/>
      <c r="AL53" s="7"/>
      <c r="BA53" s="291" t="s">
        <v>157</v>
      </c>
      <c r="BB53" s="291" t="s">
        <v>158</v>
      </c>
    </row>
    <row r="54" spans="1:57">
      <c r="C54" s="111">
        <v>1.3277086012401231</v>
      </c>
      <c r="D54" s="111">
        <v>-4.877768838489626E-2</v>
      </c>
      <c r="F54" s="2">
        <v>1.282602105879775</v>
      </c>
      <c r="G54" s="2">
        <v>-4.9281460304221598E-2</v>
      </c>
      <c r="I54" s="2">
        <v>1.2309545282006908</v>
      </c>
      <c r="J54" s="2">
        <v>-5.0062147031548508E-2</v>
      </c>
      <c r="L54" s="3">
        <v>1.3607326427021871</v>
      </c>
      <c r="M54" s="3">
        <v>-8.9833694127450056E-2</v>
      </c>
      <c r="R54" s="7"/>
      <c r="S54" s="7"/>
      <c r="T54" s="7"/>
      <c r="U54" s="7"/>
      <c r="V54" s="7"/>
      <c r="W54" s="7"/>
      <c r="X54" s="7"/>
      <c r="Y54" s="7"/>
      <c r="Z54" s="7"/>
      <c r="AD54" s="28"/>
      <c r="AE54" s="7"/>
      <c r="AF54" s="144"/>
      <c r="AG54" s="238"/>
      <c r="AH54" s="144"/>
      <c r="AI54" s="144"/>
      <c r="AJ54" s="144"/>
      <c r="AK54" s="144"/>
      <c r="AL54" s="7"/>
      <c r="AX54" s="289" t="s">
        <v>25</v>
      </c>
      <c r="AY54" s="289">
        <v>2</v>
      </c>
      <c r="BA54" s="291">
        <v>3</v>
      </c>
      <c r="BB54" s="291">
        <v>0.6</v>
      </c>
    </row>
    <row r="55" spans="1:57">
      <c r="C55" s="111">
        <v>1.3121197029046465</v>
      </c>
      <c r="D55" s="111">
        <v>-1.0554967242690477E-2</v>
      </c>
      <c r="F55" s="2">
        <v>1.2662380724186602</v>
      </c>
      <c r="G55" s="2">
        <v>-1.1270737591883948E-2</v>
      </c>
      <c r="I55" s="2">
        <v>1.2138925378064374</v>
      </c>
      <c r="J55" s="2">
        <v>-1.2391222660792844E-2</v>
      </c>
      <c r="L55" s="3">
        <v>1.344827793408893</v>
      </c>
      <c r="M55" s="3">
        <v>-4.8815780354944598E-2</v>
      </c>
      <c r="R55" s="7"/>
      <c r="S55" s="7"/>
      <c r="T55" s="7"/>
      <c r="U55" s="7"/>
      <c r="V55" s="7"/>
      <c r="W55" s="7"/>
      <c r="X55" s="7"/>
      <c r="Y55" s="7"/>
      <c r="Z55" s="7"/>
      <c r="AD55" s="28"/>
      <c r="AE55" s="7"/>
      <c r="AF55" s="144"/>
      <c r="AG55" s="238"/>
      <c r="AH55" s="144"/>
      <c r="AI55" s="144"/>
      <c r="AJ55" s="144"/>
      <c r="AK55" s="144"/>
      <c r="AL55" s="7"/>
      <c r="AX55" s="289" t="s">
        <v>65</v>
      </c>
      <c r="AY55" s="252">
        <v>0.2</v>
      </c>
      <c r="AZ55" s="252">
        <v>0.4</v>
      </c>
      <c r="BA55" s="252">
        <v>0.6</v>
      </c>
      <c r="BB55" s="252">
        <v>0.8</v>
      </c>
      <c r="BC55" s="294" t="s">
        <v>156</v>
      </c>
    </row>
    <row r="56" spans="1:57">
      <c r="C56" s="111">
        <v>1.2972454961542943</v>
      </c>
      <c r="D56" s="111">
        <v>2.5082317362613751E-2</v>
      </c>
      <c r="F56" s="2">
        <v>1.2505526484354568</v>
      </c>
      <c r="G56" s="2">
        <v>2.440061953052329E-2</v>
      </c>
      <c r="I56" s="2">
        <v>1.1974246379965465</v>
      </c>
      <c r="J56" s="2">
        <v>2.3320182432856329E-2</v>
      </c>
      <c r="L56" s="3">
        <v>1.3296652658932775</v>
      </c>
      <c r="M56" s="3">
        <v>-1.0610237068261252E-2</v>
      </c>
      <c r="R56" s="7"/>
      <c r="S56" s="7"/>
      <c r="T56" s="7"/>
      <c r="U56" s="7"/>
      <c r="V56" s="7"/>
      <c r="W56" s="7"/>
      <c r="X56" s="7"/>
      <c r="Y56" s="7"/>
      <c r="Z56" s="7"/>
      <c r="AD56" s="28"/>
      <c r="AE56" s="7"/>
      <c r="AF56" s="144"/>
      <c r="AG56" s="238"/>
      <c r="AH56" s="144"/>
      <c r="AI56" s="144"/>
      <c r="AJ56" s="144"/>
      <c r="AK56" s="144"/>
      <c r="AL56" s="7"/>
      <c r="AX56" s="228">
        <v>0</v>
      </c>
      <c r="AY56" s="228">
        <f>$AY$54+$BA$54*AY$55+$BB$54*AY$55*$AX56</f>
        <v>2.6</v>
      </c>
      <c r="AZ56" s="304">
        <f t="shared" ref="AZ56:BB60" si="5">$AY$54+$BA$54*AZ$55+$BB$54*AZ$55*$AX56</f>
        <v>3.2</v>
      </c>
      <c r="BA56" s="228">
        <f t="shared" si="5"/>
        <v>3.8</v>
      </c>
      <c r="BB56" s="228">
        <f t="shared" si="5"/>
        <v>4.4000000000000004</v>
      </c>
    </row>
    <row r="57" spans="1:57">
      <c r="C57" s="111">
        <v>1.2830384657710046</v>
      </c>
      <c r="D57" s="111">
        <v>5.8355875611985158E-2</v>
      </c>
      <c r="F57" s="2">
        <v>1.2355047830188606</v>
      </c>
      <c r="G57" s="2">
        <v>5.7915337663080907E-2</v>
      </c>
      <c r="I57" s="2">
        <v>1.1815204400058905</v>
      </c>
      <c r="J57" s="2">
        <v>5.7201691250136535E-2</v>
      </c>
      <c r="L57" s="3">
        <v>1.3151950055317678</v>
      </c>
      <c r="M57" s="3">
        <v>2.5027466541007529E-2</v>
      </c>
      <c r="R57" s="7"/>
      <c r="S57" s="7"/>
      <c r="T57" s="7"/>
      <c r="U57" s="7"/>
      <c r="V57" s="7"/>
      <c r="W57" s="7"/>
      <c r="X57" s="7"/>
      <c r="Y57" s="7"/>
      <c r="Z57" s="7"/>
      <c r="AD57" s="28"/>
      <c r="AE57" s="7"/>
      <c r="AF57" s="144"/>
      <c r="AG57" s="238"/>
      <c r="AH57" s="144"/>
      <c r="AI57" s="144"/>
      <c r="AJ57" s="144"/>
      <c r="AK57" s="144"/>
      <c r="AL57" s="7"/>
      <c r="AX57" s="228">
        <v>1</v>
      </c>
      <c r="AY57" s="228">
        <f t="shared" ref="AY57:AY60" si="6">$AY$54+$BA$54*AY$55+$BB$54*AY$55*$AX57</f>
        <v>2.72</v>
      </c>
      <c r="AZ57" s="304">
        <f t="shared" si="5"/>
        <v>3.4400000000000004</v>
      </c>
      <c r="BA57" s="228">
        <f t="shared" si="5"/>
        <v>4.16</v>
      </c>
      <c r="BB57" s="228">
        <f t="shared" si="5"/>
        <v>4.8800000000000008</v>
      </c>
    </row>
    <row r="58" spans="1:57">
      <c r="C58" s="111">
        <v>1.2694551242760737</v>
      </c>
      <c r="D58" s="111">
        <v>8.9464487717265589E-2</v>
      </c>
      <c r="F58" s="2">
        <v>1.2210565969517011</v>
      </c>
      <c r="G58" s="2">
        <v>8.9438899160411395E-2</v>
      </c>
      <c r="I58" s="2">
        <v>1.1661515457825429</v>
      </c>
      <c r="J58" s="2">
        <v>8.9372538173102492E-2</v>
      </c>
      <c r="L58" s="3">
        <v>1.3013712599259171</v>
      </c>
      <c r="M58" s="3">
        <v>5.8316226530770163E-2</v>
      </c>
      <c r="R58" s="7"/>
      <c r="S58" s="7"/>
      <c r="T58" s="7"/>
      <c r="U58" s="7"/>
      <c r="V58" s="7"/>
      <c r="W58" s="7"/>
      <c r="X58" s="7"/>
      <c r="Y58" s="7"/>
      <c r="Z58" s="7"/>
      <c r="AD58" s="28"/>
      <c r="AE58" s="7"/>
      <c r="AF58" s="144"/>
      <c r="AG58" s="238"/>
      <c r="AH58" s="144"/>
      <c r="AI58" s="144"/>
      <c r="AJ58" s="144"/>
      <c r="AK58" s="144"/>
      <c r="AL58" s="7"/>
      <c r="AX58" s="228">
        <v>2</v>
      </c>
      <c r="AY58" s="228">
        <f t="shared" si="6"/>
        <v>2.84</v>
      </c>
      <c r="AZ58" s="304">
        <f t="shared" si="5"/>
        <v>3.68</v>
      </c>
      <c r="BA58" s="228">
        <f t="shared" si="5"/>
        <v>4.5199999999999996</v>
      </c>
      <c r="BB58" s="228">
        <f t="shared" si="5"/>
        <v>5.36</v>
      </c>
    </row>
    <row r="59" spans="1:57">
      <c r="C59" s="128">
        <v>1.2692920784801782</v>
      </c>
      <c r="D59" s="128">
        <v>8.9833694127448988E-2</v>
      </c>
      <c r="F59" s="2">
        <v>1.220873756301794</v>
      </c>
      <c r="G59" s="2">
        <v>8.983369412744896E-2</v>
      </c>
      <c r="I59" s="2">
        <v>1.1659292672156862</v>
      </c>
      <c r="J59" s="2">
        <v>8.9833694127448668E-2</v>
      </c>
      <c r="L59" s="3">
        <v>1.2881521325461469</v>
      </c>
      <c r="M59" s="3">
        <v>8.9452432063243534E-2</v>
      </c>
      <c r="R59" s="7"/>
      <c r="S59" s="7"/>
      <c r="T59" s="7"/>
      <c r="U59" s="7"/>
      <c r="V59" s="7"/>
      <c r="W59" s="7"/>
      <c r="X59" s="7"/>
      <c r="Y59" s="7"/>
      <c r="Z59" s="7"/>
      <c r="AD59" s="28"/>
      <c r="AE59" s="7"/>
      <c r="AF59" s="144"/>
      <c r="AG59" s="238"/>
      <c r="AH59" s="144"/>
      <c r="AI59" s="144"/>
      <c r="AJ59" s="144"/>
      <c r="AK59" s="144"/>
      <c r="AL59" s="7"/>
      <c r="AX59" s="228">
        <v>3</v>
      </c>
      <c r="AY59" s="228">
        <f t="shared" si="6"/>
        <v>2.96</v>
      </c>
      <c r="AZ59" s="304">
        <f t="shared" si="5"/>
        <v>3.92</v>
      </c>
      <c r="BA59" s="228">
        <f t="shared" si="5"/>
        <v>4.88</v>
      </c>
      <c r="BB59" s="228">
        <f t="shared" si="5"/>
        <v>5.84</v>
      </c>
    </row>
    <row r="60" spans="1:57">
      <c r="C60" s="128">
        <v>1.2603747568764769</v>
      </c>
      <c r="D60" s="128">
        <v>0.10989535838577673</v>
      </c>
      <c r="F60" s="2">
        <v>1.2116071164610702</v>
      </c>
      <c r="G60" s="2">
        <v>0.10972574027927783</v>
      </c>
      <c r="I60" s="2">
        <v>1.1564190557287399</v>
      </c>
      <c r="J60" s="2">
        <v>0.10946916907155115</v>
      </c>
      <c r="L60" s="3">
        <v>1.2879884436857663</v>
      </c>
      <c r="M60" s="3">
        <v>8.9833694127449668E-2</v>
      </c>
      <c r="R60" s="7"/>
      <c r="S60" s="7"/>
      <c r="T60" s="7"/>
      <c r="U60" s="7"/>
      <c r="V60" s="7"/>
      <c r="W60" s="7"/>
      <c r="X60" s="7"/>
      <c r="Y60" s="7"/>
      <c r="Z60" s="7"/>
      <c r="AD60" s="28"/>
      <c r="AE60" s="7"/>
      <c r="AF60" s="144"/>
      <c r="AG60" s="144"/>
      <c r="AH60" s="144"/>
      <c r="AI60" s="144"/>
      <c r="AJ60" s="144"/>
      <c r="AK60" s="144"/>
      <c r="AL60" s="7"/>
      <c r="AX60" s="228">
        <v>4</v>
      </c>
      <c r="AY60" s="228">
        <f t="shared" si="6"/>
        <v>3.08</v>
      </c>
      <c r="AZ60" s="304">
        <f t="shared" si="5"/>
        <v>4.16</v>
      </c>
      <c r="BA60" s="228">
        <f t="shared" si="5"/>
        <v>5.24</v>
      </c>
      <c r="BB60" s="228">
        <f t="shared" si="5"/>
        <v>6.32</v>
      </c>
    </row>
    <row r="61" spans="1:57">
      <c r="C61" s="128">
        <v>1.2516869231681294</v>
      </c>
      <c r="D61" s="128">
        <v>0.1291931846276535</v>
      </c>
      <c r="F61" s="2">
        <v>1.2025517830869037</v>
      </c>
      <c r="G61" s="2">
        <v>0.12894303757752457</v>
      </c>
      <c r="I61" s="2">
        <v>1.1470853319129977</v>
      </c>
      <c r="J61" s="2">
        <v>0.12855974126331332</v>
      </c>
      <c r="L61" s="3">
        <v>1.2793261191348009</v>
      </c>
      <c r="M61" s="3">
        <v>0.1098806583124063</v>
      </c>
      <c r="R61" s="7"/>
      <c r="S61" s="7"/>
      <c r="T61" s="7"/>
      <c r="U61" s="7"/>
      <c r="V61" s="7"/>
      <c r="W61" s="7"/>
      <c r="X61" s="7"/>
      <c r="Y61" s="7"/>
      <c r="Z61" s="7"/>
      <c r="AD61" s="28"/>
      <c r="AE61" s="7"/>
      <c r="AF61" s="144"/>
      <c r="AG61" s="144"/>
      <c r="AH61" s="144"/>
      <c r="AI61" s="144"/>
      <c r="AJ61" s="144"/>
      <c r="AK61" s="144"/>
      <c r="AL61" s="7"/>
    </row>
    <row r="62" spans="1:57">
      <c r="C62" s="128">
        <v>1.2432199741606995</v>
      </c>
      <c r="D62" s="128">
        <v>0.14776415471747364</v>
      </c>
      <c r="F62" s="2">
        <v>1.1937007016724182</v>
      </c>
      <c r="G62" s="2">
        <v>0.14751470214819018</v>
      </c>
      <c r="I62" s="2">
        <v>1.1379232754763944</v>
      </c>
      <c r="J62" s="2">
        <v>0.1471246669635895</v>
      </c>
      <c r="L62" s="3">
        <v>1.2708855128228567</v>
      </c>
      <c r="M62" s="3">
        <v>0.12917049342339165</v>
      </c>
      <c r="R62" s="7"/>
      <c r="S62" s="7"/>
      <c r="T62" s="7"/>
      <c r="U62" s="7"/>
      <c r="V62" s="7"/>
      <c r="W62" s="7"/>
      <c r="X62" s="7"/>
      <c r="Y62" s="7"/>
      <c r="Z62" s="7"/>
      <c r="AD62" s="28"/>
      <c r="AE62" s="7"/>
      <c r="AF62" s="144"/>
      <c r="AG62" s="144"/>
      <c r="AH62" s="144"/>
      <c r="AI62" s="144"/>
      <c r="AJ62" s="144"/>
      <c r="AK62" s="144"/>
      <c r="AL62" s="7"/>
    </row>
    <row r="63" spans="1:57">
      <c r="C63" s="128">
        <v>1.2349657198551545</v>
      </c>
      <c r="D63" s="128">
        <v>0.16564307867138456</v>
      </c>
      <c r="F63" s="2">
        <v>1.1850471197972197</v>
      </c>
      <c r="G63" s="2">
        <v>0.16546832427021016</v>
      </c>
      <c r="I63" s="2">
        <v>1.128928235287878</v>
      </c>
      <c r="J63" s="2">
        <v>0.16518237450163431</v>
      </c>
      <c r="L63" s="3">
        <v>1.2626583748821865</v>
      </c>
      <c r="M63" s="3">
        <v>0.14773957990120343</v>
      </c>
      <c r="R63" s="7"/>
      <c r="S63" s="7"/>
      <c r="T63" s="7"/>
      <c r="U63" s="7"/>
      <c r="V63" s="7"/>
      <c r="W63" s="7"/>
      <c r="X63" s="7"/>
      <c r="Y63" s="7"/>
      <c r="Z63" s="7"/>
      <c r="AD63" s="28"/>
      <c r="AE63" s="7"/>
      <c r="AF63" s="144"/>
      <c r="AG63" s="144"/>
      <c r="AH63" s="144"/>
      <c r="AI63" s="144"/>
      <c r="AJ63" s="144"/>
      <c r="AK63" s="144"/>
      <c r="AL63" s="7"/>
    </row>
    <row r="64" spans="1:57">
      <c r="C64" s="128">
        <v>1.2269163593419372</v>
      </c>
      <c r="D64" s="128">
        <v>0.18286274409621378</v>
      </c>
      <c r="F64" s="2">
        <v>1.1765845713935514</v>
      </c>
      <c r="G64" s="2">
        <v>0.18283006216873993</v>
      </c>
      <c r="I64" s="2">
        <v>1.1200957221434658</v>
      </c>
      <c r="J64" s="2">
        <v>0.18275050610022334</v>
      </c>
      <c r="L64" s="3">
        <v>1.2546368487430728</v>
      </c>
      <c r="M64" s="3">
        <v>0.16562217765166598</v>
      </c>
      <c r="R64" s="7"/>
      <c r="S64" s="7"/>
      <c r="T64" s="7"/>
      <c r="U64" s="7"/>
      <c r="V64" s="7"/>
      <c r="W64" s="7"/>
      <c r="X64" s="7"/>
      <c r="Y64" s="7"/>
      <c r="Z64" s="7"/>
      <c r="AD64" s="28"/>
      <c r="AE64" s="7"/>
      <c r="AF64" s="144"/>
      <c r="AG64" s="144"/>
      <c r="AH64" s="144"/>
      <c r="AI64" s="144"/>
      <c r="AJ64" s="144"/>
      <c r="AK64" s="144"/>
      <c r="AL64" s="7"/>
    </row>
    <row r="65" spans="3:64">
      <c r="C65" s="120">
        <v>1.226749080225497</v>
      </c>
      <c r="D65" s="120">
        <v>0.18321833372345536</v>
      </c>
      <c r="F65" s="2">
        <v>1.1763942312028872</v>
      </c>
      <c r="G65" s="2">
        <v>0.18321833372345658</v>
      </c>
      <c r="I65" s="2">
        <v>1.1198593981585911</v>
      </c>
      <c r="J65" s="2">
        <v>0.18321833372345619</v>
      </c>
      <c r="L65" s="3">
        <v>1.246813448358137</v>
      </c>
      <c r="M65" s="3">
        <v>0.18285057087562068</v>
      </c>
      <c r="R65" s="7"/>
      <c r="S65" s="7"/>
      <c r="T65" s="7"/>
      <c r="U65" s="7"/>
      <c r="V65" s="7"/>
      <c r="W65" s="7"/>
      <c r="X65" s="7"/>
      <c r="Y65" s="7"/>
      <c r="Z65" s="7"/>
      <c r="AD65" s="28"/>
      <c r="AE65" s="7"/>
      <c r="AF65" s="144"/>
      <c r="AG65" s="144"/>
      <c r="AH65" s="144"/>
      <c r="AI65" s="144"/>
      <c r="AJ65" s="144"/>
      <c r="AK65" s="144"/>
      <c r="AL65" s="7"/>
    </row>
    <row r="66" spans="3:64">
      <c r="C66" s="120">
        <v>1.2179714114175326</v>
      </c>
      <c r="D66" s="120">
        <v>0.20177188528457204</v>
      </c>
      <c r="F66" s="2">
        <v>1.1673314203907379</v>
      </c>
      <c r="G66" s="2">
        <v>0.20161288091022961</v>
      </c>
      <c r="I66" s="2">
        <v>1.110648466762427</v>
      </c>
      <c r="J66" s="2">
        <v>0.20137857189616218</v>
      </c>
      <c r="L66" s="3">
        <v>1.2466453987438619</v>
      </c>
      <c r="M66" s="3">
        <v>0.18321833372345692</v>
      </c>
      <c r="R66" s="7"/>
      <c r="S66" s="7"/>
      <c r="T66" s="7"/>
      <c r="U66" s="7"/>
      <c r="V66" s="7"/>
      <c r="W66" s="7"/>
      <c r="X66" s="7"/>
      <c r="Y66" s="7"/>
      <c r="Z66" s="7"/>
      <c r="AD66" s="28"/>
      <c r="AE66" s="7"/>
      <c r="AF66" s="144"/>
      <c r="AG66" s="144"/>
      <c r="AH66" s="144"/>
      <c r="AI66" s="144"/>
      <c r="AJ66" s="144"/>
      <c r="AK66" s="144"/>
      <c r="AL66" s="7"/>
      <c r="BL66" s="290" t="s">
        <v>152</v>
      </c>
    </row>
    <row r="67" spans="3:64">
      <c r="C67" s="120">
        <v>1.2093957677991898</v>
      </c>
      <c r="D67" s="120">
        <v>0.2196988762294346</v>
      </c>
      <c r="F67" s="2">
        <v>1.1584507785239366</v>
      </c>
      <c r="G67" s="2">
        <v>0.2194621915562649</v>
      </c>
      <c r="I67" s="2">
        <v>1.1015850826606803</v>
      </c>
      <c r="J67" s="2">
        <v>0.2191080182594681</v>
      </c>
      <c r="L67" s="3">
        <v>1.2381264983483962</v>
      </c>
      <c r="M67" s="3">
        <v>0.20175753321055223</v>
      </c>
      <c r="R67" s="7"/>
      <c r="S67" s="7"/>
      <c r="T67" s="7"/>
      <c r="U67" s="7"/>
      <c r="V67" s="7"/>
      <c r="W67" s="7"/>
      <c r="X67" s="7"/>
      <c r="Y67" s="7"/>
      <c r="Z67" s="7"/>
      <c r="AD67" s="28"/>
      <c r="AE67" s="7"/>
      <c r="AF67" s="144"/>
      <c r="AG67" s="144"/>
      <c r="AH67" s="144"/>
      <c r="AI67" s="144"/>
      <c r="AJ67" s="144"/>
      <c r="AK67" s="144"/>
      <c r="AL67" s="7"/>
    </row>
    <row r="68" spans="3:64">
      <c r="C68" s="120">
        <v>1.201015448393115</v>
      </c>
      <c r="D68" s="120">
        <v>0.23702602965297251</v>
      </c>
      <c r="F68" s="2">
        <v>1.1497470050031104</v>
      </c>
      <c r="G68" s="2">
        <v>0.23678668348313839</v>
      </c>
      <c r="I68" s="2">
        <v>1.0926658101950195</v>
      </c>
      <c r="J68" s="2">
        <v>0.23641959613864588</v>
      </c>
      <c r="L68" s="3">
        <v>1.2298024052286414</v>
      </c>
      <c r="M68" s="3">
        <v>0.2196764997335294</v>
      </c>
      <c r="R68" s="7"/>
      <c r="S68" s="7"/>
      <c r="T68" s="7"/>
      <c r="U68" s="7"/>
      <c r="V68" s="7"/>
      <c r="W68" s="7"/>
      <c r="X68" s="7"/>
      <c r="Y68" s="7"/>
      <c r="Z68" s="7"/>
      <c r="AD68" s="28"/>
      <c r="AE68" s="7"/>
      <c r="AF68" s="144"/>
      <c r="AG68" s="144"/>
      <c r="AH68" s="144"/>
      <c r="AI68" s="144"/>
      <c r="AJ68" s="144"/>
      <c r="AK68" s="144"/>
      <c r="AL68" s="7"/>
    </row>
    <row r="69" spans="3:64">
      <c r="C69" s="120">
        <v>1.1928240356618167</v>
      </c>
      <c r="D69" s="120">
        <v>0.25377869049644991</v>
      </c>
      <c r="F69" s="2">
        <v>1.1412149961485643</v>
      </c>
      <c r="G69" s="2">
        <v>0.25360584890502491</v>
      </c>
      <c r="I69" s="2">
        <v>1.0838873160201594</v>
      </c>
      <c r="J69" s="2">
        <v>0.25332575875509983</v>
      </c>
      <c r="L69" s="3">
        <v>1.2216667130369057</v>
      </c>
      <c r="M69" s="3">
        <v>0.23700145598723632</v>
      </c>
      <c r="R69" s="7"/>
      <c r="S69" s="7"/>
      <c r="T69" s="7"/>
      <c r="U69" s="7"/>
      <c r="V69" s="7"/>
      <c r="W69" s="7"/>
      <c r="X69" s="7"/>
      <c r="Y69" s="7"/>
      <c r="Z69" s="7"/>
      <c r="AD69" s="28"/>
      <c r="AE69" s="7"/>
      <c r="AF69" s="144"/>
      <c r="AG69" s="144"/>
      <c r="AH69" s="144"/>
      <c r="AI69" s="144"/>
      <c r="AJ69" s="144"/>
      <c r="AK69" s="144"/>
      <c r="AL69" s="7"/>
    </row>
    <row r="70" spans="3:64">
      <c r="C70" s="120">
        <v>1.1848153809833188</v>
      </c>
      <c r="D70" s="120">
        <v>0.26998090868098074</v>
      </c>
      <c r="F70" s="2">
        <v>1.1328498363263992</v>
      </c>
      <c r="G70" s="2">
        <v>0.2699383035629101</v>
      </c>
      <c r="I70" s="2">
        <v>1.075246365401658</v>
      </c>
      <c r="J70" s="2">
        <v>0.26983850928223246</v>
      </c>
      <c r="L70" s="3">
        <v>1.2137132840970553</v>
      </c>
      <c r="M70" s="3">
        <v>0.25375728401123337</v>
      </c>
      <c r="R70" s="7"/>
      <c r="S70" s="7"/>
      <c r="T70" s="7"/>
      <c r="U70" s="7"/>
      <c r="V70" s="7"/>
      <c r="W70" s="7"/>
      <c r="X70" s="7"/>
      <c r="Y70" s="7"/>
      <c r="Z70" s="7"/>
      <c r="AD70" s="28"/>
      <c r="AE70" s="7"/>
      <c r="AF70" s="144"/>
      <c r="AG70" s="144"/>
      <c r="AH70" s="144"/>
      <c r="AI70" s="144"/>
      <c r="AJ70" s="144"/>
      <c r="AK70" s="144"/>
      <c r="AL70" s="7"/>
    </row>
    <row r="71" spans="3:64">
      <c r="C71" s="133">
        <v>1.1846309967991069</v>
      </c>
      <c r="D71" s="133">
        <v>0.27035186996590721</v>
      </c>
      <c r="F71" s="2">
        <v>1.1326369685317048</v>
      </c>
      <c r="G71" s="2">
        <v>0.27035186996590721</v>
      </c>
      <c r="I71" s="2">
        <v>1.0749766526375419</v>
      </c>
      <c r="J71" s="2">
        <v>0.27035186996590721</v>
      </c>
      <c r="L71" s="3">
        <v>1.2059362357542076</v>
      </c>
      <c r="M71" s="3">
        <v>0.2699676053703311</v>
      </c>
      <c r="R71" s="7"/>
      <c r="S71" s="7"/>
      <c r="T71" s="7"/>
      <c r="U71" s="7"/>
      <c r="V71" s="7"/>
      <c r="W71" s="7"/>
      <c r="X71" s="7"/>
      <c r="Y71" s="7"/>
      <c r="Z71" s="7"/>
      <c r="AD71" s="28"/>
      <c r="AE71" s="7"/>
      <c r="AF71" s="144"/>
      <c r="AG71" s="144"/>
      <c r="AH71" s="144"/>
      <c r="AI71" s="144"/>
      <c r="AJ71" s="144"/>
      <c r="AK71" s="144"/>
      <c r="AL71" s="7"/>
    </row>
    <row r="72" spans="3:64">
      <c r="C72" s="133">
        <v>1.1741761985699815</v>
      </c>
      <c r="D72" s="133">
        <v>0.29126755139630822</v>
      </c>
      <c r="F72" s="2">
        <v>1.1219251501846381</v>
      </c>
      <c r="G72" s="2">
        <v>0.29106116644553909</v>
      </c>
      <c r="I72" s="2">
        <v>1.0642086674794842</v>
      </c>
      <c r="J72" s="2">
        <v>0.29076801060821172</v>
      </c>
      <c r="L72" s="3">
        <v>1.2057508712377385</v>
      </c>
      <c r="M72" s="3">
        <v>0.27035186996590749</v>
      </c>
      <c r="R72" s="7"/>
      <c r="S72" s="7"/>
      <c r="T72" s="7"/>
      <c r="U72" s="7"/>
      <c r="V72" s="7"/>
      <c r="W72" s="7"/>
      <c r="X72" s="7"/>
      <c r="Y72" s="7"/>
      <c r="Z72" s="7"/>
      <c r="AD72" s="28"/>
      <c r="AE72" s="7"/>
      <c r="AF72" s="144"/>
      <c r="AG72" s="144"/>
      <c r="AH72" s="144"/>
      <c r="AI72" s="144"/>
      <c r="AJ72" s="144"/>
      <c r="AK72" s="144"/>
      <c r="AL72" s="7"/>
    </row>
    <row r="73" spans="3:64">
      <c r="C73" s="133">
        <v>1.1639734516813653</v>
      </c>
      <c r="D73" s="133">
        <v>0.31145503578717143</v>
      </c>
      <c r="F73" s="2">
        <v>1.1114353994032211</v>
      </c>
      <c r="G73" s="2">
        <v>0.31114770165952876</v>
      </c>
      <c r="I73" s="2">
        <v>1.0536147409646097</v>
      </c>
      <c r="J73" s="2">
        <v>0.31070391932503011</v>
      </c>
      <c r="L73" s="3">
        <v>1.1956143939214174</v>
      </c>
      <c r="M73" s="3">
        <v>0.29124886445440518</v>
      </c>
      <c r="R73" s="7"/>
      <c r="S73" s="7"/>
      <c r="T73" s="7"/>
      <c r="U73" s="7"/>
      <c r="V73" s="7"/>
      <c r="W73" s="7"/>
      <c r="X73" s="7"/>
      <c r="Y73" s="7"/>
      <c r="Z73" s="7"/>
      <c r="AD73" s="28"/>
      <c r="AE73" s="7"/>
      <c r="AF73" s="144"/>
      <c r="AG73" s="144"/>
      <c r="AH73" s="144"/>
      <c r="AI73" s="144"/>
      <c r="AJ73" s="144"/>
      <c r="AK73" s="144"/>
      <c r="AL73" s="7"/>
    </row>
    <row r="74" spans="3:64">
      <c r="C74" s="133">
        <v>1.1540141716386789</v>
      </c>
      <c r="D74" s="133">
        <v>0.33094598152429611</v>
      </c>
      <c r="F74" s="2">
        <v>1.1011611875017506</v>
      </c>
      <c r="G74" s="2">
        <v>0.33063487128411401</v>
      </c>
      <c r="I74" s="2">
        <v>1.0431908698935586</v>
      </c>
      <c r="J74" s="2">
        <v>0.33017372555460489</v>
      </c>
      <c r="L74" s="3">
        <v>1.1857204096861205</v>
      </c>
      <c r="M74" s="3">
        <v>0.31142613543294095</v>
      </c>
      <c r="R74" s="7"/>
      <c r="S74" s="7"/>
      <c r="T74" s="7"/>
      <c r="U74" s="7"/>
      <c r="V74" s="7"/>
      <c r="W74" s="7"/>
      <c r="X74" s="7"/>
      <c r="Y74" s="7"/>
      <c r="Z74" s="7"/>
      <c r="AD74" s="28"/>
      <c r="AE74" s="7"/>
      <c r="AF74" s="144"/>
      <c r="AG74" s="144"/>
      <c r="AH74" s="144"/>
      <c r="AI74" s="144"/>
      <c r="AJ74" s="144"/>
      <c r="AK74" s="144"/>
      <c r="AL74" s="7"/>
    </row>
    <row r="75" spans="3:64">
      <c r="C75" s="133">
        <v>1.1442901435522783</v>
      </c>
      <c r="D75" s="133">
        <v>0.34977039386351227</v>
      </c>
      <c r="F75" s="2">
        <v>1.091096228771895</v>
      </c>
      <c r="G75" s="2">
        <v>0.34954501402023319</v>
      </c>
      <c r="I75" s="2">
        <v>1.0329331678297691</v>
      </c>
      <c r="J75" s="2">
        <v>0.34919105794064959</v>
      </c>
      <c r="L75" s="3">
        <v>1.1760607397425538</v>
      </c>
      <c r="M75" s="3">
        <v>0.33091465965151468</v>
      </c>
      <c r="R75" s="7"/>
      <c r="S75" s="7"/>
      <c r="T75" s="7"/>
      <c r="U75" s="7"/>
      <c r="V75" s="7"/>
      <c r="W75" s="7"/>
      <c r="X75" s="7"/>
      <c r="Y75" s="7"/>
      <c r="Z75" s="7"/>
      <c r="AD75" s="28"/>
      <c r="AE75" s="7"/>
      <c r="AF75" s="144"/>
      <c r="AG75" s="144"/>
      <c r="AH75" s="144"/>
      <c r="AI75" s="144"/>
      <c r="AJ75" s="144"/>
      <c r="AK75" s="144"/>
      <c r="AL75" s="7"/>
    </row>
    <row r="76" spans="3:64">
      <c r="C76" s="133">
        <v>1.1347935029737886</v>
      </c>
      <c r="D76" s="133">
        <v>0.3679567254501262</v>
      </c>
      <c r="F76" s="2">
        <v>1.0812344695780272</v>
      </c>
      <c r="G76" s="2">
        <v>0.36789946726540351</v>
      </c>
      <c r="I76" s="2">
        <v>1.0228378609853133</v>
      </c>
      <c r="J76" s="2">
        <v>0.36776906506068663</v>
      </c>
      <c r="L76" s="3">
        <v>1.1666275540141029</v>
      </c>
      <c r="M76" s="3">
        <v>0.34974381234853963</v>
      </c>
      <c r="R76" s="7"/>
      <c r="S76" s="7"/>
      <c r="T76" s="7"/>
      <c r="U76" s="7"/>
      <c r="V76" s="7"/>
      <c r="W76" s="7"/>
      <c r="X76" s="7"/>
      <c r="Y76" s="7"/>
      <c r="Z76" s="7"/>
      <c r="AD76" s="28"/>
      <c r="AE76" s="7"/>
      <c r="AF76" s="144"/>
      <c r="AG76" s="144"/>
      <c r="AH76" s="144"/>
      <c r="AI76" s="144"/>
      <c r="AJ76" s="144"/>
      <c r="AK76" s="144"/>
      <c r="AL76" s="7"/>
    </row>
    <row r="77" spans="3:64">
      <c r="C77" s="101">
        <v>1.1345815346728203</v>
      </c>
      <c r="D77" s="101">
        <v>0.3683604095945</v>
      </c>
      <c r="F77" s="2">
        <v>1.0809856063702172</v>
      </c>
      <c r="G77" s="2">
        <v>0.36836040959450045</v>
      </c>
      <c r="I77" s="2">
        <v>1.0225152913504798</v>
      </c>
      <c r="J77" s="2">
        <v>0.36836040959449989</v>
      </c>
      <c r="L77" s="3">
        <v>1.1574133532323936</v>
      </c>
      <c r="M77" s="3">
        <v>0.3679414636785413</v>
      </c>
      <c r="R77" s="7"/>
      <c r="S77" s="7"/>
      <c r="T77" s="7"/>
      <c r="U77" s="7"/>
      <c r="V77" s="7"/>
      <c r="W77" s="7"/>
      <c r="X77" s="7"/>
      <c r="Y77" s="7"/>
      <c r="Z77" s="7"/>
      <c r="AD77" s="28"/>
      <c r="AE77" s="7"/>
      <c r="AF77" s="144"/>
      <c r="AG77" s="144"/>
      <c r="AH77" s="144"/>
      <c r="AI77" s="144"/>
      <c r="AJ77" s="144"/>
      <c r="AK77" s="144"/>
      <c r="AL77" s="7"/>
    </row>
    <row r="78" spans="3:64">
      <c r="C78" s="101">
        <v>1.1206662715574862</v>
      </c>
      <c r="D78" s="101">
        <v>0.39470429271343632</v>
      </c>
      <c r="F78" s="2">
        <v>1.0668662482061024</v>
      </c>
      <c r="G78" s="2">
        <v>0.39437987858658907</v>
      </c>
      <c r="I78" s="2">
        <v>1.0085070427492531</v>
      </c>
      <c r="J78" s="2">
        <v>0.39394123320966645</v>
      </c>
      <c r="L78" s="3">
        <v>1.1572000671146074</v>
      </c>
      <c r="M78" s="3">
        <v>0.36836040959449995</v>
      </c>
      <c r="R78" s="7"/>
      <c r="S78" s="7"/>
      <c r="T78" s="7"/>
      <c r="U78" s="7"/>
      <c r="V78" s="7"/>
      <c r="W78" s="7"/>
      <c r="X78" s="7"/>
      <c r="Y78" s="7"/>
      <c r="Z78" s="7"/>
      <c r="AD78" s="28"/>
      <c r="AE78" s="7"/>
      <c r="AF78" s="144"/>
      <c r="AG78" s="144"/>
      <c r="AH78" s="144"/>
      <c r="AI78" s="144"/>
      <c r="AJ78" s="144"/>
      <c r="AK78" s="144"/>
      <c r="AL78" s="7"/>
    </row>
    <row r="79" spans="3:64">
      <c r="C79" s="101">
        <v>1.1071361319271553</v>
      </c>
      <c r="D79" s="101">
        <v>0.42002200524317423</v>
      </c>
      <c r="F79" s="2">
        <v>1.053076586004515</v>
      </c>
      <c r="G79" s="2">
        <v>0.41954105009889725</v>
      </c>
      <c r="I79" s="2">
        <v>0.99474734674042276</v>
      </c>
      <c r="J79" s="2">
        <v>0.41887953643425158</v>
      </c>
      <c r="L79" s="3">
        <v>1.1437249713167472</v>
      </c>
      <c r="M79" s="3">
        <v>0.39467492552460354</v>
      </c>
      <c r="R79" s="7"/>
      <c r="S79" s="7"/>
      <c r="T79" s="7"/>
      <c r="U79" s="7"/>
      <c r="V79" s="7"/>
      <c r="W79" s="7"/>
      <c r="X79" s="7"/>
      <c r="Y79" s="7"/>
      <c r="Z79" s="7"/>
      <c r="AD79" s="28"/>
      <c r="AE79" s="7"/>
      <c r="AF79" s="144"/>
      <c r="AG79" s="144"/>
      <c r="AH79" s="144"/>
      <c r="AI79" s="144"/>
      <c r="AJ79" s="144"/>
      <c r="AK79" s="144"/>
      <c r="AL79" s="7"/>
    </row>
    <row r="80" spans="3:64">
      <c r="C80" s="101">
        <v>1.093976519965542</v>
      </c>
      <c r="D80" s="101">
        <v>0.44436262991374276</v>
      </c>
      <c r="F80" s="2">
        <v>1.0396060439686128</v>
      </c>
      <c r="G80" s="2">
        <v>0.44387871524530664</v>
      </c>
      <c r="I80" s="2">
        <v>0.9812301293763438</v>
      </c>
      <c r="J80" s="2">
        <v>0.44319518382830136</v>
      </c>
      <c r="L80" s="3">
        <v>1.1306192767309975</v>
      </c>
      <c r="M80" s="3">
        <v>0.41997729649725679</v>
      </c>
      <c r="R80" s="7"/>
      <c r="S80" s="7"/>
      <c r="T80" s="7"/>
      <c r="U80" s="7"/>
      <c r="V80" s="7"/>
      <c r="W80" s="7"/>
      <c r="X80" s="7"/>
      <c r="Y80" s="7"/>
      <c r="Z80" s="7"/>
      <c r="AD80" s="28"/>
      <c r="AE80" s="7"/>
      <c r="AF80" s="144"/>
      <c r="AG80" s="144"/>
      <c r="AH80" s="144"/>
      <c r="AI80" s="144"/>
      <c r="AJ80" s="144"/>
      <c r="AK80" s="144"/>
      <c r="AL80" s="7"/>
    </row>
    <row r="81" spans="1:38">
      <c r="C81" s="101">
        <v>1.0811735294879039</v>
      </c>
      <c r="D81" s="101">
        <v>0.46777245990783711</v>
      </c>
      <c r="F81" s="2">
        <v>1.0264444699325901</v>
      </c>
      <c r="G81" s="2">
        <v>0.46742598710495753</v>
      </c>
      <c r="I81" s="2">
        <v>0.96794950243358968</v>
      </c>
      <c r="J81" s="2">
        <v>0.46690730780634154</v>
      </c>
      <c r="L81" s="3">
        <v>1.1178691399167484</v>
      </c>
      <c r="M81" s="3">
        <v>0.44431536866138777</v>
      </c>
      <c r="R81" s="7"/>
      <c r="S81" s="7"/>
      <c r="T81" s="7"/>
      <c r="U81" s="7"/>
      <c r="V81" s="7"/>
      <c r="W81" s="7"/>
      <c r="X81" s="7"/>
      <c r="Y81" s="7"/>
      <c r="Z81" s="7"/>
      <c r="AD81" s="28"/>
      <c r="AE81" s="7"/>
      <c r="AF81" s="144"/>
      <c r="AG81" s="144"/>
      <c r="AH81" s="144"/>
      <c r="AI81" s="144"/>
      <c r="AJ81" s="144"/>
      <c r="AK81" s="144"/>
      <c r="AL81" s="7"/>
    </row>
    <row r="82" spans="1:38">
      <c r="C82" s="101">
        <v>1.0687139050794128</v>
      </c>
      <c r="D82" s="101">
        <v>0.4902951821062897</v>
      </c>
      <c r="F82" s="2">
        <v>1.0135821150919877</v>
      </c>
      <c r="G82" s="2">
        <v>0.49021439439890285</v>
      </c>
      <c r="I82" s="2">
        <v>0.95489975661631699</v>
      </c>
      <c r="J82" s="2">
        <v>0.49003433992916912</v>
      </c>
      <c r="L82" s="3">
        <v>1.1054613641504243</v>
      </c>
      <c r="M82" s="3">
        <v>0.46773430019744522</v>
      </c>
      <c r="R82" s="7"/>
      <c r="S82" s="7"/>
      <c r="T82" s="7"/>
      <c r="U82" s="7"/>
      <c r="V82" s="7"/>
      <c r="W82" s="7"/>
      <c r="X82" s="7"/>
      <c r="Y82" s="7"/>
      <c r="Z82" s="7"/>
      <c r="AD82" s="28"/>
      <c r="AE82" s="7"/>
      <c r="AF82" s="144"/>
      <c r="AG82" s="144"/>
      <c r="AH82" s="144"/>
      <c r="AI82" s="144"/>
      <c r="AJ82" s="144"/>
      <c r="AK82" s="144"/>
      <c r="AL82" s="7"/>
    </row>
    <row r="83" spans="1:38">
      <c r="C83" s="131">
        <v>1.0684596507800799</v>
      </c>
      <c r="D83" s="131">
        <v>0.49075210650337253</v>
      </c>
      <c r="F83" s="2">
        <v>1.0132770945118497</v>
      </c>
      <c r="G83" s="2">
        <v>0.49075210650337203</v>
      </c>
      <c r="I83" s="2">
        <v>0.95449318735311561</v>
      </c>
      <c r="J83" s="2">
        <v>0.49075210650337242</v>
      </c>
      <c r="L83" s="3">
        <v>1.0933833633925054</v>
      </c>
      <c r="M83" s="3">
        <v>0.49027673588483689</v>
      </c>
      <c r="R83" s="7"/>
      <c r="S83" s="7"/>
      <c r="T83" s="7"/>
      <c r="U83" s="7"/>
      <c r="V83" s="7"/>
      <c r="W83" s="7"/>
      <c r="X83" s="7"/>
      <c r="Y83" s="7"/>
      <c r="Z83" s="7"/>
      <c r="AD83" s="28"/>
      <c r="AE83" s="7"/>
      <c r="AF83" s="144"/>
      <c r="AG83" s="144"/>
      <c r="AH83" s="144"/>
      <c r="AI83" s="144"/>
      <c r="AJ83" s="144"/>
      <c r="AK83" s="144"/>
      <c r="AL83" s="7"/>
    </row>
    <row r="84" spans="1:38">
      <c r="C84" s="131">
        <v>1.0476565998813152</v>
      </c>
      <c r="D84" s="131">
        <v>0.52788801212073888</v>
      </c>
      <c r="F84" s="2">
        <v>0.99246053139546864</v>
      </c>
      <c r="G84" s="2">
        <v>0.52724620792734367</v>
      </c>
      <c r="I84" s="2">
        <v>0.93419658058730903</v>
      </c>
      <c r="J84" s="2">
        <v>0.52643826789213788</v>
      </c>
      <c r="L84" s="3">
        <v>1.0931272011400253</v>
      </c>
      <c r="M84" s="3">
        <v>0.49075210650337298</v>
      </c>
      <c r="R84" s="7"/>
      <c r="S84" s="7"/>
      <c r="T84" s="7"/>
      <c r="U84" s="7"/>
      <c r="V84" s="7"/>
      <c r="W84" s="7"/>
      <c r="X84" s="7"/>
      <c r="Y84" s="7"/>
      <c r="Z84" s="7"/>
      <c r="AD84" s="28"/>
      <c r="AE84" s="7"/>
      <c r="AF84" s="144"/>
      <c r="AG84" s="144"/>
      <c r="AH84" s="144"/>
      <c r="AI84" s="144"/>
      <c r="AJ84" s="144"/>
      <c r="AK84" s="144"/>
      <c r="AL84" s="7"/>
    </row>
    <row r="85" spans="1:38">
      <c r="C85" s="131">
        <v>1.0275968109919649</v>
      </c>
      <c r="D85" s="131">
        <v>0.56322764018053295</v>
      </c>
      <c r="F85" s="2">
        <v>0.972255025231192</v>
      </c>
      <c r="G85" s="2">
        <v>0.56228586223202304</v>
      </c>
      <c r="I85" s="2">
        <v>0.91433747042319247</v>
      </c>
      <c r="J85" s="2">
        <v>0.56107901452476749</v>
      </c>
      <c r="L85" s="3">
        <v>1.0730163270764455</v>
      </c>
      <c r="M85" s="3">
        <v>0.52782927040628858</v>
      </c>
      <c r="R85" s="7"/>
      <c r="S85" s="7"/>
      <c r="T85" s="7"/>
      <c r="U85" s="7"/>
      <c r="V85" s="7"/>
      <c r="W85" s="7"/>
      <c r="X85" s="7"/>
      <c r="Y85" s="7"/>
      <c r="Z85" s="7"/>
      <c r="AD85" s="28"/>
      <c r="AE85" s="7"/>
      <c r="AF85" s="144"/>
      <c r="AG85" s="144"/>
      <c r="AH85" s="144"/>
      <c r="AI85" s="144"/>
      <c r="AJ85" s="144"/>
      <c r="AK85" s="144"/>
      <c r="AL85" s="7"/>
    </row>
    <row r="86" spans="1:38">
      <c r="C86" s="131">
        <v>1.0082455337307716</v>
      </c>
      <c r="D86" s="131">
        <v>0.59687510898426999</v>
      </c>
      <c r="F86" s="2">
        <v>0.952637040123406</v>
      </c>
      <c r="G86" s="2">
        <v>0.59594062305293138</v>
      </c>
      <c r="I86" s="2">
        <v>0.89490345499526003</v>
      </c>
      <c r="J86" s="2">
        <v>0.59471118134937972</v>
      </c>
      <c r="L86" s="3">
        <v>1.0536151866718706</v>
      </c>
      <c r="M86" s="3">
        <v>0.56314022934166852</v>
      </c>
      <c r="R86" s="7"/>
      <c r="S86" s="7"/>
      <c r="T86" s="7"/>
      <c r="U86" s="7"/>
      <c r="V86" s="7"/>
      <c r="W86" s="7"/>
      <c r="X86" s="7"/>
      <c r="Y86" s="7"/>
      <c r="Z86" s="7"/>
      <c r="AD86" s="28"/>
      <c r="AE86" s="7"/>
      <c r="AF86" s="144"/>
      <c r="AG86" s="144"/>
      <c r="AH86" s="144"/>
      <c r="AI86" s="144"/>
      <c r="AJ86" s="144"/>
      <c r="AK86" s="144"/>
      <c r="AL86" s="7"/>
    </row>
    <row r="87" spans="1:38">
      <c r="C87" s="131">
        <v>0.98956999919530964</v>
      </c>
      <c r="D87" s="131">
        <v>0.62892748584701608</v>
      </c>
      <c r="F87" s="2">
        <v>0.93358414799562506</v>
      </c>
      <c r="G87" s="2">
        <v>0.62827615116298197</v>
      </c>
      <c r="I87" s="2">
        <v>0.87588256304991208</v>
      </c>
      <c r="J87" s="2">
        <v>0.62737008081216872</v>
      </c>
      <c r="L87" s="3">
        <v>1.0348910412761883</v>
      </c>
      <c r="M87" s="3">
        <v>0.59678591013124405</v>
      </c>
      <c r="R87" s="7"/>
      <c r="S87" s="7"/>
      <c r="T87" s="7"/>
      <c r="U87" s="7"/>
      <c r="V87" s="7"/>
      <c r="W87" s="7"/>
      <c r="X87" s="7"/>
      <c r="Y87" s="7"/>
      <c r="Z87" s="7"/>
      <c r="AD87" s="28"/>
      <c r="AE87" s="7"/>
      <c r="AF87" s="144"/>
      <c r="AG87" s="144"/>
      <c r="AH87" s="144"/>
      <c r="AI87" s="144"/>
      <c r="AJ87" s="144"/>
      <c r="AK87" s="144"/>
      <c r="AL87" s="7"/>
    </row>
    <row r="88" spans="1:38">
      <c r="C88" s="131">
        <v>0.97153928725730532</v>
      </c>
      <c r="D88" s="131">
        <v>0.6594753324168755</v>
      </c>
      <c r="F88" s="2">
        <v>0.91507496722880266</v>
      </c>
      <c r="G88" s="2">
        <v>0.65935446373859885</v>
      </c>
      <c r="I88" s="2">
        <v>0.85726323631111423</v>
      </c>
      <c r="J88" s="2">
        <v>0.65908957501538501</v>
      </c>
      <c r="L88" s="3">
        <v>1.0168129938268857</v>
      </c>
      <c r="M88" s="3">
        <v>0.62886049935123089</v>
      </c>
      <c r="R88" s="7"/>
      <c r="S88" s="7"/>
      <c r="T88" s="7"/>
      <c r="U88" s="7"/>
      <c r="V88" s="7"/>
      <c r="W88" s="7"/>
      <c r="X88" s="7"/>
      <c r="Y88" s="7"/>
      <c r="Z88" s="7"/>
      <c r="AD88" s="28"/>
      <c r="AE88" s="7"/>
      <c r="AF88" s="144"/>
      <c r="AG88" s="144"/>
      <c r="AH88" s="144"/>
      <c r="AI88" s="144"/>
      <c r="AJ88" s="144"/>
      <c r="AK88" s="144"/>
      <c r="AL88" s="7"/>
    </row>
    <row r="89" spans="1:38">
      <c r="C89" s="129">
        <v>0.97122556718621489</v>
      </c>
      <c r="D89" s="129">
        <v>0.66000334397619786</v>
      </c>
      <c r="F89" s="2">
        <v>0.91468639373538851</v>
      </c>
      <c r="G89" s="2">
        <v>0.66000334397620031</v>
      </c>
      <c r="I89" s="2">
        <v>0.85672468051866613</v>
      </c>
      <c r="J89" s="2">
        <v>0.66000334397619886</v>
      </c>
      <c r="L89" s="3">
        <v>0.99935186717326674</v>
      </c>
      <c r="M89" s="3">
        <v>0.65945195751763519</v>
      </c>
      <c r="R89" s="7"/>
      <c r="S89" s="7"/>
      <c r="T89" s="7"/>
      <c r="U89" s="7"/>
      <c r="V89" s="7"/>
      <c r="W89" s="7"/>
      <c r="X89" s="7"/>
      <c r="Y89" s="7"/>
      <c r="Z89" s="7"/>
      <c r="AD89" s="28"/>
      <c r="AE89" s="7"/>
      <c r="AF89" s="144"/>
      <c r="AG89" s="144"/>
      <c r="AH89" s="144"/>
      <c r="AI89" s="144"/>
      <c r="AJ89" s="144"/>
      <c r="AK89" s="144"/>
      <c r="AL89" s="7"/>
    </row>
    <row r="90" spans="1:38">
      <c r="A90" s="122"/>
      <c r="C90" s="129">
        <v>0.93398384466124307</v>
      </c>
      <c r="D90" s="129">
        <v>0.72215693584303897</v>
      </c>
      <c r="F90" s="2">
        <v>0.87836114400434429</v>
      </c>
      <c r="G90" s="2">
        <v>0.72026261949481429</v>
      </c>
      <c r="I90" s="2">
        <v>0.8222948689832974</v>
      </c>
      <c r="J90" s="2">
        <v>0.718153386779259</v>
      </c>
      <c r="L90" s="3">
        <v>0.99903511036118886</v>
      </c>
      <c r="M90" s="3">
        <v>0.66000334397619898</v>
      </c>
      <c r="R90" s="7"/>
      <c r="S90" s="7"/>
      <c r="T90" s="7"/>
      <c r="U90" s="7"/>
      <c r="V90" s="7"/>
      <c r="W90" s="7"/>
      <c r="X90" s="7"/>
      <c r="Y90" s="7"/>
      <c r="Z90" s="7"/>
      <c r="AD90" s="28"/>
      <c r="AE90" s="7"/>
      <c r="AF90" s="144"/>
      <c r="AG90" s="144"/>
      <c r="AH90" s="144"/>
      <c r="AI90" s="144"/>
      <c r="AJ90" s="144"/>
      <c r="AK90" s="144"/>
      <c r="AL90" s="7"/>
    </row>
    <row r="91" spans="1:38">
      <c r="A91" s="122"/>
      <c r="C91" s="129">
        <v>0.89885080800902417</v>
      </c>
      <c r="D91" s="129">
        <v>0.77981730570413033</v>
      </c>
      <c r="F91" s="2">
        <v>0.84364969627288466</v>
      </c>
      <c r="G91" s="2">
        <v>0.77709651892607012</v>
      </c>
      <c r="I91" s="2">
        <v>0.78892887702124925</v>
      </c>
      <c r="J91" s="2">
        <v>0.77400371686874647</v>
      </c>
      <c r="L91" s="3">
        <v>0.96314097568813706</v>
      </c>
      <c r="M91" s="3">
        <v>0.72197542319156682</v>
      </c>
      <c r="R91" s="7"/>
      <c r="S91" s="7"/>
      <c r="T91" s="7"/>
      <c r="U91" s="7"/>
      <c r="V91" s="7"/>
      <c r="W91" s="7"/>
      <c r="X91" s="7"/>
      <c r="Y91" s="7"/>
      <c r="Z91" s="7"/>
      <c r="AD91" s="28"/>
      <c r="AE91" s="7"/>
      <c r="AF91" s="144"/>
      <c r="AG91" s="144"/>
      <c r="AH91" s="144"/>
      <c r="AI91" s="144"/>
      <c r="AJ91" s="144"/>
      <c r="AK91" s="144"/>
      <c r="AL91" s="7"/>
    </row>
    <row r="92" spans="1:38">
      <c r="A92" s="122"/>
      <c r="C92" s="129">
        <v>0.86568006100543593</v>
      </c>
      <c r="D92" s="129">
        <v>0.83335969098832363</v>
      </c>
      <c r="F92" s="2">
        <v>0.81046388024806459</v>
      </c>
      <c r="G92" s="2">
        <v>0.830730544219763</v>
      </c>
      <c r="I92" s="2">
        <v>0.75658616426512504</v>
      </c>
      <c r="J92" s="2">
        <v>0.82766004304895435</v>
      </c>
      <c r="L92" s="3">
        <v>0.92924404785780146</v>
      </c>
      <c r="M92" s="3">
        <v>0.77955623924614925</v>
      </c>
      <c r="R92" s="7"/>
      <c r="S92" s="7"/>
      <c r="T92" s="7"/>
      <c r="U92" s="7"/>
      <c r="V92" s="7"/>
      <c r="W92" s="7"/>
      <c r="X92" s="7"/>
      <c r="Y92" s="7"/>
      <c r="Z92" s="7"/>
      <c r="AD92" s="28"/>
      <c r="AE92" s="7"/>
      <c r="AF92" s="144"/>
      <c r="AG92" s="144"/>
      <c r="AH92" s="144"/>
      <c r="AI92" s="144"/>
      <c r="AJ92" s="144"/>
      <c r="AK92" s="144"/>
      <c r="AL92" s="7"/>
    </row>
    <row r="93" spans="1:38">
      <c r="A93" s="122"/>
      <c r="C93" s="129">
        <v>0.83433715729358371</v>
      </c>
      <c r="D93" s="129">
        <v>0.88312371374956766</v>
      </c>
      <c r="F93" s="2">
        <v>0.77872120541533407</v>
      </c>
      <c r="G93" s="2">
        <v>0.88137328021327521</v>
      </c>
      <c r="I93" s="2">
        <v>0.72522801739355758</v>
      </c>
      <c r="J93" s="2">
        <v>0.87922251916205729</v>
      </c>
      <c r="L93" s="3">
        <v>0.89720811459873862</v>
      </c>
      <c r="M93" s="3">
        <v>0.83310568164417032</v>
      </c>
      <c r="R93" s="7"/>
      <c r="S93" s="7"/>
      <c r="T93" s="7"/>
      <c r="U93" s="7"/>
      <c r="V93" s="7"/>
      <c r="W93" s="7"/>
      <c r="X93" s="7"/>
      <c r="Y93" s="7"/>
      <c r="Z93" s="7"/>
      <c r="AD93" s="28"/>
      <c r="AE93" s="7"/>
      <c r="AF93" s="144"/>
      <c r="AG93" s="144"/>
      <c r="AH93" s="144"/>
      <c r="AI93" s="144"/>
      <c r="AJ93" s="144"/>
      <c r="AK93" s="144"/>
      <c r="AL93" s="7"/>
    </row>
    <row r="94" spans="1:38">
      <c r="A94" s="122"/>
      <c r="C94" s="129">
        <v>0.80469848396595045</v>
      </c>
      <c r="D94" s="129">
        <v>0.92941716218792259</v>
      </c>
      <c r="F94" s="2">
        <v>0.74834444113176091</v>
      </c>
      <c r="G94" s="2">
        <v>0.9292178180874564</v>
      </c>
      <c r="I94" s="2">
        <v>0.69481745534914174</v>
      </c>
      <c r="J94" s="2">
        <v>0.92878607251282985</v>
      </c>
      <c r="L94" s="3">
        <v>0.86690788662117813</v>
      </c>
      <c r="M94" s="3">
        <v>0.88295009925386814</v>
      </c>
      <c r="R94" s="7"/>
      <c r="S94" s="7"/>
      <c r="T94" s="7"/>
      <c r="U94" s="7"/>
      <c r="V94" s="7"/>
      <c r="W94" s="7"/>
      <c r="X94" s="7"/>
      <c r="Y94" s="7"/>
      <c r="Z94" s="7"/>
      <c r="AD94" s="28"/>
      <c r="AE94" s="7"/>
      <c r="AF94" s="144"/>
      <c r="AG94" s="144"/>
      <c r="AH94" s="144"/>
      <c r="AI94" s="144"/>
      <c r="AJ94" s="144"/>
      <c r="AK94" s="144"/>
      <c r="AL94" s="7"/>
    </row>
    <row r="95" spans="1:38">
      <c r="A95" s="122"/>
      <c r="C95" s="96">
        <v>0.80430981508299715</v>
      </c>
      <c r="D95" s="96">
        <v>0.93001918678854056</v>
      </c>
      <c r="F95" s="2">
        <v>0.74783229530016304</v>
      </c>
      <c r="G95" s="2">
        <v>0.93001918678853923</v>
      </c>
      <c r="I95" s="2">
        <v>0.69405740455798248</v>
      </c>
      <c r="J95" s="2">
        <v>0.93001918678853812</v>
      </c>
      <c r="L95" s="3">
        <v>0.83822799495077216</v>
      </c>
      <c r="M95" s="3">
        <v>0.92938579842943292</v>
      </c>
      <c r="R95" s="7"/>
      <c r="S95" s="7"/>
      <c r="T95" s="7"/>
      <c r="U95" s="7"/>
      <c r="V95" s="7"/>
      <c r="W95" s="7"/>
      <c r="X95" s="7"/>
      <c r="Y95" s="7"/>
      <c r="Z95" s="7"/>
      <c r="AD95" s="28"/>
      <c r="AE95" s="7"/>
      <c r="AF95" s="144"/>
      <c r="AG95" s="144"/>
      <c r="AH95" s="144"/>
      <c r="AI95" s="144"/>
      <c r="AJ95" s="144"/>
      <c r="AK95" s="144"/>
      <c r="AL95" s="7"/>
    </row>
    <row r="96" spans="1:38">
      <c r="A96" s="122"/>
      <c r="C96" s="96">
        <v>0.70744520767681729</v>
      </c>
      <c r="D96" s="96">
        <v>1.0778900607754904</v>
      </c>
      <c r="F96" s="2">
        <v>0.66170019431361604</v>
      </c>
      <c r="G96" s="2">
        <v>1.0634849698771114</v>
      </c>
      <c r="I96" s="2">
        <v>0.61837646433125237</v>
      </c>
      <c r="J96" s="2">
        <v>1.0520897689365403</v>
      </c>
      <c r="L96" s="3">
        <v>0.83783361839513948</v>
      </c>
      <c r="M96" s="3">
        <v>0.9300191867885399</v>
      </c>
      <c r="R96" s="7"/>
      <c r="S96" s="7"/>
      <c r="T96" s="7"/>
      <c r="U96" s="7"/>
      <c r="V96" s="7"/>
      <c r="W96" s="7"/>
      <c r="X96" s="7"/>
      <c r="Y96" s="7"/>
      <c r="Z96" s="7"/>
      <c r="AD96" s="28"/>
      <c r="AE96" s="7"/>
      <c r="AF96" s="144"/>
      <c r="AG96" s="144"/>
      <c r="AH96" s="144"/>
      <c r="AI96" s="144"/>
      <c r="AJ96" s="144"/>
      <c r="AK96" s="144"/>
      <c r="AL96" s="7"/>
    </row>
    <row r="97" spans="1:64">
      <c r="A97" s="122"/>
      <c r="C97" s="96">
        <v>0.62454529297523786</v>
      </c>
      <c r="D97" s="96">
        <v>1.2007631521019984</v>
      </c>
      <c r="F97" s="2">
        <v>0.58407286211823228</v>
      </c>
      <c r="G97" s="2">
        <v>1.1814432358057054</v>
      </c>
      <c r="I97" s="2">
        <v>0.54727488885145115</v>
      </c>
      <c r="J97" s="2">
        <v>1.1654570859038451</v>
      </c>
      <c r="L97" s="3">
        <v>0.7455218600699075</v>
      </c>
      <c r="M97" s="3">
        <v>1.076236343727337</v>
      </c>
      <c r="R97" s="7"/>
      <c r="S97" s="7"/>
      <c r="T97" s="7"/>
      <c r="U97" s="7"/>
      <c r="V97" s="7"/>
      <c r="W97" s="7"/>
      <c r="X97" s="7"/>
      <c r="Y97" s="7"/>
      <c r="Z97" s="7"/>
      <c r="AD97" s="28"/>
      <c r="AE97" s="7"/>
      <c r="AF97" s="144"/>
      <c r="AG97" s="144"/>
      <c r="AH97" s="144"/>
      <c r="AI97" s="144"/>
      <c r="AJ97" s="144"/>
      <c r="AK97" s="144"/>
      <c r="AL97" s="7"/>
    </row>
    <row r="98" spans="1:64">
      <c r="A98" s="122"/>
      <c r="C98" s="96">
        <v>0.5533498956113142</v>
      </c>
      <c r="D98" s="96">
        <v>1.303252806201425</v>
      </c>
      <c r="F98" s="2">
        <v>0.51400114756158333</v>
      </c>
      <c r="G98" s="2">
        <v>1.285874490186222</v>
      </c>
      <c r="I98" s="2">
        <v>0.48043766668069665</v>
      </c>
      <c r="J98" s="2">
        <v>1.2708075092293645</v>
      </c>
      <c r="L98" s="3">
        <v>0.66608076648234216</v>
      </c>
      <c r="M98" s="3">
        <v>1.1985855023002385</v>
      </c>
      <c r="R98" s="7"/>
      <c r="S98" s="7"/>
      <c r="T98" s="7"/>
      <c r="U98" s="7"/>
      <c r="V98" s="7"/>
      <c r="W98" s="7"/>
      <c r="X98" s="7"/>
      <c r="Y98" s="7"/>
      <c r="Z98" s="7"/>
      <c r="AD98" s="28"/>
      <c r="AE98" s="7"/>
      <c r="AF98" s="144"/>
      <c r="AG98" s="144"/>
      <c r="AH98" s="144"/>
      <c r="AI98" s="144"/>
      <c r="AJ98" s="144"/>
      <c r="AK98" s="144"/>
      <c r="AL98" s="7"/>
    </row>
    <row r="99" spans="1:64">
      <c r="A99" s="122"/>
      <c r="C99" s="96">
        <v>0.4920032340286411</v>
      </c>
      <c r="D99" s="96">
        <v>1.3890498732203709</v>
      </c>
      <c r="F99" s="2">
        <v>0.45065376444793065</v>
      </c>
      <c r="G99" s="2">
        <v>1.3784832400616556</v>
      </c>
      <c r="I99" s="2">
        <v>0.41757403354528039</v>
      </c>
      <c r="J99" s="2">
        <v>1.3687679969116913</v>
      </c>
      <c r="L99" s="3">
        <v>0.59749399923827839</v>
      </c>
      <c r="M99" s="3">
        <v>1.3013275659828702</v>
      </c>
      <c r="R99" s="7"/>
      <c r="S99" s="7"/>
      <c r="T99" s="7"/>
      <c r="U99" s="7"/>
      <c r="V99" s="7"/>
      <c r="W99" s="7"/>
      <c r="X99" s="7"/>
      <c r="Y99" s="7"/>
      <c r="Z99" s="7"/>
      <c r="AD99" s="28"/>
      <c r="AE99" s="7"/>
      <c r="AF99" s="144"/>
      <c r="AG99" s="144"/>
      <c r="AH99" s="144"/>
      <c r="AI99" s="144"/>
      <c r="AJ99" s="144"/>
      <c r="AK99" s="144"/>
      <c r="AL99" s="7"/>
    </row>
    <row r="100" spans="1:64">
      <c r="A100" s="122"/>
      <c r="C100" s="96">
        <v>0.43897491948533829</v>
      </c>
      <c r="D100" s="96">
        <v>1.4611206233667593</v>
      </c>
      <c r="F100" s="2">
        <v>0.3933012100863606</v>
      </c>
      <c r="G100" s="2">
        <v>1.4607396457471098</v>
      </c>
      <c r="I100" s="2">
        <v>0.35841541049440345</v>
      </c>
      <c r="J100" s="2">
        <v>1.4599116940720105</v>
      </c>
      <c r="L100" s="3">
        <v>0.53809468260445992</v>
      </c>
      <c r="M100" s="3">
        <v>1.3878977925967957</v>
      </c>
      <c r="R100" s="7"/>
      <c r="S100" s="7"/>
      <c r="T100" s="7"/>
      <c r="U100" s="7"/>
      <c r="V100" s="7"/>
      <c r="W100" s="7"/>
      <c r="X100" s="7"/>
      <c r="Y100" s="7"/>
      <c r="Z100" s="7"/>
      <c r="AD100" s="28"/>
      <c r="AE100" s="7"/>
      <c r="AF100" s="144"/>
      <c r="AG100" s="144"/>
      <c r="AH100" s="144"/>
      <c r="AI100" s="144"/>
      <c r="AJ100" s="144"/>
      <c r="AK100" s="144"/>
      <c r="AL100" s="7"/>
    </row>
    <row r="101" spans="1:64">
      <c r="C101" s="126">
        <v>0.43861250108217659</v>
      </c>
      <c r="D101" s="126">
        <v>1.4616059968409458</v>
      </c>
      <c r="F101" s="2">
        <v>0.39269120750799652</v>
      </c>
      <c r="G101" s="2">
        <v>1.4616059968409489</v>
      </c>
      <c r="I101" s="2">
        <v>0.3573092436370785</v>
      </c>
      <c r="J101" s="2">
        <v>1.4616059968409492</v>
      </c>
      <c r="L101" s="3">
        <v>0.48649922757191771</v>
      </c>
      <c r="M101" s="3">
        <v>1.4610781357008662</v>
      </c>
      <c r="R101" s="7"/>
      <c r="S101" s="7"/>
      <c r="T101" s="7"/>
      <c r="U101" s="7"/>
      <c r="V101" s="7"/>
      <c r="W101" s="7"/>
      <c r="X101" s="7"/>
      <c r="Y101" s="7"/>
      <c r="Z101" s="7"/>
      <c r="AD101" s="28"/>
      <c r="AE101" s="7"/>
      <c r="AF101" s="144"/>
      <c r="AG101" s="144"/>
      <c r="AH101" s="144"/>
      <c r="AI101" s="144"/>
      <c r="AJ101" s="144"/>
      <c r="AK101" s="144"/>
      <c r="AL101" s="7"/>
    </row>
    <row r="102" spans="1:64">
      <c r="C102" s="126">
        <v>0.24338790477858033</v>
      </c>
      <c r="D102" s="126">
        <v>1.7170479998998383</v>
      </c>
      <c r="F102" s="2">
        <v>6.5276124258884405E-2</v>
      </c>
      <c r="G102" s="2">
        <v>1.9156788438393244</v>
      </c>
      <c r="I102" s="2">
        <v>0.32567748807861679</v>
      </c>
      <c r="J102" s="2">
        <v>1.5099980782667328</v>
      </c>
      <c r="L102" s="3">
        <v>0.48612183295985489</v>
      </c>
      <c r="M102" s="3">
        <v>1.4616059968409461</v>
      </c>
      <c r="R102" s="7"/>
      <c r="S102" s="7"/>
      <c r="T102" s="7"/>
      <c r="U102" s="7"/>
      <c r="V102" s="7"/>
      <c r="W102" s="7"/>
      <c r="X102" s="7"/>
      <c r="Y102" s="7"/>
      <c r="Z102" s="7"/>
      <c r="AD102" s="28"/>
      <c r="AE102" s="7"/>
      <c r="AF102" s="144"/>
      <c r="AG102" s="144"/>
      <c r="AH102" s="144"/>
      <c r="AI102" s="144"/>
      <c r="AJ102" s="144"/>
      <c r="AK102" s="144"/>
      <c r="AL102" s="7"/>
    </row>
    <row r="103" spans="1:64">
      <c r="C103" s="126">
        <v>0.13765126621369034</v>
      </c>
      <c r="D103" s="126">
        <v>1.8484434319199512</v>
      </c>
      <c r="F103" s="2">
        <v>-0.1066039971198095</v>
      </c>
      <c r="G103" s="2">
        <v>2.1417507717340643</v>
      </c>
      <c r="I103" s="2">
        <v>0.29491367065386243</v>
      </c>
      <c r="J103" s="2">
        <v>1.5569597290494512</v>
      </c>
      <c r="L103" s="3">
        <v>0.28334308171972666</v>
      </c>
      <c r="M103" s="3">
        <v>1.7386016704410707</v>
      </c>
      <c r="R103" s="7"/>
      <c r="S103" s="7"/>
      <c r="T103" s="7"/>
      <c r="U103" s="7"/>
      <c r="V103" s="7"/>
      <c r="W103" s="7"/>
      <c r="X103" s="7"/>
      <c r="Y103" s="7"/>
      <c r="Z103" s="7"/>
      <c r="AD103" s="28"/>
      <c r="AE103" s="7"/>
      <c r="AF103" s="144"/>
      <c r="AG103" s="144"/>
      <c r="AH103" s="144"/>
      <c r="AI103" s="144"/>
      <c r="AJ103" s="144"/>
      <c r="AK103" s="144"/>
      <c r="AL103" s="7"/>
    </row>
    <row r="104" spans="1:64">
      <c r="C104" s="126">
        <v>7.922396980925156E-2</v>
      </c>
      <c r="D104" s="126">
        <v>1.9174380270953091</v>
      </c>
      <c r="F104" s="2">
        <v>-0.19887689880573939</v>
      </c>
      <c r="G104" s="2">
        <v>2.2569406249436406</v>
      </c>
      <c r="I104" s="2">
        <v>0.26499264657195326</v>
      </c>
      <c r="J104" s="2">
        <v>1.6025353434293925</v>
      </c>
      <c r="L104" s="3">
        <v>0.17600047963705701</v>
      </c>
      <c r="M104" s="3">
        <v>1.8777190146083838</v>
      </c>
      <c r="R104" s="7"/>
      <c r="S104" s="7"/>
      <c r="T104" s="7"/>
      <c r="U104" s="7"/>
      <c r="V104" s="7"/>
      <c r="W104" s="7"/>
      <c r="X104" s="7"/>
      <c r="Y104" s="7"/>
      <c r="Z104" s="7"/>
      <c r="AD104" s="28"/>
      <c r="AE104" s="7"/>
      <c r="AF104" s="144"/>
      <c r="AG104" s="144"/>
      <c r="AH104" s="144"/>
      <c r="AI104" s="144"/>
      <c r="AJ104" s="144"/>
      <c r="AK104" s="144"/>
      <c r="AL104" s="7"/>
    </row>
    <row r="105" spans="1:64">
      <c r="C105" s="126">
        <v>4.633494738219629E-2</v>
      </c>
      <c r="D105" s="126">
        <v>1.9543597608837109</v>
      </c>
      <c r="F105" s="2">
        <v>-0.24944550336406385</v>
      </c>
      <c r="G105" s="2">
        <v>2.3168919636073015</v>
      </c>
      <c r="I105" s="2">
        <v>0.23589003843452042</v>
      </c>
      <c r="J105" s="2">
        <v>1.6467678712145151</v>
      </c>
      <c r="L105" s="3">
        <v>0.11792865964710414</v>
      </c>
      <c r="M105" s="3">
        <v>1.949174790706854</v>
      </c>
      <c r="R105" s="7"/>
      <c r="S105" s="7"/>
      <c r="T105" s="7"/>
      <c r="U105" s="7"/>
      <c r="V105" s="7"/>
      <c r="W105" s="7"/>
      <c r="X105" s="7"/>
      <c r="Y105" s="7"/>
      <c r="Z105" s="7"/>
      <c r="AD105" s="28"/>
      <c r="AE105" s="7"/>
      <c r="AF105" s="144"/>
      <c r="AG105" s="144"/>
      <c r="AH105" s="144"/>
      <c r="AI105" s="144"/>
      <c r="AJ105" s="144"/>
      <c r="AK105" s="144"/>
      <c r="AL105" s="7"/>
    </row>
    <row r="106" spans="1:64">
      <c r="C106" s="126">
        <v>2.7500966564281415E-2</v>
      </c>
      <c r="D106" s="126">
        <v>1.9744661793221945</v>
      </c>
      <c r="F106" s="2">
        <v>-0.27769191009744781</v>
      </c>
      <c r="G106" s="2">
        <v>2.3487086755816109</v>
      </c>
      <c r="I106" s="2">
        <v>0.20758221161867604</v>
      </c>
      <c r="J106" s="2">
        <v>1.6896988669714981</v>
      </c>
      <c r="L106" s="3">
        <v>8.587561939721039E-2</v>
      </c>
      <c r="M106" s="3">
        <v>1.9866413281248199</v>
      </c>
      <c r="R106" s="7"/>
      <c r="S106" s="7"/>
      <c r="T106" s="7"/>
      <c r="U106" s="7"/>
      <c r="V106" s="7"/>
      <c r="W106" s="7"/>
      <c r="X106" s="7"/>
      <c r="Y106" s="7"/>
      <c r="Z106" s="7"/>
      <c r="AD106" s="28"/>
      <c r="AE106" s="7"/>
      <c r="AF106" s="144"/>
      <c r="AG106" s="144"/>
      <c r="AH106" s="144"/>
      <c r="AI106" s="144"/>
      <c r="AJ106" s="144"/>
      <c r="AK106" s="144"/>
      <c r="AL106" s="7"/>
    </row>
    <row r="107" spans="1:64">
      <c r="C107" s="126">
        <v>1.6542312198949638E-2</v>
      </c>
      <c r="D107" s="126">
        <v>1.9855933545240465</v>
      </c>
      <c r="F107" s="2">
        <v>-0.29375049948740045</v>
      </c>
      <c r="G107" s="2">
        <v>2.3659000314908782</v>
      </c>
      <c r="I107" s="2">
        <v>0.18004625048827172</v>
      </c>
      <c r="J107" s="2">
        <v>1.7313685374661092</v>
      </c>
      <c r="L107" s="3">
        <v>6.7852639628824263E-2</v>
      </c>
      <c r="M107" s="3">
        <v>2.006662149474904</v>
      </c>
      <c r="R107" s="7"/>
      <c r="S107" s="7"/>
      <c r="T107" s="7"/>
      <c r="U107" s="7"/>
      <c r="V107" s="7"/>
      <c r="W107" s="7"/>
      <c r="X107" s="7"/>
      <c r="Y107" s="7"/>
      <c r="Z107" s="7"/>
      <c r="AD107" s="28"/>
      <c r="AE107" s="7"/>
      <c r="AF107" s="144"/>
      <c r="AG107" s="144"/>
      <c r="AH107" s="144"/>
      <c r="AI107" s="144"/>
      <c r="AJ107" s="144"/>
      <c r="AK107" s="144"/>
      <c r="AL107" s="7"/>
    </row>
    <row r="108" spans="1:64">
      <c r="C108" s="126">
        <v>1.0070680324133996E-2</v>
      </c>
      <c r="D108" s="126">
        <v>1.991843573163697</v>
      </c>
      <c r="F108" s="228">
        <v>-0.30303075726923107</v>
      </c>
      <c r="G108" s="228">
        <v>2.3753439431219769</v>
      </c>
      <c r="H108" s="18"/>
      <c r="I108" s="228">
        <v>0.15325993540427438</v>
      </c>
      <c r="J108" s="228">
        <v>1.7718157874179967</v>
      </c>
      <c r="K108" s="18"/>
      <c r="L108" s="196">
        <v>5.7542929386571962E-2</v>
      </c>
      <c r="M108" s="196">
        <v>2.0175490066974624</v>
      </c>
      <c r="N108" s="18"/>
      <c r="O108" s="18"/>
      <c r="P108" s="18"/>
      <c r="Q108" s="18"/>
      <c r="R108" s="7"/>
      <c r="S108" s="7"/>
      <c r="T108" s="7"/>
      <c r="U108" s="7"/>
      <c r="V108" s="7"/>
      <c r="W108" s="7"/>
      <c r="X108" s="7"/>
      <c r="Y108" s="7"/>
      <c r="Z108" s="7"/>
      <c r="AA108" s="18"/>
      <c r="AB108" s="18"/>
      <c r="AC108" s="18"/>
      <c r="AD108" s="92"/>
      <c r="AE108" s="7"/>
      <c r="AF108" s="144"/>
      <c r="AG108" s="144"/>
      <c r="AH108" s="144"/>
      <c r="AI108" s="144"/>
      <c r="AJ108" s="144"/>
      <c r="AK108" s="144"/>
      <c r="AL108" s="7"/>
      <c r="BL108" s="18"/>
    </row>
    <row r="109" spans="1:64" s="18" customFormat="1">
      <c r="C109" s="126">
        <v>6.1956709379441532E-3</v>
      </c>
      <c r="D109" s="126">
        <v>1.9954029314652741</v>
      </c>
      <c r="F109" s="228">
        <v>-0.30847603302527077</v>
      </c>
      <c r="G109" s="228">
        <v>2.3806116601782659</v>
      </c>
      <c r="I109" s="228">
        <v>0.12720172050612807</v>
      </c>
      <c r="J109" s="228">
        <v>1.8110782636323677</v>
      </c>
      <c r="L109" s="196">
        <v>5.1550611592683815E-2</v>
      </c>
      <c r="M109" s="196">
        <v>2.0235650970623724</v>
      </c>
      <c r="R109" s="7"/>
      <c r="S109" s="7"/>
      <c r="T109" s="7"/>
      <c r="U109" s="7"/>
      <c r="V109" s="7"/>
      <c r="W109" s="7"/>
      <c r="X109" s="7"/>
      <c r="Y109" s="7"/>
      <c r="Z109" s="7"/>
      <c r="AD109" s="92"/>
      <c r="AE109" s="7"/>
      <c r="AF109" s="144"/>
      <c r="AG109" s="144"/>
      <c r="AH109" s="144"/>
      <c r="AI109" s="144"/>
      <c r="AJ109" s="144"/>
      <c r="AK109" s="144"/>
      <c r="AL109" s="7"/>
      <c r="AM109"/>
      <c r="AN109"/>
      <c r="AO109"/>
      <c r="AP109"/>
      <c r="AQ109"/>
      <c r="AR109"/>
      <c r="AS109"/>
      <c r="AT109"/>
      <c r="AU109"/>
      <c r="AV109"/>
    </row>
    <row r="110" spans="1:64" s="18" customFormat="1">
      <c r="C110" s="126">
        <v>3.8453177547939643E-3</v>
      </c>
      <c r="D110" s="126">
        <v>1.9974557864026345</v>
      </c>
      <c r="F110" s="228">
        <v>-0.31171667659929553</v>
      </c>
      <c r="G110" s="228">
        <v>2.3835916133479675</v>
      </c>
      <c r="I110" s="228">
        <v>0.10185071223710157</v>
      </c>
      <c r="J110" s="228">
        <v>1.8491923975685345</v>
      </c>
      <c r="L110" s="196">
        <v>4.8015627227383173E-2</v>
      </c>
      <c r="M110" s="196">
        <v>2.0269393437948136</v>
      </c>
      <c r="R110" s="7"/>
      <c r="S110" s="7"/>
      <c r="T110" s="7"/>
      <c r="U110" s="7"/>
      <c r="V110" s="7"/>
      <c r="W110" s="7"/>
      <c r="X110" s="7"/>
      <c r="Y110" s="7"/>
      <c r="Z110" s="7"/>
      <c r="AD110" s="92"/>
      <c r="AE110" s="7"/>
      <c r="AF110" s="144"/>
      <c r="AG110" s="144"/>
      <c r="AH110" s="144"/>
      <c r="AI110" s="144"/>
      <c r="AJ110" s="144"/>
      <c r="AK110" s="144"/>
      <c r="AL110" s="7"/>
    </row>
    <row r="111" spans="1:64" s="18" customFormat="1">
      <c r="C111" s="126">
        <v>2.4024464806571277E-3</v>
      </c>
      <c r="D111" s="126">
        <v>1.9986537157528113</v>
      </c>
      <c r="F111" s="228">
        <v>-0.31367091978899481</v>
      </c>
      <c r="G111" s="228">
        <v>2.3852994261211222</v>
      </c>
      <c r="I111" s="228">
        <v>7.7186648587474982E-2</v>
      </c>
      <c r="J111" s="228">
        <v>1.8861934464032466</v>
      </c>
      <c r="L111" s="196">
        <v>4.5901243776528933E-2</v>
      </c>
      <c r="M111" s="196">
        <v>2.0288579821030499</v>
      </c>
      <c r="R111" s="7"/>
      <c r="S111" s="7"/>
      <c r="T111" s="7"/>
      <c r="U111" s="7"/>
      <c r="V111" s="7"/>
      <c r="W111" s="7"/>
      <c r="X111" s="7"/>
      <c r="Y111" s="7"/>
      <c r="Z111" s="7"/>
      <c r="AD111" s="92"/>
      <c r="AE111" s="7"/>
      <c r="AF111" s="144"/>
      <c r="AG111" s="144"/>
      <c r="AH111" s="144"/>
      <c r="AI111" s="144"/>
      <c r="AJ111" s="144"/>
      <c r="AK111" s="144"/>
      <c r="AL111" s="7"/>
    </row>
    <row r="112" spans="1:64" s="18" customFormat="1">
      <c r="C112" s="126">
        <v>1.5066309513607767E-3</v>
      </c>
      <c r="D112" s="126">
        <v>1.999360350140496</v>
      </c>
      <c r="F112" s="228">
        <v>-0.3148640327509698</v>
      </c>
      <c r="G112" s="228">
        <v>2.3862899759600209</v>
      </c>
      <c r="I112" s="228">
        <v>5.3189879030485998E-2</v>
      </c>
      <c r="J112" s="228">
        <v>1.9221155326442259</v>
      </c>
      <c r="L112" s="196">
        <v>4.4620149257383224E-2</v>
      </c>
      <c r="M112" s="196">
        <v>2.0299628337162243</v>
      </c>
      <c r="R112" s="7"/>
      <c r="S112" s="7"/>
      <c r="T112" s="7"/>
      <c r="U112" s="7"/>
      <c r="V112" s="7"/>
      <c r="W112" s="7"/>
      <c r="X112" s="7"/>
      <c r="Y112" s="7"/>
      <c r="Z112" s="7"/>
      <c r="AD112" s="92"/>
      <c r="AE112" s="7"/>
      <c r="AF112" s="144"/>
      <c r="AG112" s="144"/>
      <c r="AH112" s="144"/>
      <c r="AI112" s="144"/>
      <c r="AJ112" s="144"/>
      <c r="AK112" s="144"/>
      <c r="AL112" s="7"/>
    </row>
    <row r="113" spans="3:38" s="18" customFormat="1">
      <c r="C113" s="126">
        <v>9.4455498443418717E-4</v>
      </c>
      <c r="D113" s="126">
        <v>1.9997813451332402</v>
      </c>
      <c r="F113" s="228">
        <v>-0.31560090292331028</v>
      </c>
      <c r="G113" s="228">
        <v>2.3868708852374607</v>
      </c>
      <c r="I113" s="228">
        <v>2.9841345126816909E-2</v>
      </c>
      <c r="J113" s="228">
        <v>1.9569916823473363</v>
      </c>
      <c r="L113" s="196">
        <v>4.383453187171632E-2</v>
      </c>
      <c r="M113" s="196">
        <v>2.0306065322613764</v>
      </c>
      <c r="R113" s="7"/>
      <c r="S113" s="7"/>
      <c r="T113" s="7"/>
      <c r="U113" s="7"/>
      <c r="V113" s="7"/>
      <c r="W113" s="7"/>
      <c r="X113" s="7"/>
      <c r="Y113" s="7"/>
      <c r="Z113" s="7"/>
      <c r="AD113" s="92"/>
      <c r="AE113" s="7"/>
      <c r="AF113" s="144"/>
      <c r="AG113" s="144"/>
      <c r="AH113" s="144"/>
      <c r="AI113" s="144"/>
      <c r="AJ113" s="144"/>
      <c r="AK113" s="144"/>
      <c r="AL113" s="7"/>
    </row>
    <row r="114" spans="3:38" s="18" customFormat="1">
      <c r="C114" s="127">
        <v>-7.0117775286149264E-5</v>
      </c>
      <c r="D114" s="127">
        <v>2.0004346804046045</v>
      </c>
      <c r="F114" s="228">
        <v>-0.31688026633973526</v>
      </c>
      <c r="G114" s="228">
        <v>2.3877418376208901</v>
      </c>
      <c r="I114" s="228">
        <v>-0.86212979679112645</v>
      </c>
      <c r="J114" s="228">
        <v>3.1824924335859377</v>
      </c>
      <c r="L114" s="196">
        <v>4.3347301136267335E-2</v>
      </c>
      <c r="M114" s="196">
        <v>2.0309856112507978</v>
      </c>
      <c r="R114" s="7"/>
      <c r="S114" s="7"/>
      <c r="T114" s="7"/>
      <c r="U114" s="7"/>
      <c r="V114" s="7"/>
      <c r="W114" s="7"/>
      <c r="X114" s="7"/>
      <c r="Y114" s="7"/>
      <c r="Z114" s="7"/>
      <c r="AD114" s="92"/>
      <c r="AE114" s="7"/>
      <c r="AF114" s="144"/>
      <c r="AG114" s="144"/>
      <c r="AH114" s="144"/>
      <c r="AI114" s="144"/>
      <c r="AJ114" s="144"/>
      <c r="AK114" s="144"/>
      <c r="AL114" s="7"/>
    </row>
    <row r="115" spans="3:38" s="18" customFormat="1">
      <c r="L115" s="196">
        <v>4.304192179894939E-2</v>
      </c>
      <c r="M115" s="196">
        <v>2.0312110714605471</v>
      </c>
      <c r="R115" s="7"/>
      <c r="S115" s="7"/>
      <c r="T115" s="7"/>
      <c r="U115" s="7"/>
      <c r="V115" s="7"/>
      <c r="W115" s="7"/>
      <c r="X115" s="7"/>
      <c r="Y115" s="7"/>
      <c r="Z115" s="7"/>
      <c r="AD115" s="92"/>
      <c r="AE115" s="7"/>
      <c r="AF115" s="144"/>
      <c r="AG115" s="144"/>
      <c r="AH115" s="144"/>
      <c r="AI115" s="144"/>
      <c r="AJ115" s="144"/>
      <c r="AK115" s="144"/>
      <c r="AL115" s="7"/>
    </row>
    <row r="116" spans="3:38" s="18" customFormat="1">
      <c r="L116" s="196">
        <v>4.2848619369695418E-2</v>
      </c>
      <c r="M116" s="196">
        <v>2.0313463868350099</v>
      </c>
      <c r="R116" s="7"/>
      <c r="S116" s="7"/>
      <c r="T116" s="7"/>
      <c r="U116" s="7"/>
      <c r="V116" s="7"/>
      <c r="W116" s="7"/>
      <c r="X116" s="7"/>
      <c r="Y116" s="7"/>
      <c r="Z116" s="7"/>
      <c r="AD116" s="92"/>
      <c r="AE116" s="7"/>
      <c r="AF116" s="144"/>
      <c r="AG116" s="144"/>
      <c r="AH116" s="144"/>
      <c r="AI116" s="144"/>
      <c r="AJ116" s="144"/>
      <c r="AK116" s="144"/>
      <c r="AL116" s="7"/>
    </row>
    <row r="117" spans="3:38" s="18" customFormat="1">
      <c r="L117" s="196">
        <v>4.2725121332701788E-2</v>
      </c>
      <c r="M117" s="196">
        <v>2.0314282750645534</v>
      </c>
      <c r="R117" s="7"/>
      <c r="S117" s="7"/>
      <c r="T117" s="7"/>
      <c r="U117" s="7"/>
      <c r="V117" s="7"/>
      <c r="W117" s="7"/>
      <c r="X117" s="7"/>
      <c r="Y117" s="7"/>
      <c r="Z117" s="7"/>
      <c r="AD117" s="92"/>
      <c r="AE117" s="7"/>
      <c r="AF117" s="144"/>
      <c r="AG117" s="144"/>
      <c r="AH117" s="144"/>
      <c r="AI117" s="144"/>
      <c r="AJ117" s="144"/>
      <c r="AK117" s="144"/>
      <c r="AL117" s="7"/>
    </row>
    <row r="118" spans="3:38" s="18" customFormat="1">
      <c r="L118" s="196">
        <v>4.2645531219024924E-2</v>
      </c>
      <c r="M118" s="196">
        <v>2.0314782055166662</v>
      </c>
      <c r="R118" s="7"/>
      <c r="S118" s="7"/>
      <c r="T118" s="7"/>
      <c r="U118" s="7"/>
      <c r="V118" s="7"/>
      <c r="W118" s="7"/>
      <c r="X118" s="7"/>
      <c r="Y118" s="7"/>
      <c r="Z118" s="7"/>
      <c r="AD118" s="92"/>
      <c r="AE118" s="7"/>
      <c r="AF118" s="144"/>
      <c r="AG118" s="144"/>
      <c r="AH118" s="144"/>
      <c r="AI118" s="144"/>
      <c r="AJ118" s="144"/>
      <c r="AK118" s="144"/>
      <c r="AL118" s="7"/>
    </row>
    <row r="119" spans="3:38" s="18" customFormat="1">
      <c r="L119" s="196">
        <v>4.2593817867076611E-2</v>
      </c>
      <c r="M119" s="196">
        <v>2.0315088576582783</v>
      </c>
      <c r="R119" s="7"/>
      <c r="S119" s="7"/>
      <c r="T119" s="7"/>
      <c r="U119" s="7"/>
      <c r="V119" s="7"/>
      <c r="W119" s="7"/>
      <c r="X119" s="7"/>
      <c r="Y119" s="7"/>
      <c r="Z119" s="7"/>
      <c r="AD119" s="92"/>
      <c r="AE119" s="7"/>
      <c r="AF119" s="144"/>
      <c r="AG119" s="144"/>
      <c r="AH119" s="144"/>
      <c r="AI119" s="144"/>
      <c r="AJ119" s="144"/>
      <c r="AK119" s="144"/>
      <c r="AL119" s="7"/>
    </row>
    <row r="120" spans="3:38" s="18" customFormat="1">
      <c r="L120" s="196">
        <v>4.2494175537927448E-2</v>
      </c>
      <c r="M120" s="196">
        <v>2.0315587858884054</v>
      </c>
      <c r="R120" s="7"/>
      <c r="S120" s="7"/>
      <c r="T120" s="7"/>
      <c r="U120" s="7"/>
      <c r="V120" s="7"/>
      <c r="W120" s="7"/>
      <c r="X120" s="7"/>
      <c r="Y120" s="7"/>
      <c r="Z120" s="7"/>
      <c r="AD120" s="92"/>
      <c r="AE120" s="7"/>
      <c r="AF120" s="144"/>
      <c r="AG120" s="144"/>
      <c r="AH120" s="144"/>
      <c r="AI120" s="144"/>
      <c r="AJ120" s="144"/>
      <c r="AK120" s="144"/>
      <c r="AL120" s="7"/>
    </row>
    <row r="121" spans="3:38" s="18" customFormat="1">
      <c r="L121" s="196">
        <v>4.2491978824945764E-2</v>
      </c>
      <c r="M121" s="196">
        <v>2.0315592464409411</v>
      </c>
      <c r="R121" s="7"/>
      <c r="S121" s="7"/>
      <c r="T121" s="7"/>
      <c r="U121" s="7"/>
      <c r="V121" s="7"/>
      <c r="W121" s="7"/>
      <c r="X121" s="7"/>
      <c r="Y121" s="7"/>
      <c r="Z121" s="7"/>
      <c r="AD121" s="92"/>
      <c r="AE121" s="7"/>
      <c r="AF121" s="144"/>
      <c r="AG121" s="144"/>
      <c r="AH121" s="144"/>
      <c r="AI121" s="144"/>
      <c r="AJ121" s="144"/>
      <c r="AK121" s="144"/>
      <c r="AL121" s="7"/>
    </row>
    <row r="122" spans="3:38" s="18" customFormat="1">
      <c r="L122" s="196">
        <v>4.2491909099868275E-2</v>
      </c>
      <c r="M122" s="196">
        <v>2.0315592424380267</v>
      </c>
      <c r="R122" s="7"/>
      <c r="S122" s="7"/>
      <c r="T122" s="7"/>
      <c r="U122" s="7"/>
      <c r="V122" s="7"/>
      <c r="W122" s="7"/>
      <c r="X122" s="7"/>
      <c r="Y122" s="7"/>
      <c r="Z122" s="7"/>
      <c r="AD122" s="92"/>
      <c r="AE122" s="7"/>
      <c r="AF122" s="144"/>
      <c r="AG122" s="144"/>
      <c r="AH122" s="144"/>
      <c r="AI122" s="144"/>
      <c r="AJ122" s="144"/>
      <c r="AK122" s="144"/>
      <c r="AL122" s="7"/>
    </row>
    <row r="123" spans="3:38" s="18" customFormat="1">
      <c r="R123" s="7"/>
      <c r="S123" s="7"/>
      <c r="T123" s="7"/>
      <c r="U123" s="7"/>
      <c r="V123" s="7"/>
      <c r="W123" s="7"/>
      <c r="X123" s="7"/>
      <c r="Y123" s="7"/>
      <c r="Z123" s="7"/>
      <c r="AD123" s="92"/>
      <c r="AE123" s="7"/>
      <c r="AF123" s="144"/>
      <c r="AG123" s="144"/>
      <c r="AH123" s="144"/>
      <c r="AI123" s="144"/>
      <c r="AJ123" s="144"/>
      <c r="AK123" s="144"/>
      <c r="AL123" s="7"/>
    </row>
    <row r="124" spans="3:38" s="18" customFormat="1">
      <c r="R124" s="7"/>
      <c r="S124" s="7"/>
      <c r="T124" s="7"/>
      <c r="U124" s="7"/>
      <c r="V124" s="7"/>
      <c r="W124" s="7"/>
      <c r="X124" s="7"/>
      <c r="Y124" s="7"/>
      <c r="Z124" s="7"/>
      <c r="AD124" s="92"/>
      <c r="AE124" s="7"/>
      <c r="AF124" s="144"/>
      <c r="AG124" s="144"/>
      <c r="AH124" s="144"/>
      <c r="AI124" s="144"/>
      <c r="AJ124" s="144"/>
      <c r="AK124" s="144"/>
      <c r="AL124" s="7"/>
    </row>
    <row r="125" spans="3:38" s="18" customFormat="1">
      <c r="C125" s="92"/>
      <c r="D125" s="92"/>
      <c r="R125" s="7"/>
      <c r="S125" s="7"/>
      <c r="T125" s="7"/>
      <c r="U125" s="7"/>
      <c r="V125" s="7"/>
      <c r="W125" s="7"/>
      <c r="X125" s="7"/>
      <c r="Y125" s="7"/>
      <c r="Z125" s="7"/>
      <c r="AD125" s="92"/>
      <c r="AE125" s="7"/>
      <c r="AF125" s="144"/>
      <c r="AG125" s="144"/>
      <c r="AH125" s="144"/>
      <c r="AI125" s="144"/>
      <c r="AJ125" s="144"/>
      <c r="AK125" s="144"/>
      <c r="AL125" s="7"/>
    </row>
    <row r="126" spans="3:38" s="18" customFormat="1">
      <c r="R126" s="7"/>
      <c r="S126" s="7"/>
      <c r="T126" s="7"/>
      <c r="U126" s="7"/>
      <c r="V126" s="7"/>
      <c r="W126" s="7"/>
      <c r="X126" s="7"/>
      <c r="Y126" s="7"/>
      <c r="Z126" s="7"/>
      <c r="AD126" s="92"/>
      <c r="AE126" s="7"/>
      <c r="AF126" s="144"/>
      <c r="AG126" s="144"/>
      <c r="AH126" s="144"/>
      <c r="AI126" s="144"/>
      <c r="AJ126" s="144"/>
      <c r="AK126" s="144"/>
      <c r="AL126" s="7"/>
    </row>
    <row r="127" spans="3:38" s="18" customFormat="1">
      <c r="R127" s="7"/>
      <c r="S127" s="7"/>
      <c r="T127" s="7"/>
      <c r="U127" s="7"/>
      <c r="V127" s="7"/>
      <c r="W127" s="7"/>
      <c r="X127" s="7"/>
      <c r="Y127" s="7"/>
      <c r="Z127" s="7"/>
      <c r="AD127" s="92"/>
      <c r="AE127" s="7"/>
      <c r="AF127" s="144"/>
      <c r="AG127" s="144"/>
      <c r="AH127" s="144"/>
      <c r="AI127" s="144"/>
      <c r="AJ127" s="144"/>
      <c r="AK127" s="144"/>
      <c r="AL127" s="7"/>
    </row>
    <row r="128" spans="3:38" s="18" customFormat="1">
      <c r="R128" s="7"/>
      <c r="S128" s="7"/>
      <c r="T128" s="7"/>
      <c r="U128" s="7"/>
      <c r="V128" s="7"/>
      <c r="W128" s="7"/>
      <c r="X128" s="7"/>
      <c r="Y128" s="7"/>
      <c r="Z128" s="7"/>
      <c r="AD128" s="92"/>
      <c r="AE128" s="7"/>
      <c r="AF128" s="144"/>
      <c r="AG128" s="144"/>
      <c r="AH128" s="144"/>
      <c r="AI128" s="144"/>
      <c r="AJ128" s="144"/>
      <c r="AK128" s="144"/>
      <c r="AL128" s="7"/>
    </row>
    <row r="129" spans="18:38" s="18" customFormat="1">
      <c r="R129" s="7"/>
      <c r="S129" s="7"/>
      <c r="T129" s="7"/>
      <c r="U129" s="7"/>
      <c r="V129" s="7"/>
      <c r="W129" s="7"/>
      <c r="X129" s="7"/>
      <c r="Y129" s="7"/>
      <c r="Z129" s="7"/>
      <c r="AD129" s="92"/>
      <c r="AE129" s="7"/>
      <c r="AF129" s="144"/>
      <c r="AG129" s="144"/>
      <c r="AH129" s="144"/>
      <c r="AI129" s="144"/>
      <c r="AJ129" s="144"/>
      <c r="AK129" s="144"/>
      <c r="AL129" s="7"/>
    </row>
    <row r="130" spans="18:38" s="18" customFormat="1">
      <c r="R130" s="7"/>
      <c r="S130" s="7"/>
      <c r="T130" s="7"/>
      <c r="U130" s="7"/>
      <c r="V130" s="7"/>
      <c r="W130" s="7"/>
      <c r="X130" s="7"/>
      <c r="Y130" s="7"/>
      <c r="Z130" s="7"/>
      <c r="AD130" s="92"/>
      <c r="AE130" s="7"/>
      <c r="AF130" s="144"/>
      <c r="AG130" s="144"/>
      <c r="AH130" s="144"/>
      <c r="AI130" s="144"/>
      <c r="AJ130" s="144"/>
      <c r="AK130" s="144"/>
      <c r="AL130" s="7"/>
    </row>
    <row r="131" spans="18:38" s="18" customFormat="1">
      <c r="R131" s="7"/>
      <c r="S131" s="7"/>
      <c r="T131" s="7"/>
      <c r="U131" s="7"/>
      <c r="V131" s="7"/>
      <c r="W131" s="7"/>
      <c r="X131" s="7"/>
      <c r="Y131" s="7"/>
      <c r="Z131" s="7"/>
      <c r="AD131" s="92"/>
      <c r="AE131" s="7"/>
      <c r="AF131" s="144"/>
      <c r="AG131" s="144"/>
      <c r="AH131" s="144"/>
      <c r="AI131" s="144"/>
      <c r="AJ131" s="144"/>
      <c r="AK131" s="144"/>
      <c r="AL131" s="7"/>
    </row>
    <row r="132" spans="18:38" s="18" customFormat="1">
      <c r="R132" s="7"/>
      <c r="S132" s="7"/>
      <c r="T132" s="7"/>
      <c r="U132" s="7"/>
      <c r="V132" s="7"/>
      <c r="W132" s="7"/>
      <c r="X132" s="7"/>
      <c r="Y132" s="7"/>
      <c r="Z132" s="7"/>
      <c r="AD132" s="92"/>
      <c r="AE132" s="7"/>
      <c r="AF132" s="144"/>
      <c r="AG132" s="144"/>
      <c r="AH132" s="144"/>
      <c r="AI132" s="144"/>
      <c r="AJ132" s="144"/>
      <c r="AK132" s="144"/>
      <c r="AL132" s="7"/>
    </row>
    <row r="133" spans="18:38" s="18" customFormat="1">
      <c r="R133" s="7"/>
      <c r="S133" s="7"/>
      <c r="T133" s="7"/>
      <c r="U133" s="7"/>
      <c r="V133" s="7"/>
      <c r="W133" s="7"/>
      <c r="X133" s="7"/>
      <c r="Y133" s="7"/>
      <c r="Z133" s="7"/>
      <c r="AD133" s="92"/>
      <c r="AE133" s="7"/>
      <c r="AF133" s="144"/>
      <c r="AG133" s="144"/>
      <c r="AH133" s="144"/>
      <c r="AI133" s="144"/>
      <c r="AJ133" s="144"/>
      <c r="AK133" s="144"/>
      <c r="AL133" s="7"/>
    </row>
    <row r="134" spans="18:38" s="18" customFormat="1">
      <c r="R134" s="7"/>
      <c r="S134" s="7"/>
      <c r="T134" s="7"/>
      <c r="U134" s="7"/>
      <c r="V134" s="7"/>
      <c r="W134" s="7"/>
      <c r="X134" s="7"/>
      <c r="Y134" s="7"/>
      <c r="Z134" s="7"/>
      <c r="AD134" s="92"/>
      <c r="AE134" s="7"/>
      <c r="AF134" s="144"/>
      <c r="AG134" s="144"/>
      <c r="AH134" s="144"/>
      <c r="AI134" s="144"/>
      <c r="AJ134" s="144"/>
      <c r="AK134" s="144"/>
      <c r="AL134" s="7"/>
    </row>
    <row r="135" spans="18:38" s="18" customFormat="1">
      <c r="R135" s="7"/>
      <c r="S135" s="7"/>
      <c r="T135" s="7"/>
      <c r="U135" s="7"/>
      <c r="V135" s="7"/>
      <c r="W135" s="7"/>
      <c r="X135" s="7"/>
      <c r="Y135" s="7"/>
      <c r="Z135" s="7"/>
      <c r="AD135" s="92"/>
      <c r="AE135" s="7"/>
      <c r="AF135" s="144"/>
      <c r="AG135" s="144"/>
      <c r="AH135" s="144"/>
      <c r="AI135" s="144"/>
      <c r="AJ135" s="144"/>
      <c r="AK135" s="144"/>
      <c r="AL135" s="7"/>
    </row>
    <row r="136" spans="18:38" s="18" customFormat="1">
      <c r="R136" s="7"/>
      <c r="S136" s="7"/>
      <c r="T136" s="7"/>
      <c r="U136" s="7"/>
      <c r="V136" s="7"/>
      <c r="W136" s="7"/>
      <c r="X136" s="7"/>
      <c r="Y136" s="7"/>
      <c r="Z136" s="7"/>
      <c r="AD136" s="92"/>
      <c r="AE136" s="7"/>
      <c r="AF136" s="144"/>
      <c r="AG136" s="144"/>
      <c r="AH136" s="144"/>
      <c r="AI136" s="144"/>
      <c r="AJ136" s="144"/>
      <c r="AK136" s="144"/>
      <c r="AL136" s="7"/>
    </row>
    <row r="137" spans="18:38" s="18" customFormat="1">
      <c r="R137" s="7"/>
      <c r="S137" s="7"/>
      <c r="T137" s="7"/>
      <c r="U137" s="7"/>
      <c r="V137" s="7"/>
      <c r="W137" s="7"/>
      <c r="X137" s="7"/>
      <c r="Y137" s="7"/>
      <c r="Z137" s="7"/>
      <c r="AD137" s="92"/>
      <c r="AE137" s="7"/>
      <c r="AF137" s="144"/>
      <c r="AG137" s="144"/>
      <c r="AH137" s="144"/>
      <c r="AI137" s="144"/>
      <c r="AJ137" s="144"/>
      <c r="AK137" s="144"/>
      <c r="AL137" s="7"/>
    </row>
    <row r="138" spans="18:38" s="18" customFormat="1">
      <c r="R138" s="7"/>
      <c r="S138" s="7"/>
      <c r="T138" s="7"/>
      <c r="U138" s="7"/>
      <c r="V138" s="7"/>
      <c r="W138" s="7"/>
      <c r="X138" s="7"/>
      <c r="Y138" s="7"/>
      <c r="Z138" s="7"/>
      <c r="AD138" s="92"/>
      <c r="AE138" s="7"/>
      <c r="AF138" s="144"/>
      <c r="AG138" s="144"/>
      <c r="AH138" s="144"/>
      <c r="AI138" s="144"/>
      <c r="AJ138" s="144"/>
      <c r="AK138" s="144"/>
      <c r="AL138" s="7"/>
    </row>
    <row r="139" spans="18:38" s="18" customFormat="1">
      <c r="R139" s="7"/>
      <c r="S139" s="7"/>
      <c r="T139" s="7"/>
      <c r="U139" s="7"/>
      <c r="V139" s="7"/>
      <c r="W139" s="7"/>
      <c r="X139" s="7"/>
      <c r="Y139" s="7"/>
      <c r="Z139" s="7"/>
      <c r="AD139" s="92"/>
      <c r="AE139" s="7"/>
      <c r="AF139" s="144"/>
      <c r="AG139" s="144"/>
      <c r="AH139" s="144"/>
      <c r="AI139" s="144"/>
      <c r="AJ139" s="144"/>
      <c r="AK139" s="144"/>
      <c r="AL139" s="7"/>
    </row>
    <row r="140" spans="18:38" s="18" customFormat="1">
      <c r="R140" s="7"/>
      <c r="S140" s="7"/>
      <c r="T140" s="7"/>
      <c r="U140" s="7"/>
      <c r="V140" s="7"/>
      <c r="W140" s="7"/>
      <c r="X140" s="7"/>
      <c r="Y140" s="7"/>
      <c r="Z140" s="7"/>
      <c r="AD140" s="92"/>
      <c r="AE140" s="7"/>
      <c r="AF140" s="144"/>
      <c r="AG140" s="144"/>
      <c r="AH140" s="144"/>
      <c r="AI140" s="144"/>
      <c r="AJ140" s="144"/>
      <c r="AK140" s="144"/>
      <c r="AL140" s="7"/>
    </row>
    <row r="141" spans="18:38" s="18" customFormat="1">
      <c r="R141" s="7"/>
      <c r="S141" s="7"/>
      <c r="T141" s="7"/>
      <c r="U141" s="7"/>
      <c r="V141" s="7"/>
      <c r="W141" s="7"/>
      <c r="X141" s="7"/>
      <c r="Y141" s="7"/>
      <c r="Z141" s="7"/>
      <c r="AD141" s="92"/>
      <c r="AE141" s="7"/>
      <c r="AF141" s="144"/>
      <c r="AG141" s="144"/>
      <c r="AH141" s="144"/>
      <c r="AI141" s="144"/>
      <c r="AJ141" s="144"/>
      <c r="AK141" s="144"/>
      <c r="AL141" s="7"/>
    </row>
    <row r="142" spans="18:38" s="18" customFormat="1">
      <c r="R142" s="7"/>
      <c r="S142" s="7"/>
      <c r="T142" s="7"/>
      <c r="U142" s="7"/>
      <c r="V142" s="7"/>
      <c r="W142" s="7"/>
      <c r="X142" s="7"/>
      <c r="Y142" s="7"/>
      <c r="Z142" s="7"/>
      <c r="AD142" s="92"/>
      <c r="AE142" s="7"/>
      <c r="AF142" s="144"/>
      <c r="AG142" s="144"/>
      <c r="AH142" s="144"/>
      <c r="AI142" s="144"/>
      <c r="AJ142" s="144"/>
      <c r="AK142" s="144"/>
      <c r="AL142" s="7"/>
    </row>
    <row r="143" spans="18:38" s="18" customFormat="1">
      <c r="R143" s="7"/>
      <c r="S143" s="7"/>
      <c r="T143" s="7"/>
      <c r="U143" s="7"/>
      <c r="V143" s="7"/>
      <c r="W143" s="7"/>
      <c r="X143" s="7"/>
      <c r="Y143" s="7"/>
      <c r="Z143" s="7"/>
      <c r="AD143" s="92"/>
      <c r="AE143" s="7"/>
      <c r="AF143" s="144"/>
      <c r="AG143" s="144"/>
      <c r="AH143" s="144"/>
      <c r="AI143" s="144"/>
      <c r="AJ143" s="144"/>
      <c r="AK143" s="144"/>
      <c r="AL143" s="7"/>
    </row>
    <row r="144" spans="18:38" s="18" customFormat="1">
      <c r="R144" s="7"/>
      <c r="S144" s="7"/>
      <c r="T144" s="7"/>
      <c r="U144" s="7"/>
      <c r="V144" s="7"/>
      <c r="W144" s="7"/>
      <c r="X144" s="7"/>
      <c r="Y144" s="7"/>
      <c r="Z144" s="7"/>
      <c r="AD144" s="92"/>
      <c r="AE144" s="7"/>
      <c r="AF144" s="144"/>
      <c r="AG144" s="144"/>
      <c r="AH144" s="144"/>
      <c r="AI144" s="144"/>
      <c r="AJ144" s="144"/>
      <c r="AK144" s="144"/>
      <c r="AL144" s="7"/>
    </row>
    <row r="145" spans="18:38" s="18" customFormat="1">
      <c r="R145" s="7"/>
      <c r="S145" s="7"/>
      <c r="T145" s="7"/>
      <c r="U145" s="7"/>
      <c r="V145" s="7"/>
      <c r="W145" s="7"/>
      <c r="X145" s="7"/>
      <c r="Y145" s="7"/>
      <c r="Z145" s="7"/>
      <c r="AD145" s="92"/>
      <c r="AE145" s="7"/>
      <c r="AF145" s="144"/>
      <c r="AG145" s="144"/>
      <c r="AH145" s="144"/>
      <c r="AI145" s="144"/>
      <c r="AJ145" s="144"/>
      <c r="AK145" s="144"/>
      <c r="AL145" s="7"/>
    </row>
    <row r="146" spans="18:38" s="18" customFormat="1">
      <c r="R146" s="7"/>
      <c r="S146" s="7"/>
      <c r="T146" s="7"/>
      <c r="U146" s="7"/>
      <c r="V146" s="7"/>
      <c r="W146" s="7"/>
      <c r="X146" s="7"/>
      <c r="Y146" s="7"/>
      <c r="Z146" s="7"/>
      <c r="AD146" s="92"/>
      <c r="AE146" s="7"/>
      <c r="AF146" s="144"/>
      <c r="AG146" s="144"/>
      <c r="AH146" s="144"/>
      <c r="AI146" s="144"/>
      <c r="AJ146" s="144"/>
      <c r="AK146" s="144"/>
      <c r="AL146" s="7"/>
    </row>
    <row r="147" spans="18:38" s="18" customFormat="1">
      <c r="R147" s="7"/>
      <c r="S147" s="7"/>
      <c r="T147" s="7"/>
      <c r="U147" s="7"/>
      <c r="V147" s="7"/>
      <c r="W147" s="7"/>
      <c r="X147" s="7"/>
      <c r="Y147" s="7"/>
      <c r="Z147" s="7"/>
      <c r="AD147" s="92"/>
      <c r="AE147" s="7"/>
      <c r="AF147" s="144"/>
      <c r="AG147" s="144"/>
      <c r="AH147" s="144"/>
      <c r="AI147" s="144"/>
      <c r="AJ147" s="144"/>
      <c r="AK147" s="144"/>
      <c r="AL147" s="7"/>
    </row>
    <row r="148" spans="18:38" s="18" customFormat="1">
      <c r="R148" s="7"/>
      <c r="S148" s="7"/>
      <c r="T148" s="7"/>
      <c r="U148" s="7"/>
      <c r="V148" s="7"/>
      <c r="W148" s="7"/>
      <c r="X148" s="7"/>
      <c r="Y148" s="7"/>
      <c r="Z148" s="7"/>
      <c r="AD148" s="92"/>
      <c r="AE148" s="7"/>
      <c r="AF148" s="144"/>
      <c r="AG148" s="144"/>
      <c r="AH148" s="144"/>
      <c r="AI148" s="144"/>
      <c r="AJ148" s="144"/>
      <c r="AK148" s="144"/>
      <c r="AL148" s="7"/>
    </row>
    <row r="149" spans="18:38" s="18" customFormat="1">
      <c r="R149" s="7"/>
      <c r="S149" s="7"/>
      <c r="T149" s="7"/>
      <c r="U149" s="7"/>
      <c r="V149" s="7"/>
      <c r="W149" s="7"/>
      <c r="X149" s="7"/>
      <c r="Y149" s="7"/>
      <c r="Z149" s="7"/>
      <c r="AD149" s="92"/>
      <c r="AE149" s="7"/>
      <c r="AF149" s="144"/>
      <c r="AG149" s="144"/>
      <c r="AH149" s="144"/>
      <c r="AI149" s="144"/>
      <c r="AJ149" s="144"/>
      <c r="AK149" s="144"/>
      <c r="AL149" s="7"/>
    </row>
    <row r="150" spans="18:38" s="18" customFormat="1">
      <c r="R150" s="7"/>
      <c r="S150" s="7"/>
      <c r="T150" s="7"/>
      <c r="U150" s="7"/>
      <c r="V150" s="7"/>
      <c r="W150" s="7"/>
      <c r="X150" s="7"/>
      <c r="Y150" s="7"/>
      <c r="Z150" s="7"/>
      <c r="AD150" s="92"/>
      <c r="AE150" s="7"/>
      <c r="AF150" s="144"/>
      <c r="AG150" s="144"/>
      <c r="AH150" s="144"/>
      <c r="AI150" s="144"/>
      <c r="AJ150" s="144"/>
      <c r="AK150" s="144"/>
      <c r="AL150" s="7"/>
    </row>
    <row r="151" spans="18:38" s="18" customFormat="1">
      <c r="R151" s="7"/>
      <c r="S151" s="7"/>
      <c r="T151" s="7"/>
      <c r="U151" s="7"/>
      <c r="V151" s="7"/>
      <c r="W151" s="7"/>
      <c r="X151" s="7"/>
      <c r="Y151" s="7"/>
      <c r="Z151" s="7"/>
      <c r="AD151" s="92"/>
      <c r="AE151" s="7"/>
      <c r="AF151" s="144"/>
      <c r="AG151" s="144"/>
      <c r="AH151" s="144"/>
      <c r="AI151" s="144"/>
      <c r="AJ151" s="144"/>
      <c r="AK151" s="144"/>
      <c r="AL151" s="7"/>
    </row>
    <row r="152" spans="18:38" s="18" customFormat="1">
      <c r="R152" s="7"/>
      <c r="S152" s="7"/>
      <c r="T152" s="7"/>
      <c r="U152" s="7"/>
      <c r="V152" s="7"/>
      <c r="W152" s="7"/>
      <c r="X152" s="7"/>
      <c r="Y152" s="7"/>
      <c r="Z152" s="7"/>
      <c r="AD152" s="92"/>
      <c r="AE152" s="7"/>
      <c r="AF152" s="144"/>
      <c r="AG152" s="144"/>
      <c r="AH152" s="144"/>
      <c r="AI152" s="144"/>
      <c r="AJ152" s="144"/>
      <c r="AK152" s="144"/>
      <c r="AL152" s="7"/>
    </row>
    <row r="153" spans="18:38" s="18" customFormat="1">
      <c r="R153" s="7"/>
      <c r="S153" s="7"/>
      <c r="T153" s="7"/>
      <c r="U153" s="7"/>
      <c r="V153" s="7"/>
      <c r="W153" s="7"/>
      <c r="X153" s="7"/>
      <c r="Y153" s="7"/>
      <c r="Z153" s="7"/>
      <c r="AD153" s="92"/>
      <c r="AE153" s="7"/>
      <c r="AF153" s="144"/>
      <c r="AG153" s="144"/>
      <c r="AH153" s="144"/>
      <c r="AI153" s="144"/>
      <c r="AJ153" s="144"/>
      <c r="AK153" s="144"/>
      <c r="AL153" s="7"/>
    </row>
    <row r="154" spans="18:38" s="18" customFormat="1">
      <c r="R154" s="7"/>
      <c r="S154" s="7"/>
      <c r="T154" s="7"/>
      <c r="U154" s="7"/>
      <c r="V154" s="7"/>
      <c r="W154" s="7"/>
      <c r="X154" s="7"/>
      <c r="Y154" s="7"/>
      <c r="Z154" s="7"/>
      <c r="AD154" s="92"/>
      <c r="AE154" s="7"/>
      <c r="AF154" s="144"/>
      <c r="AG154" s="144"/>
      <c r="AH154" s="144"/>
      <c r="AI154" s="144"/>
      <c r="AJ154" s="144"/>
      <c r="AK154" s="144"/>
      <c r="AL154" s="7"/>
    </row>
    <row r="155" spans="18:38" s="18" customFormat="1">
      <c r="R155" s="7"/>
      <c r="S155" s="7"/>
      <c r="T155" s="7"/>
      <c r="U155" s="7"/>
      <c r="V155" s="7"/>
      <c r="W155" s="7"/>
      <c r="X155" s="7"/>
      <c r="Y155" s="7"/>
      <c r="Z155" s="7"/>
      <c r="AD155" s="92"/>
      <c r="AE155" s="7"/>
      <c r="AF155" s="144"/>
      <c r="AG155" s="144"/>
      <c r="AH155" s="144"/>
      <c r="AI155" s="144"/>
      <c r="AJ155" s="144"/>
      <c r="AK155" s="144"/>
      <c r="AL155" s="7"/>
    </row>
    <row r="156" spans="18:38" s="18" customFormat="1">
      <c r="R156" s="7"/>
      <c r="S156" s="7"/>
      <c r="T156" s="7"/>
      <c r="U156" s="7"/>
      <c r="V156" s="7"/>
      <c r="W156" s="7"/>
      <c r="X156" s="7"/>
      <c r="Y156" s="7"/>
      <c r="Z156" s="7"/>
      <c r="AD156" s="92"/>
      <c r="AE156" s="7"/>
      <c r="AF156" s="144"/>
      <c r="AG156" s="144"/>
      <c r="AH156" s="144"/>
      <c r="AI156" s="144"/>
      <c r="AJ156" s="144"/>
      <c r="AK156" s="144"/>
      <c r="AL156" s="7"/>
    </row>
    <row r="157" spans="18:38" s="18" customFormat="1">
      <c r="R157" s="7"/>
      <c r="S157" s="7"/>
      <c r="T157" s="7"/>
      <c r="U157" s="7"/>
      <c r="V157" s="7"/>
      <c r="W157" s="7"/>
      <c r="X157" s="7"/>
      <c r="Y157" s="7"/>
      <c r="Z157" s="7"/>
      <c r="AD157" s="92"/>
      <c r="AE157" s="7"/>
      <c r="AF157" s="144"/>
      <c r="AG157" s="144"/>
      <c r="AH157" s="144"/>
      <c r="AI157" s="144"/>
      <c r="AJ157" s="144"/>
      <c r="AK157" s="144"/>
      <c r="AL157" s="7"/>
    </row>
    <row r="158" spans="18:38" s="18" customFormat="1">
      <c r="R158" s="7"/>
      <c r="S158" s="7"/>
      <c r="T158" s="7"/>
      <c r="U158" s="7"/>
      <c r="V158" s="7"/>
      <c r="W158" s="7"/>
      <c r="X158" s="7"/>
      <c r="Y158" s="7"/>
      <c r="Z158" s="7"/>
      <c r="AD158" s="92"/>
      <c r="AE158" s="7"/>
      <c r="AF158" s="144"/>
      <c r="AG158" s="144"/>
      <c r="AH158" s="144"/>
      <c r="AI158" s="144"/>
      <c r="AJ158" s="144"/>
      <c r="AK158" s="144"/>
      <c r="AL158" s="7"/>
    </row>
    <row r="159" spans="18:38" s="18" customFormat="1">
      <c r="R159" s="7"/>
      <c r="S159" s="7"/>
      <c r="T159" s="7"/>
      <c r="U159" s="7"/>
      <c r="V159" s="7"/>
      <c r="W159" s="7"/>
      <c r="X159" s="7"/>
      <c r="Y159" s="7"/>
      <c r="Z159" s="7"/>
      <c r="AD159" s="92"/>
      <c r="AE159" s="7"/>
      <c r="AF159" s="144"/>
      <c r="AG159" s="144"/>
      <c r="AH159" s="144"/>
      <c r="AI159" s="144"/>
      <c r="AJ159" s="144"/>
      <c r="AK159" s="144"/>
      <c r="AL159" s="7"/>
    </row>
    <row r="160" spans="18:38" s="18" customFormat="1">
      <c r="R160" s="7"/>
      <c r="S160" s="7"/>
      <c r="T160" s="7"/>
      <c r="U160" s="7"/>
      <c r="V160" s="7"/>
      <c r="W160" s="7"/>
      <c r="X160" s="7"/>
      <c r="Y160" s="7"/>
      <c r="Z160" s="7"/>
      <c r="AD160" s="92"/>
      <c r="AE160" s="7"/>
      <c r="AF160" s="144"/>
      <c r="AG160" s="144"/>
      <c r="AH160" s="144"/>
      <c r="AI160" s="144"/>
      <c r="AJ160" s="144"/>
      <c r="AK160" s="144"/>
      <c r="AL160" s="7"/>
    </row>
    <row r="161" spans="18:38" s="18" customFormat="1">
      <c r="R161" s="7"/>
      <c r="S161" s="7"/>
      <c r="T161" s="7"/>
      <c r="U161" s="7"/>
      <c r="V161" s="7"/>
      <c r="W161" s="7"/>
      <c r="X161" s="7"/>
      <c r="Y161" s="7"/>
      <c r="Z161" s="7"/>
      <c r="AD161" s="92"/>
      <c r="AE161" s="7"/>
      <c r="AF161" s="144"/>
      <c r="AG161" s="144"/>
      <c r="AH161" s="144"/>
      <c r="AI161" s="144"/>
      <c r="AJ161" s="144"/>
      <c r="AK161" s="144"/>
      <c r="AL161" s="7"/>
    </row>
    <row r="162" spans="18:38" s="18" customFormat="1">
      <c r="R162" s="7"/>
      <c r="S162" s="7"/>
      <c r="T162" s="7"/>
      <c r="U162" s="7"/>
      <c r="V162" s="7"/>
      <c r="W162" s="7"/>
      <c r="X162" s="7"/>
      <c r="Y162" s="7"/>
      <c r="Z162" s="7"/>
      <c r="AD162" s="92"/>
      <c r="AE162" s="7"/>
      <c r="AF162" s="144"/>
      <c r="AG162" s="144"/>
      <c r="AH162" s="144"/>
      <c r="AI162" s="144"/>
      <c r="AJ162" s="144"/>
      <c r="AK162" s="144"/>
      <c r="AL162" s="7"/>
    </row>
    <row r="163" spans="18:38" s="18" customFormat="1">
      <c r="R163" s="7"/>
      <c r="S163" s="7"/>
      <c r="T163" s="7"/>
      <c r="U163" s="7"/>
      <c r="V163" s="7"/>
      <c r="W163" s="7"/>
      <c r="X163" s="7"/>
      <c r="Y163" s="7"/>
      <c r="Z163" s="7"/>
      <c r="AD163" s="92"/>
      <c r="AE163" s="7"/>
      <c r="AF163" s="144"/>
      <c r="AG163" s="144"/>
      <c r="AH163" s="144"/>
      <c r="AI163" s="144"/>
      <c r="AJ163" s="144"/>
      <c r="AK163" s="144"/>
      <c r="AL163" s="7"/>
    </row>
    <row r="164" spans="18:38" s="18" customFormat="1">
      <c r="R164" s="7"/>
      <c r="S164" s="7"/>
      <c r="T164" s="7"/>
      <c r="U164" s="7"/>
      <c r="V164" s="7"/>
      <c r="W164" s="7"/>
      <c r="X164" s="7"/>
      <c r="Y164" s="7"/>
      <c r="Z164" s="7"/>
      <c r="AD164" s="92"/>
      <c r="AE164" s="7"/>
      <c r="AF164" s="144"/>
      <c r="AG164" s="144"/>
      <c r="AH164" s="144"/>
      <c r="AI164" s="144"/>
      <c r="AJ164" s="144"/>
      <c r="AK164" s="144"/>
      <c r="AL164" s="7"/>
    </row>
    <row r="165" spans="18:38" s="18" customFormat="1">
      <c r="R165" s="7"/>
      <c r="S165" s="7"/>
      <c r="T165" s="7"/>
      <c r="U165" s="7"/>
      <c r="V165" s="7"/>
      <c r="W165" s="7"/>
      <c r="X165" s="7"/>
      <c r="Y165" s="7"/>
      <c r="Z165" s="7"/>
      <c r="AD165" s="92"/>
      <c r="AE165" s="7"/>
      <c r="AF165" s="144"/>
      <c r="AG165" s="144"/>
      <c r="AH165" s="144"/>
      <c r="AI165" s="144"/>
      <c r="AJ165" s="144"/>
      <c r="AK165" s="144"/>
      <c r="AL165" s="7"/>
    </row>
    <row r="166" spans="18:38" s="18" customFormat="1">
      <c r="R166" s="7"/>
      <c r="S166" s="7"/>
      <c r="T166" s="7"/>
      <c r="U166" s="7"/>
      <c r="V166" s="7"/>
      <c r="W166" s="7"/>
      <c r="X166" s="7"/>
      <c r="Y166" s="7"/>
      <c r="Z166" s="7"/>
      <c r="AD166" s="92"/>
      <c r="AE166" s="7"/>
      <c r="AF166" s="144"/>
      <c r="AG166" s="144"/>
      <c r="AH166" s="144"/>
      <c r="AI166" s="144"/>
      <c r="AJ166" s="144"/>
      <c r="AK166" s="144"/>
      <c r="AL166" s="7"/>
    </row>
    <row r="167" spans="18:38" s="18" customFormat="1">
      <c r="R167" s="7"/>
      <c r="S167" s="7"/>
      <c r="T167" s="7"/>
      <c r="U167" s="7"/>
      <c r="V167" s="7"/>
      <c r="W167" s="7"/>
      <c r="X167" s="7"/>
      <c r="Y167" s="7"/>
      <c r="Z167" s="7"/>
      <c r="AD167" s="92"/>
      <c r="AE167" s="7"/>
      <c r="AF167" s="144"/>
      <c r="AG167" s="144"/>
      <c r="AH167" s="144"/>
      <c r="AI167" s="144"/>
      <c r="AJ167" s="144"/>
      <c r="AK167" s="144"/>
      <c r="AL167" s="7"/>
    </row>
    <row r="168" spans="18:38" s="18" customFormat="1">
      <c r="R168" s="7"/>
      <c r="S168" s="7"/>
      <c r="T168" s="7"/>
      <c r="U168" s="7"/>
      <c r="V168" s="7"/>
      <c r="W168" s="7"/>
      <c r="X168" s="7"/>
      <c r="Y168" s="7"/>
      <c r="Z168" s="7"/>
      <c r="AD168" s="92"/>
      <c r="AE168" s="7"/>
      <c r="AF168" s="144"/>
      <c r="AG168" s="144"/>
      <c r="AH168" s="144"/>
      <c r="AI168" s="144"/>
      <c r="AJ168" s="144"/>
      <c r="AK168" s="144"/>
      <c r="AL168" s="7"/>
    </row>
    <row r="169" spans="18:38" s="18" customFormat="1">
      <c r="R169" s="7"/>
      <c r="S169" s="7"/>
      <c r="T169" s="7"/>
      <c r="U169" s="7"/>
      <c r="V169" s="7"/>
      <c r="W169" s="7"/>
      <c r="X169" s="7"/>
      <c r="Y169" s="7"/>
      <c r="Z169" s="7"/>
      <c r="AD169" s="92"/>
      <c r="AE169" s="7"/>
      <c r="AF169" s="144"/>
      <c r="AG169" s="144"/>
      <c r="AH169" s="144"/>
      <c r="AI169" s="144"/>
      <c r="AJ169" s="144"/>
      <c r="AK169" s="144"/>
      <c r="AL169" s="7"/>
    </row>
    <row r="170" spans="18:38" s="18" customFormat="1">
      <c r="R170" s="7"/>
      <c r="S170" s="7"/>
      <c r="T170" s="7"/>
      <c r="U170" s="7"/>
      <c r="V170" s="7"/>
      <c r="W170" s="7"/>
      <c r="X170" s="7"/>
      <c r="Y170" s="7"/>
      <c r="Z170" s="7"/>
      <c r="AD170" s="92"/>
      <c r="AE170" s="7"/>
      <c r="AF170" s="144"/>
      <c r="AG170" s="144"/>
      <c r="AH170" s="144"/>
      <c r="AI170" s="144"/>
      <c r="AJ170" s="144"/>
      <c r="AK170" s="144"/>
      <c r="AL170" s="7"/>
    </row>
    <row r="171" spans="18:38" s="18" customFormat="1">
      <c r="R171" s="7"/>
      <c r="S171" s="7"/>
      <c r="T171" s="7"/>
      <c r="U171" s="7"/>
      <c r="V171" s="7"/>
      <c r="W171" s="7"/>
      <c r="X171" s="7"/>
      <c r="Y171" s="7"/>
      <c r="Z171" s="7"/>
      <c r="AD171" s="92"/>
      <c r="AE171" s="7"/>
      <c r="AF171" s="144"/>
      <c r="AG171" s="144"/>
      <c r="AH171" s="144"/>
      <c r="AI171" s="144"/>
      <c r="AJ171" s="144"/>
      <c r="AK171" s="144"/>
      <c r="AL171" s="7"/>
    </row>
    <row r="172" spans="18:38" s="18" customFormat="1">
      <c r="R172" s="7"/>
      <c r="S172" s="7"/>
      <c r="T172" s="7"/>
      <c r="U172" s="7"/>
      <c r="V172" s="7"/>
      <c r="W172" s="7"/>
      <c r="X172" s="7"/>
      <c r="Y172" s="7"/>
      <c r="Z172" s="7"/>
      <c r="AD172" s="92"/>
      <c r="AE172" s="7"/>
      <c r="AF172" s="144"/>
      <c r="AG172" s="144"/>
      <c r="AH172" s="144"/>
      <c r="AI172" s="144"/>
      <c r="AJ172" s="144"/>
      <c r="AK172" s="144"/>
      <c r="AL172" s="7"/>
    </row>
    <row r="173" spans="18:38" s="18" customFormat="1">
      <c r="R173" s="7"/>
      <c r="S173" s="7"/>
      <c r="T173" s="7"/>
      <c r="U173" s="7"/>
      <c r="V173" s="7"/>
      <c r="W173" s="7"/>
      <c r="X173" s="7"/>
      <c r="Y173" s="7"/>
      <c r="Z173" s="7"/>
      <c r="AD173" s="92"/>
      <c r="AE173" s="7"/>
      <c r="AF173" s="144"/>
      <c r="AG173" s="144"/>
      <c r="AH173" s="144"/>
      <c r="AI173" s="144"/>
      <c r="AJ173" s="144"/>
      <c r="AK173" s="144"/>
      <c r="AL173" s="7"/>
    </row>
    <row r="174" spans="18:38" s="18" customFormat="1">
      <c r="R174" s="7"/>
      <c r="S174" s="7"/>
      <c r="T174" s="7"/>
      <c r="U174" s="7"/>
      <c r="V174" s="7"/>
      <c r="W174" s="7"/>
      <c r="X174" s="7"/>
      <c r="Y174" s="7"/>
      <c r="Z174" s="7"/>
      <c r="AD174" s="92"/>
      <c r="AE174" s="7"/>
      <c r="AF174" s="144"/>
      <c r="AG174" s="144"/>
      <c r="AH174" s="144"/>
      <c r="AI174" s="144"/>
      <c r="AJ174" s="144"/>
      <c r="AK174" s="144"/>
      <c r="AL174" s="7"/>
    </row>
    <row r="175" spans="18:38" s="18" customFormat="1">
      <c r="R175" s="7"/>
      <c r="S175" s="7"/>
      <c r="T175" s="7"/>
      <c r="U175" s="7"/>
      <c r="V175" s="7"/>
      <c r="W175" s="7"/>
      <c r="X175" s="7"/>
      <c r="Y175" s="7"/>
      <c r="Z175" s="7"/>
      <c r="AD175" s="92"/>
      <c r="AE175" s="7"/>
      <c r="AF175" s="144"/>
      <c r="AG175" s="144"/>
      <c r="AH175" s="144"/>
      <c r="AI175" s="144"/>
      <c r="AJ175" s="144"/>
      <c r="AK175" s="144"/>
      <c r="AL175" s="7"/>
    </row>
    <row r="176" spans="18:38" s="18" customFormat="1">
      <c r="R176" s="7"/>
      <c r="S176" s="7"/>
      <c r="T176" s="7"/>
      <c r="U176" s="7"/>
      <c r="V176" s="7"/>
      <c r="W176" s="7"/>
      <c r="X176" s="7"/>
      <c r="Y176" s="7"/>
      <c r="Z176" s="7"/>
      <c r="AD176" s="92"/>
      <c r="AE176" s="7"/>
      <c r="AF176" s="144"/>
      <c r="AG176" s="144"/>
      <c r="AH176" s="144"/>
      <c r="AI176" s="144"/>
      <c r="AJ176" s="144"/>
      <c r="AK176" s="144"/>
      <c r="AL176" s="7"/>
    </row>
    <row r="177" spans="18:38" s="18" customFormat="1">
      <c r="R177" s="7"/>
      <c r="S177" s="7"/>
      <c r="T177" s="7"/>
      <c r="U177" s="7"/>
      <c r="V177" s="7"/>
      <c r="W177" s="7"/>
      <c r="X177" s="7"/>
      <c r="Y177" s="7"/>
      <c r="Z177" s="7"/>
      <c r="AD177" s="92"/>
      <c r="AE177" s="7"/>
      <c r="AF177" s="144"/>
      <c r="AG177" s="144"/>
      <c r="AH177" s="144"/>
      <c r="AI177" s="144"/>
      <c r="AJ177" s="144"/>
      <c r="AK177" s="144"/>
      <c r="AL177" s="7"/>
    </row>
    <row r="178" spans="18:38" s="18" customFormat="1">
      <c r="R178" s="7"/>
      <c r="S178" s="7"/>
      <c r="T178" s="7"/>
      <c r="U178" s="7"/>
      <c r="V178" s="7"/>
      <c r="W178" s="7"/>
      <c r="X178" s="7"/>
      <c r="Y178" s="7"/>
      <c r="Z178" s="7"/>
      <c r="AD178" s="92"/>
      <c r="AE178" s="7"/>
      <c r="AF178" s="144"/>
      <c r="AG178" s="144"/>
      <c r="AH178" s="144"/>
      <c r="AI178" s="144"/>
      <c r="AJ178" s="144"/>
      <c r="AK178" s="144"/>
      <c r="AL178" s="7"/>
    </row>
    <row r="179" spans="18:38" s="18" customFormat="1">
      <c r="R179" s="7"/>
      <c r="S179" s="7"/>
      <c r="T179" s="7"/>
      <c r="U179" s="7"/>
      <c r="V179" s="7"/>
      <c r="W179" s="7"/>
      <c r="X179" s="7"/>
      <c r="Y179" s="7"/>
      <c r="Z179" s="7"/>
      <c r="AD179" s="92"/>
      <c r="AE179" s="7"/>
      <c r="AF179" s="144"/>
      <c r="AG179" s="144"/>
      <c r="AH179" s="144"/>
      <c r="AI179" s="144"/>
      <c r="AJ179" s="144"/>
      <c r="AK179" s="144"/>
      <c r="AL179" s="7"/>
    </row>
    <row r="180" spans="18:38" s="18" customFormat="1">
      <c r="R180" s="7"/>
      <c r="S180" s="7"/>
      <c r="T180" s="7"/>
      <c r="U180" s="7"/>
      <c r="V180" s="7"/>
      <c r="W180" s="7"/>
      <c r="X180" s="7"/>
      <c r="Y180" s="7"/>
      <c r="Z180" s="7"/>
      <c r="AD180" s="92"/>
      <c r="AE180" s="7"/>
      <c r="AF180" s="144"/>
      <c r="AG180" s="144"/>
      <c r="AH180" s="144"/>
      <c r="AI180" s="144"/>
      <c r="AJ180" s="144"/>
      <c r="AK180" s="144"/>
      <c r="AL180" s="7"/>
    </row>
    <row r="181" spans="18:38" s="18" customFormat="1">
      <c r="R181" s="7"/>
      <c r="S181" s="7"/>
      <c r="T181" s="7"/>
      <c r="U181" s="7"/>
      <c r="V181" s="7"/>
      <c r="W181" s="7"/>
      <c r="X181" s="7"/>
      <c r="Y181" s="7"/>
      <c r="Z181" s="7"/>
      <c r="AD181" s="92"/>
      <c r="AE181" s="7"/>
      <c r="AF181" s="144"/>
      <c r="AG181" s="144"/>
      <c r="AH181" s="144"/>
      <c r="AI181" s="144"/>
      <c r="AJ181" s="144"/>
      <c r="AK181" s="144"/>
      <c r="AL181" s="7"/>
    </row>
    <row r="182" spans="18:38" s="18" customFormat="1">
      <c r="R182" s="7"/>
      <c r="S182" s="7"/>
      <c r="T182" s="7"/>
      <c r="U182" s="7"/>
      <c r="V182" s="7"/>
      <c r="W182" s="7"/>
      <c r="X182" s="7"/>
      <c r="Y182" s="7"/>
      <c r="Z182" s="7"/>
      <c r="AD182" s="92"/>
      <c r="AE182" s="7"/>
      <c r="AF182" s="144"/>
      <c r="AG182" s="144"/>
      <c r="AH182" s="144"/>
      <c r="AI182" s="144"/>
      <c r="AJ182" s="144"/>
      <c r="AK182" s="144"/>
      <c r="AL182" s="7"/>
    </row>
    <row r="183" spans="18:38" s="18" customFormat="1">
      <c r="R183" s="7"/>
      <c r="S183" s="7"/>
      <c r="T183" s="7"/>
      <c r="U183" s="7"/>
      <c r="V183" s="7"/>
      <c r="W183" s="7"/>
      <c r="X183" s="7"/>
      <c r="Y183" s="7"/>
      <c r="Z183" s="7"/>
      <c r="AD183" s="92"/>
      <c r="AE183" s="7"/>
      <c r="AF183" s="144"/>
      <c r="AG183" s="144"/>
      <c r="AH183" s="144"/>
      <c r="AI183" s="144"/>
      <c r="AJ183" s="144"/>
      <c r="AK183" s="144"/>
      <c r="AL183" s="7"/>
    </row>
    <row r="184" spans="18:38" s="18" customFormat="1">
      <c r="R184" s="7"/>
      <c r="S184" s="7"/>
      <c r="T184" s="7"/>
      <c r="U184" s="7"/>
      <c r="V184" s="7"/>
      <c r="W184" s="7"/>
      <c r="X184" s="7"/>
      <c r="Y184" s="7"/>
      <c r="Z184" s="7"/>
      <c r="AD184" s="92"/>
      <c r="AE184" s="7"/>
      <c r="AF184" s="144"/>
      <c r="AG184" s="144"/>
      <c r="AH184" s="144"/>
      <c r="AI184" s="144"/>
      <c r="AJ184" s="144"/>
      <c r="AK184" s="144"/>
      <c r="AL184" s="7"/>
    </row>
    <row r="185" spans="18:38" s="18" customFormat="1">
      <c r="R185" s="7"/>
      <c r="S185" s="7"/>
      <c r="T185" s="7"/>
      <c r="U185" s="7"/>
      <c r="V185" s="7"/>
      <c r="W185" s="7"/>
      <c r="X185" s="7"/>
      <c r="Y185" s="7"/>
      <c r="Z185" s="7"/>
      <c r="AD185" s="92"/>
      <c r="AE185" s="7"/>
      <c r="AF185" s="144"/>
      <c r="AG185" s="144"/>
      <c r="AH185" s="144"/>
      <c r="AI185" s="144"/>
      <c r="AJ185" s="144"/>
      <c r="AK185" s="144"/>
      <c r="AL185" s="7"/>
    </row>
    <row r="186" spans="18:38" s="18" customFormat="1">
      <c r="R186" s="7"/>
      <c r="S186" s="7"/>
      <c r="T186" s="7"/>
      <c r="U186" s="7"/>
      <c r="V186" s="7"/>
      <c r="W186" s="7"/>
      <c r="X186" s="7"/>
      <c r="Y186" s="7"/>
      <c r="Z186" s="7"/>
      <c r="AD186" s="92"/>
      <c r="AE186" s="7"/>
      <c r="AF186" s="144"/>
      <c r="AG186" s="144"/>
      <c r="AH186" s="144"/>
      <c r="AI186" s="144"/>
      <c r="AJ186" s="144"/>
      <c r="AK186" s="144"/>
      <c r="AL186" s="7"/>
    </row>
    <row r="187" spans="18:38" s="18" customFormat="1">
      <c r="R187" s="7"/>
      <c r="S187" s="7"/>
      <c r="T187" s="7"/>
      <c r="U187" s="7"/>
      <c r="V187" s="7"/>
      <c r="W187" s="7"/>
      <c r="X187" s="7"/>
      <c r="Y187" s="7"/>
      <c r="Z187" s="7"/>
      <c r="AD187" s="92"/>
      <c r="AE187" s="7"/>
      <c r="AF187" s="144"/>
      <c r="AG187" s="144"/>
      <c r="AH187" s="144"/>
      <c r="AI187" s="144"/>
      <c r="AJ187" s="144"/>
      <c r="AK187" s="144"/>
      <c r="AL187" s="7"/>
    </row>
    <row r="188" spans="18:38" s="18" customFormat="1">
      <c r="R188" s="7"/>
      <c r="S188" s="7"/>
      <c r="T188" s="7"/>
      <c r="U188" s="7"/>
      <c r="V188" s="7"/>
      <c r="W188" s="7"/>
      <c r="X188" s="7"/>
      <c r="Y188" s="7"/>
      <c r="Z188" s="7"/>
      <c r="AD188" s="92"/>
      <c r="AE188" s="7"/>
      <c r="AF188" s="144"/>
      <c r="AG188" s="144"/>
      <c r="AH188" s="144"/>
      <c r="AI188" s="144"/>
      <c r="AJ188" s="144"/>
      <c r="AK188" s="144"/>
      <c r="AL188" s="7"/>
    </row>
    <row r="189" spans="18:38" s="18" customFormat="1">
      <c r="R189" s="7"/>
      <c r="S189" s="7"/>
      <c r="T189" s="7"/>
      <c r="U189" s="7"/>
      <c r="V189" s="7"/>
      <c r="W189" s="7"/>
      <c r="X189" s="7"/>
      <c r="Y189" s="7"/>
      <c r="Z189" s="7"/>
      <c r="AD189" s="92"/>
      <c r="AE189" s="7"/>
      <c r="AF189" s="144"/>
      <c r="AG189" s="144"/>
      <c r="AH189" s="144"/>
      <c r="AI189" s="144"/>
      <c r="AJ189" s="144"/>
      <c r="AK189" s="144"/>
      <c r="AL189" s="7"/>
    </row>
    <row r="190" spans="18:38" s="18" customFormat="1">
      <c r="R190" s="7"/>
      <c r="S190" s="7"/>
      <c r="T190" s="7"/>
      <c r="U190" s="7"/>
      <c r="V190" s="7"/>
      <c r="W190" s="7"/>
      <c r="X190" s="7"/>
      <c r="Y190" s="7"/>
      <c r="Z190" s="7"/>
      <c r="AD190" s="92"/>
      <c r="AE190" s="7"/>
      <c r="AF190" s="144"/>
      <c r="AG190" s="144"/>
      <c r="AH190" s="144"/>
      <c r="AI190" s="144"/>
      <c r="AJ190" s="144"/>
      <c r="AK190" s="144"/>
      <c r="AL190" s="7"/>
    </row>
    <row r="191" spans="18:38" s="18" customFormat="1">
      <c r="R191" s="7"/>
      <c r="S191" s="7"/>
      <c r="T191" s="7"/>
      <c r="U191" s="7"/>
      <c r="V191" s="7"/>
      <c r="W191" s="7"/>
      <c r="X191" s="7"/>
      <c r="Y191" s="7"/>
      <c r="Z191" s="7"/>
      <c r="AD191" s="92"/>
      <c r="AE191" s="7"/>
      <c r="AF191" s="144"/>
      <c r="AG191" s="144"/>
      <c r="AH191" s="144"/>
      <c r="AI191" s="144"/>
      <c r="AJ191" s="144"/>
      <c r="AK191" s="144"/>
      <c r="AL191" s="7"/>
    </row>
    <row r="192" spans="18:38" s="18" customFormat="1">
      <c r="R192" s="7"/>
      <c r="S192" s="7"/>
      <c r="T192" s="7"/>
      <c r="U192" s="7"/>
      <c r="V192" s="7"/>
      <c r="W192" s="7"/>
      <c r="X192" s="7"/>
      <c r="Y192" s="7"/>
      <c r="Z192" s="7"/>
      <c r="AD192" s="92"/>
      <c r="AE192" s="7"/>
      <c r="AF192" s="144"/>
      <c r="AG192" s="144"/>
      <c r="AH192" s="144"/>
      <c r="AI192" s="144"/>
      <c r="AJ192" s="144"/>
      <c r="AK192" s="144"/>
      <c r="AL192" s="7"/>
    </row>
    <row r="193" spans="18:38" s="18" customFormat="1">
      <c r="R193" s="7"/>
      <c r="S193" s="7"/>
      <c r="T193" s="7"/>
      <c r="U193" s="7"/>
      <c r="V193" s="7"/>
      <c r="W193" s="7"/>
      <c r="X193" s="7"/>
      <c r="Y193" s="7"/>
      <c r="Z193" s="7"/>
      <c r="AD193" s="92"/>
      <c r="AE193" s="7"/>
      <c r="AF193" s="144"/>
      <c r="AG193" s="144"/>
      <c r="AH193" s="144"/>
      <c r="AI193" s="144"/>
      <c r="AJ193" s="144"/>
      <c r="AK193" s="144"/>
      <c r="AL193" s="7"/>
    </row>
    <row r="194" spans="18:38" s="18" customFormat="1">
      <c r="R194" s="7"/>
      <c r="S194" s="7"/>
      <c r="T194" s="7"/>
      <c r="U194" s="7"/>
      <c r="V194" s="7"/>
      <c r="W194" s="7"/>
      <c r="X194" s="7"/>
      <c r="Y194" s="7"/>
      <c r="Z194" s="7"/>
      <c r="AD194" s="92"/>
      <c r="AE194" s="7"/>
      <c r="AF194" s="144"/>
      <c r="AG194" s="144"/>
      <c r="AH194" s="144"/>
      <c r="AI194" s="144"/>
      <c r="AJ194" s="144"/>
      <c r="AK194" s="144"/>
      <c r="AL194" s="7"/>
    </row>
    <row r="195" spans="18:38" s="18" customFormat="1">
      <c r="R195" s="7"/>
      <c r="S195" s="7"/>
      <c r="T195" s="7"/>
      <c r="U195" s="7"/>
      <c r="V195" s="7"/>
      <c r="W195" s="7"/>
      <c r="X195" s="7"/>
      <c r="Y195" s="7"/>
      <c r="Z195" s="7"/>
      <c r="AD195" s="92"/>
      <c r="AE195" s="7"/>
      <c r="AF195" s="144"/>
      <c r="AG195" s="144"/>
      <c r="AH195" s="144"/>
      <c r="AI195" s="144"/>
      <c r="AJ195" s="144"/>
      <c r="AK195" s="144"/>
      <c r="AL195" s="7"/>
    </row>
    <row r="196" spans="18:38" s="18" customFormat="1">
      <c r="R196" s="7"/>
      <c r="S196" s="7"/>
      <c r="T196" s="7"/>
      <c r="U196" s="7"/>
      <c r="V196" s="7"/>
      <c r="W196" s="7"/>
      <c r="X196" s="7"/>
      <c r="Y196" s="7"/>
      <c r="Z196" s="7"/>
      <c r="AD196" s="92"/>
      <c r="AE196" s="7"/>
      <c r="AF196" s="144"/>
      <c r="AG196" s="144"/>
      <c r="AH196" s="144"/>
      <c r="AI196" s="144"/>
      <c r="AJ196" s="144"/>
      <c r="AK196" s="144"/>
      <c r="AL196" s="7"/>
    </row>
    <row r="197" spans="18:38" s="18" customFormat="1">
      <c r="R197" s="7"/>
      <c r="S197" s="7"/>
      <c r="T197" s="7"/>
      <c r="U197" s="7"/>
      <c r="V197" s="7"/>
      <c r="W197" s="7"/>
      <c r="X197" s="7"/>
      <c r="Y197" s="7"/>
      <c r="Z197" s="7"/>
      <c r="AD197" s="92"/>
      <c r="AE197" s="7"/>
      <c r="AF197" s="144"/>
      <c r="AG197" s="144"/>
      <c r="AH197" s="144"/>
      <c r="AI197" s="144"/>
      <c r="AJ197" s="144"/>
      <c r="AK197" s="144"/>
      <c r="AL197" s="7"/>
    </row>
    <row r="198" spans="18:38" s="18" customFormat="1">
      <c r="R198" s="7"/>
      <c r="S198" s="7"/>
      <c r="T198" s="7"/>
      <c r="U198" s="7"/>
      <c r="V198" s="7"/>
      <c r="W198" s="7"/>
      <c r="X198" s="7"/>
      <c r="Y198" s="7"/>
      <c r="Z198" s="7"/>
      <c r="AD198" s="92"/>
      <c r="AE198" s="7"/>
      <c r="AF198" s="144"/>
      <c r="AG198" s="144"/>
      <c r="AH198" s="144"/>
      <c r="AI198" s="144"/>
      <c r="AJ198" s="144"/>
      <c r="AK198" s="144"/>
      <c r="AL198" s="7"/>
    </row>
    <row r="199" spans="18:38" s="18" customFormat="1">
      <c r="R199" s="7"/>
      <c r="S199" s="7"/>
      <c r="T199" s="7"/>
      <c r="U199" s="7"/>
      <c r="V199" s="7"/>
      <c r="W199" s="7"/>
      <c r="X199" s="7"/>
      <c r="Y199" s="7"/>
      <c r="Z199" s="7"/>
      <c r="AD199" s="92"/>
      <c r="AE199" s="7"/>
      <c r="AF199" s="144"/>
      <c r="AG199" s="144"/>
      <c r="AH199" s="144"/>
      <c r="AI199" s="144"/>
      <c r="AJ199" s="144"/>
      <c r="AK199" s="144"/>
      <c r="AL199" s="7"/>
    </row>
    <row r="200" spans="18:38" s="18" customFormat="1">
      <c r="R200" s="7"/>
      <c r="S200" s="7"/>
      <c r="T200" s="7"/>
      <c r="U200" s="7"/>
      <c r="V200" s="7"/>
      <c r="W200" s="7"/>
      <c r="X200" s="7"/>
      <c r="Y200" s="7"/>
      <c r="Z200" s="7"/>
      <c r="AD200" s="92"/>
      <c r="AE200" s="7"/>
      <c r="AF200" s="144"/>
      <c r="AG200" s="144"/>
      <c r="AH200" s="144"/>
      <c r="AI200" s="144"/>
      <c r="AJ200" s="144"/>
      <c r="AK200" s="144"/>
      <c r="AL200" s="7"/>
    </row>
    <row r="201" spans="18:38" s="18" customFormat="1">
      <c r="R201" s="7"/>
      <c r="S201" s="7"/>
      <c r="T201" s="7"/>
      <c r="U201" s="7"/>
      <c r="V201" s="7"/>
      <c r="W201" s="7"/>
      <c r="X201" s="7"/>
      <c r="Y201" s="7"/>
      <c r="Z201" s="7"/>
      <c r="AD201" s="92"/>
      <c r="AE201" s="7"/>
      <c r="AF201" s="144"/>
      <c r="AG201" s="144"/>
      <c r="AH201" s="144"/>
      <c r="AI201" s="144"/>
      <c r="AJ201" s="144"/>
      <c r="AK201" s="144"/>
      <c r="AL201" s="7"/>
    </row>
    <row r="202" spans="18:38" s="18" customFormat="1">
      <c r="R202" s="7"/>
      <c r="S202" s="7"/>
      <c r="T202" s="7"/>
      <c r="U202" s="7"/>
      <c r="V202" s="7"/>
      <c r="W202" s="7"/>
      <c r="X202" s="7"/>
      <c r="Y202" s="7"/>
      <c r="Z202" s="7"/>
      <c r="AD202" s="92"/>
      <c r="AE202" s="7"/>
      <c r="AF202" s="144"/>
      <c r="AG202" s="144"/>
      <c r="AH202" s="144"/>
      <c r="AI202" s="144"/>
      <c r="AJ202" s="144"/>
      <c r="AK202" s="144"/>
      <c r="AL202" s="7"/>
    </row>
    <row r="203" spans="18:38" s="18" customFormat="1">
      <c r="R203" s="7"/>
      <c r="S203" s="7"/>
      <c r="T203" s="7"/>
      <c r="U203" s="7"/>
      <c r="V203" s="7"/>
      <c r="W203" s="7"/>
      <c r="X203" s="7"/>
      <c r="Y203" s="7"/>
      <c r="Z203" s="7"/>
      <c r="AD203" s="92"/>
      <c r="AE203" s="7"/>
      <c r="AF203" s="144"/>
      <c r="AG203" s="144"/>
      <c r="AH203" s="144"/>
      <c r="AI203" s="144"/>
      <c r="AJ203" s="144"/>
      <c r="AK203" s="144"/>
      <c r="AL203" s="7"/>
    </row>
    <row r="204" spans="18:38" s="18" customFormat="1">
      <c r="R204" s="7"/>
      <c r="S204" s="7"/>
      <c r="T204" s="7"/>
      <c r="U204" s="7"/>
      <c r="V204" s="7"/>
      <c r="W204" s="7"/>
      <c r="X204" s="7"/>
      <c r="Y204" s="7"/>
      <c r="Z204" s="7"/>
      <c r="AD204" s="92"/>
      <c r="AE204" s="7"/>
      <c r="AF204" s="144"/>
      <c r="AG204" s="144"/>
      <c r="AH204" s="144"/>
      <c r="AI204" s="144"/>
      <c r="AJ204" s="144"/>
      <c r="AK204" s="144"/>
      <c r="AL204" s="7"/>
    </row>
    <row r="205" spans="18:38" s="18" customFormat="1">
      <c r="R205" s="7"/>
      <c r="S205" s="7"/>
      <c r="T205" s="7"/>
      <c r="U205" s="7"/>
      <c r="V205" s="7"/>
      <c r="W205" s="7"/>
      <c r="X205" s="7"/>
      <c r="Y205" s="7"/>
      <c r="Z205" s="7"/>
      <c r="AD205" s="92"/>
      <c r="AE205" s="7"/>
      <c r="AF205" s="144"/>
      <c r="AG205" s="144"/>
      <c r="AH205" s="144"/>
      <c r="AI205" s="144"/>
      <c r="AJ205" s="144"/>
      <c r="AK205" s="144"/>
      <c r="AL205" s="7"/>
    </row>
    <row r="206" spans="18:38" s="18" customFormat="1">
      <c r="R206" s="7"/>
      <c r="S206" s="7"/>
      <c r="T206" s="7"/>
      <c r="U206" s="7"/>
      <c r="V206" s="7"/>
      <c r="W206" s="7"/>
      <c r="X206" s="7"/>
      <c r="Y206" s="7"/>
      <c r="Z206" s="7"/>
      <c r="AD206" s="92"/>
      <c r="AE206" s="7"/>
      <c r="AF206" s="144"/>
      <c r="AG206" s="144"/>
      <c r="AH206" s="144"/>
      <c r="AI206" s="144"/>
      <c r="AJ206" s="144"/>
      <c r="AK206" s="144"/>
      <c r="AL206" s="7"/>
    </row>
    <row r="207" spans="18:38" s="18" customFormat="1">
      <c r="R207" s="7"/>
      <c r="S207" s="7"/>
      <c r="T207" s="7"/>
      <c r="U207" s="7"/>
      <c r="V207" s="7"/>
      <c r="W207" s="7"/>
      <c r="X207" s="7"/>
      <c r="Y207" s="7"/>
      <c r="Z207" s="7"/>
      <c r="AD207" s="92"/>
      <c r="AE207" s="7"/>
      <c r="AF207" s="144"/>
      <c r="AG207" s="144"/>
      <c r="AH207" s="144"/>
      <c r="AI207" s="144"/>
      <c r="AJ207" s="144"/>
      <c r="AK207" s="144"/>
      <c r="AL207" s="7"/>
    </row>
    <row r="208" spans="18:38" s="18" customFormat="1">
      <c r="R208" s="7"/>
      <c r="S208" s="7"/>
      <c r="T208" s="7"/>
      <c r="U208" s="7"/>
      <c r="V208" s="7"/>
      <c r="W208" s="7"/>
      <c r="X208" s="7"/>
      <c r="Y208" s="7"/>
      <c r="Z208" s="7"/>
      <c r="AD208" s="92"/>
      <c r="AE208" s="7"/>
      <c r="AF208" s="144"/>
      <c r="AG208" s="144"/>
      <c r="AH208" s="144"/>
      <c r="AI208" s="144"/>
      <c r="AJ208" s="144"/>
      <c r="AK208" s="144"/>
      <c r="AL208" s="7"/>
    </row>
    <row r="209" spans="18:38" s="18" customFormat="1">
      <c r="R209" s="7"/>
      <c r="S209" s="7"/>
      <c r="T209" s="7"/>
      <c r="U209" s="7"/>
      <c r="V209" s="7"/>
      <c r="W209" s="7"/>
      <c r="X209" s="7"/>
      <c r="Y209" s="7"/>
      <c r="Z209" s="7"/>
      <c r="AD209" s="92"/>
      <c r="AE209" s="7"/>
      <c r="AF209" s="144"/>
      <c r="AG209" s="144"/>
      <c r="AH209" s="144"/>
      <c r="AI209" s="144"/>
      <c r="AJ209" s="144"/>
      <c r="AK209" s="144"/>
      <c r="AL209" s="7"/>
    </row>
    <row r="210" spans="18:38" s="18" customFormat="1">
      <c r="R210" s="7"/>
      <c r="S210" s="7"/>
      <c r="T210" s="7"/>
      <c r="U210" s="7"/>
      <c r="V210" s="7"/>
      <c r="W210" s="7"/>
      <c r="X210" s="7"/>
      <c r="Y210" s="7"/>
      <c r="Z210" s="7"/>
      <c r="AD210" s="92"/>
      <c r="AE210" s="7"/>
      <c r="AF210" s="144"/>
      <c r="AG210" s="144"/>
      <c r="AH210" s="144"/>
      <c r="AI210" s="144"/>
      <c r="AJ210" s="144"/>
      <c r="AK210" s="144"/>
      <c r="AL210" s="7"/>
    </row>
    <row r="211" spans="18:38" s="18" customFormat="1">
      <c r="R211" s="7"/>
      <c r="S211" s="7"/>
      <c r="T211" s="7"/>
      <c r="U211" s="7"/>
      <c r="V211" s="7"/>
      <c r="W211" s="7"/>
      <c r="X211" s="7"/>
      <c r="Y211" s="7"/>
      <c r="Z211" s="7"/>
      <c r="AD211" s="92"/>
      <c r="AE211" s="7"/>
      <c r="AF211" s="144"/>
      <c r="AG211" s="144"/>
      <c r="AH211" s="144"/>
      <c r="AI211" s="144"/>
      <c r="AJ211" s="144"/>
      <c r="AK211" s="144"/>
      <c r="AL211" s="7"/>
    </row>
    <row r="212" spans="18:38" s="18" customFormat="1">
      <c r="R212" s="7"/>
      <c r="S212" s="7"/>
      <c r="T212" s="7"/>
      <c r="U212" s="7"/>
      <c r="V212" s="7"/>
      <c r="W212" s="7"/>
      <c r="X212" s="7"/>
      <c r="Y212" s="7"/>
      <c r="Z212" s="7"/>
      <c r="AD212" s="92"/>
      <c r="AE212" s="7"/>
      <c r="AF212" s="144"/>
      <c r="AG212" s="144"/>
      <c r="AH212" s="144"/>
      <c r="AI212" s="144"/>
      <c r="AJ212" s="144"/>
      <c r="AK212" s="144"/>
      <c r="AL212" s="7"/>
    </row>
    <row r="213" spans="18:38" s="18" customFormat="1">
      <c r="R213" s="7"/>
      <c r="S213" s="7"/>
      <c r="T213" s="7"/>
      <c r="U213" s="7"/>
      <c r="V213" s="7"/>
      <c r="W213" s="7"/>
      <c r="X213" s="7"/>
      <c r="Y213" s="7"/>
      <c r="Z213" s="7"/>
      <c r="AD213" s="92"/>
      <c r="AE213" s="7"/>
      <c r="AF213" s="144"/>
      <c r="AG213" s="144"/>
      <c r="AH213" s="144"/>
      <c r="AI213" s="144"/>
      <c r="AJ213" s="144"/>
      <c r="AK213" s="144"/>
      <c r="AL213" s="7"/>
    </row>
    <row r="214" spans="18:38" s="18" customFormat="1">
      <c r="R214" s="7"/>
      <c r="S214" s="7"/>
      <c r="T214" s="7"/>
      <c r="U214" s="7"/>
      <c r="V214" s="7"/>
      <c r="W214" s="7"/>
      <c r="X214" s="7"/>
      <c r="Y214" s="7"/>
      <c r="Z214" s="7"/>
      <c r="AD214" s="92"/>
      <c r="AE214" s="7"/>
      <c r="AF214" s="144"/>
      <c r="AG214" s="144"/>
      <c r="AH214" s="144"/>
      <c r="AI214" s="144"/>
      <c r="AJ214" s="144"/>
      <c r="AK214" s="144"/>
      <c r="AL214" s="7"/>
    </row>
    <row r="215" spans="18:38" s="18" customFormat="1">
      <c r="R215" s="7"/>
      <c r="S215" s="7"/>
      <c r="T215" s="7"/>
      <c r="U215" s="7"/>
      <c r="V215" s="7"/>
      <c r="W215" s="7"/>
      <c r="X215" s="7"/>
      <c r="Y215" s="7"/>
      <c r="Z215" s="7"/>
      <c r="AD215" s="92"/>
      <c r="AE215" s="7"/>
      <c r="AF215" s="144"/>
      <c r="AG215" s="144"/>
      <c r="AH215" s="144"/>
      <c r="AI215" s="144"/>
      <c r="AJ215" s="144"/>
      <c r="AK215" s="144"/>
      <c r="AL215" s="7"/>
    </row>
    <row r="216" spans="18:38" s="18" customFormat="1">
      <c r="R216" s="7"/>
      <c r="S216" s="7"/>
      <c r="T216" s="7"/>
      <c r="U216" s="7"/>
      <c r="V216" s="7"/>
      <c r="W216" s="7"/>
      <c r="X216" s="7"/>
      <c r="Y216" s="7"/>
      <c r="Z216" s="7"/>
      <c r="AD216" s="92"/>
      <c r="AE216" s="7"/>
      <c r="AF216" s="144"/>
      <c r="AG216" s="144"/>
      <c r="AH216" s="144"/>
      <c r="AI216" s="144"/>
      <c r="AJ216" s="144"/>
      <c r="AK216" s="144"/>
      <c r="AL216" s="7"/>
    </row>
    <row r="217" spans="18:38" s="18" customFormat="1">
      <c r="R217" s="7"/>
      <c r="S217" s="7"/>
      <c r="T217" s="7"/>
      <c r="U217" s="7"/>
      <c r="V217" s="7"/>
      <c r="W217" s="7"/>
      <c r="X217" s="7"/>
      <c r="Y217" s="7"/>
      <c r="Z217" s="7"/>
      <c r="AD217" s="92"/>
      <c r="AE217" s="7"/>
      <c r="AF217" s="144"/>
      <c r="AG217" s="144"/>
      <c r="AH217" s="144"/>
      <c r="AI217" s="144"/>
      <c r="AJ217" s="144"/>
      <c r="AK217" s="144"/>
      <c r="AL217" s="7"/>
    </row>
    <row r="218" spans="18:38" s="18" customFormat="1">
      <c r="R218" s="7"/>
      <c r="S218" s="7"/>
      <c r="T218" s="7"/>
      <c r="U218" s="7"/>
      <c r="V218" s="7"/>
      <c r="W218" s="7"/>
      <c r="X218" s="7"/>
      <c r="Y218" s="7"/>
      <c r="Z218" s="7"/>
      <c r="AD218" s="92"/>
      <c r="AE218" s="7"/>
      <c r="AF218" s="144"/>
      <c r="AG218" s="144"/>
      <c r="AH218" s="144"/>
      <c r="AI218" s="144"/>
      <c r="AJ218" s="144"/>
      <c r="AK218" s="144"/>
      <c r="AL218" s="7"/>
    </row>
    <row r="219" spans="18:38" s="18" customFormat="1">
      <c r="R219" s="7"/>
      <c r="S219" s="7"/>
      <c r="T219" s="7"/>
      <c r="U219" s="7"/>
      <c r="V219" s="7"/>
      <c r="W219" s="7"/>
      <c r="X219" s="7"/>
      <c r="Y219" s="7"/>
      <c r="Z219" s="7"/>
      <c r="AD219" s="92"/>
      <c r="AE219" s="7"/>
      <c r="AF219" s="144"/>
      <c r="AG219" s="144"/>
      <c r="AH219" s="144"/>
      <c r="AI219" s="144"/>
      <c r="AJ219" s="144"/>
      <c r="AK219" s="144"/>
      <c r="AL219" s="7"/>
    </row>
    <row r="220" spans="18:38" s="18" customFormat="1">
      <c r="R220" s="7"/>
      <c r="S220" s="7"/>
      <c r="T220" s="7"/>
      <c r="U220" s="7"/>
      <c r="V220" s="7"/>
      <c r="W220" s="7"/>
      <c r="X220" s="7"/>
      <c r="Y220" s="7"/>
      <c r="Z220" s="7"/>
      <c r="AD220" s="92"/>
      <c r="AE220" s="7"/>
      <c r="AF220" s="144"/>
      <c r="AG220" s="144"/>
      <c r="AH220" s="144"/>
      <c r="AI220" s="144"/>
      <c r="AJ220" s="144"/>
      <c r="AK220" s="144"/>
      <c r="AL220" s="7"/>
    </row>
    <row r="221" spans="18:38" s="18" customFormat="1">
      <c r="R221" s="7"/>
      <c r="S221" s="7"/>
      <c r="T221" s="7"/>
      <c r="U221" s="7"/>
      <c r="V221" s="7"/>
      <c r="W221" s="7"/>
      <c r="X221" s="7"/>
      <c r="Y221" s="7"/>
      <c r="Z221" s="7"/>
      <c r="AD221" s="92"/>
      <c r="AE221" s="7"/>
      <c r="AF221" s="144"/>
      <c r="AG221" s="144"/>
      <c r="AH221" s="144"/>
      <c r="AI221" s="144"/>
      <c r="AJ221" s="144"/>
      <c r="AK221" s="144"/>
      <c r="AL221" s="7"/>
    </row>
    <row r="222" spans="18:38" s="18" customFormat="1">
      <c r="R222" s="7"/>
      <c r="S222" s="7"/>
      <c r="T222" s="7"/>
      <c r="U222" s="7"/>
      <c r="V222" s="7"/>
      <c r="W222" s="7"/>
      <c r="X222" s="7"/>
      <c r="Y222" s="7"/>
      <c r="Z222" s="7"/>
      <c r="AD222" s="92"/>
      <c r="AE222" s="7"/>
      <c r="AF222" s="144"/>
      <c r="AG222" s="144"/>
      <c r="AH222" s="144"/>
      <c r="AI222" s="144"/>
      <c r="AJ222" s="144"/>
      <c r="AK222" s="144"/>
      <c r="AL222" s="7"/>
    </row>
    <row r="223" spans="18:38" s="18" customFormat="1">
      <c r="R223" s="7"/>
      <c r="S223" s="7"/>
      <c r="T223" s="7"/>
      <c r="U223" s="7"/>
      <c r="V223" s="7"/>
      <c r="W223" s="7"/>
      <c r="X223" s="7"/>
      <c r="Y223" s="7"/>
      <c r="Z223" s="7"/>
      <c r="AD223" s="92"/>
      <c r="AE223" s="7"/>
      <c r="AF223" s="144"/>
      <c r="AG223" s="144"/>
      <c r="AH223" s="144"/>
      <c r="AI223" s="144"/>
      <c r="AJ223" s="144"/>
      <c r="AK223" s="144"/>
      <c r="AL223" s="7"/>
    </row>
    <row r="224" spans="18:38" s="18" customFormat="1">
      <c r="R224" s="7"/>
      <c r="S224" s="7"/>
      <c r="T224" s="7"/>
      <c r="U224" s="7"/>
      <c r="V224" s="7"/>
      <c r="W224" s="7"/>
      <c r="X224" s="7"/>
      <c r="Y224" s="7"/>
      <c r="Z224" s="7"/>
      <c r="AD224" s="92"/>
      <c r="AE224" s="7"/>
      <c r="AF224" s="144"/>
      <c r="AG224" s="144"/>
      <c r="AH224" s="144"/>
      <c r="AI224" s="144"/>
      <c r="AJ224" s="144"/>
      <c r="AK224" s="144"/>
      <c r="AL224" s="7"/>
    </row>
    <row r="225" spans="18:38" s="18" customFormat="1">
      <c r="R225" s="7"/>
      <c r="S225" s="7"/>
      <c r="T225" s="7"/>
      <c r="U225" s="7"/>
      <c r="V225" s="7"/>
      <c r="W225" s="7"/>
      <c r="X225" s="7"/>
      <c r="Y225" s="7"/>
      <c r="Z225" s="7"/>
      <c r="AD225" s="92"/>
      <c r="AE225" s="7"/>
      <c r="AF225" s="144"/>
      <c r="AG225" s="144"/>
      <c r="AH225" s="144"/>
      <c r="AI225" s="144"/>
      <c r="AJ225" s="144"/>
      <c r="AK225" s="144"/>
      <c r="AL225" s="7"/>
    </row>
    <row r="226" spans="18:38" s="18" customFormat="1">
      <c r="R226" s="7"/>
      <c r="S226" s="7"/>
      <c r="T226" s="7"/>
      <c r="U226" s="7"/>
      <c r="V226" s="7"/>
      <c r="W226" s="7"/>
      <c r="X226" s="7"/>
      <c r="Y226" s="7"/>
      <c r="Z226" s="7"/>
      <c r="AD226" s="92"/>
      <c r="AE226" s="7"/>
      <c r="AF226" s="144"/>
      <c r="AG226" s="144"/>
      <c r="AH226" s="144"/>
      <c r="AI226" s="144"/>
      <c r="AJ226" s="144"/>
      <c r="AK226" s="144"/>
      <c r="AL226" s="7"/>
    </row>
    <row r="227" spans="18:38" s="18" customFormat="1">
      <c r="R227" s="7"/>
      <c r="S227" s="7"/>
      <c r="T227" s="7"/>
      <c r="U227" s="7"/>
      <c r="V227" s="7"/>
      <c r="W227" s="7"/>
      <c r="X227" s="7"/>
      <c r="Y227" s="7"/>
      <c r="Z227" s="7"/>
      <c r="AD227" s="92"/>
      <c r="AE227" s="7"/>
      <c r="AF227" s="144"/>
      <c r="AG227" s="144"/>
      <c r="AH227" s="144"/>
      <c r="AI227" s="144"/>
      <c r="AJ227" s="144"/>
      <c r="AK227" s="144"/>
      <c r="AL227" s="7"/>
    </row>
    <row r="228" spans="18:38" s="18" customFormat="1">
      <c r="R228" s="7"/>
      <c r="S228" s="7"/>
      <c r="T228" s="7"/>
      <c r="U228" s="7"/>
      <c r="V228" s="7"/>
      <c r="W228" s="7"/>
      <c r="X228" s="7"/>
      <c r="Y228" s="7"/>
      <c r="Z228" s="7"/>
      <c r="AD228" s="92"/>
      <c r="AE228" s="7"/>
      <c r="AF228" s="144"/>
      <c r="AG228" s="144"/>
      <c r="AH228" s="144"/>
      <c r="AI228" s="144"/>
      <c r="AJ228" s="144"/>
      <c r="AK228" s="144"/>
      <c r="AL228" s="7"/>
    </row>
    <row r="229" spans="18:38" s="18" customFormat="1">
      <c r="R229" s="7"/>
      <c r="S229" s="7"/>
      <c r="T229" s="7"/>
      <c r="U229" s="7"/>
      <c r="V229" s="7"/>
      <c r="W229" s="7"/>
      <c r="X229" s="7"/>
      <c r="Y229" s="7"/>
      <c r="Z229" s="7"/>
      <c r="AD229" s="92"/>
      <c r="AE229" s="7"/>
      <c r="AF229" s="144"/>
      <c r="AG229" s="144"/>
      <c r="AH229" s="144"/>
      <c r="AI229" s="144"/>
      <c r="AJ229" s="144"/>
      <c r="AK229" s="144"/>
      <c r="AL229" s="7"/>
    </row>
    <row r="230" spans="18:38" s="18" customFormat="1">
      <c r="R230" s="7"/>
      <c r="S230" s="7"/>
      <c r="T230" s="7"/>
      <c r="U230" s="7"/>
      <c r="V230" s="7"/>
      <c r="W230" s="7"/>
      <c r="X230" s="7"/>
      <c r="Y230" s="7"/>
      <c r="Z230" s="7"/>
      <c r="AD230" s="92"/>
      <c r="AE230" s="7"/>
      <c r="AF230" s="144"/>
      <c r="AG230" s="144"/>
      <c r="AH230" s="144"/>
      <c r="AI230" s="144"/>
      <c r="AJ230" s="144"/>
      <c r="AK230" s="144"/>
      <c r="AL230" s="7"/>
    </row>
    <row r="231" spans="18:38" s="18" customFormat="1">
      <c r="R231" s="7"/>
      <c r="S231" s="7"/>
      <c r="T231" s="7"/>
      <c r="U231" s="7"/>
      <c r="V231" s="7"/>
      <c r="W231" s="7"/>
      <c r="X231" s="7"/>
      <c r="Y231" s="7"/>
      <c r="Z231" s="7"/>
      <c r="AD231" s="92"/>
      <c r="AE231" s="7"/>
      <c r="AF231" s="144"/>
      <c r="AG231" s="144"/>
      <c r="AH231" s="144"/>
      <c r="AI231" s="144"/>
      <c r="AJ231" s="144"/>
      <c r="AK231" s="144"/>
      <c r="AL231" s="7"/>
    </row>
    <row r="232" spans="18:38" s="18" customFormat="1">
      <c r="R232" s="7"/>
      <c r="S232" s="7"/>
      <c r="T232" s="7"/>
      <c r="U232" s="7"/>
      <c r="V232" s="7"/>
      <c r="W232" s="7"/>
      <c r="X232" s="7"/>
      <c r="Y232" s="7"/>
      <c r="Z232" s="7"/>
      <c r="AD232" s="92"/>
      <c r="AE232" s="7"/>
      <c r="AF232" s="144"/>
      <c r="AG232" s="144"/>
      <c r="AH232" s="144"/>
      <c r="AI232" s="144"/>
      <c r="AJ232" s="144"/>
      <c r="AK232" s="144"/>
      <c r="AL232" s="7"/>
    </row>
    <row r="233" spans="18:38" s="18" customFormat="1">
      <c r="R233" s="7"/>
      <c r="S233" s="7"/>
      <c r="T233" s="7"/>
      <c r="U233" s="7"/>
      <c r="V233" s="7"/>
      <c r="W233" s="7"/>
      <c r="X233" s="7"/>
      <c r="Y233" s="7"/>
      <c r="Z233" s="7"/>
      <c r="AD233" s="92"/>
      <c r="AE233" s="7"/>
      <c r="AF233" s="144"/>
      <c r="AG233" s="144"/>
      <c r="AH233" s="144"/>
      <c r="AI233" s="144"/>
      <c r="AJ233" s="144"/>
      <c r="AK233" s="144"/>
      <c r="AL233" s="7"/>
    </row>
    <row r="234" spans="18:38" s="18" customFormat="1">
      <c r="R234" s="7"/>
      <c r="S234" s="7"/>
      <c r="T234" s="7"/>
      <c r="U234" s="7"/>
      <c r="V234" s="7"/>
      <c r="W234" s="7"/>
      <c r="X234" s="7"/>
      <c r="Y234" s="7"/>
      <c r="Z234" s="7"/>
      <c r="AD234" s="92"/>
      <c r="AE234" s="7"/>
      <c r="AF234" s="144"/>
      <c r="AG234" s="144"/>
      <c r="AH234" s="144"/>
      <c r="AI234" s="144"/>
      <c r="AJ234" s="144"/>
      <c r="AK234" s="144"/>
      <c r="AL234" s="7"/>
    </row>
    <row r="235" spans="18:38" s="18" customFormat="1">
      <c r="R235" s="7"/>
      <c r="S235" s="7"/>
      <c r="T235" s="7"/>
      <c r="U235" s="7"/>
      <c r="V235" s="7"/>
      <c r="W235" s="7"/>
      <c r="X235" s="7"/>
      <c r="Y235" s="7"/>
      <c r="Z235" s="7"/>
      <c r="AD235" s="92"/>
      <c r="AE235" s="7"/>
      <c r="AF235" s="144"/>
      <c r="AG235" s="144"/>
      <c r="AH235" s="144"/>
      <c r="AI235" s="144"/>
      <c r="AJ235" s="144"/>
      <c r="AK235" s="144"/>
      <c r="AL235" s="7"/>
    </row>
    <row r="236" spans="18:38" s="18" customFormat="1">
      <c r="R236" s="7"/>
      <c r="S236" s="7"/>
      <c r="T236" s="7"/>
      <c r="U236" s="7"/>
      <c r="V236" s="7"/>
      <c r="W236" s="7"/>
      <c r="X236" s="7"/>
      <c r="Y236" s="7"/>
      <c r="Z236" s="7"/>
      <c r="AD236" s="92"/>
      <c r="AE236" s="7"/>
      <c r="AF236" s="144"/>
      <c r="AG236" s="144"/>
      <c r="AH236" s="144"/>
      <c r="AI236" s="144"/>
      <c r="AJ236" s="144"/>
      <c r="AK236" s="144"/>
      <c r="AL236" s="7"/>
    </row>
    <row r="237" spans="18:38" s="18" customFormat="1">
      <c r="R237" s="7"/>
      <c r="S237" s="7"/>
      <c r="T237" s="7"/>
      <c r="U237" s="7"/>
      <c r="V237" s="7"/>
      <c r="W237" s="7"/>
      <c r="X237" s="7"/>
      <c r="Y237" s="7"/>
      <c r="Z237" s="7"/>
      <c r="AD237" s="92"/>
      <c r="AE237" s="7"/>
      <c r="AF237" s="144"/>
      <c r="AG237" s="144"/>
      <c r="AH237" s="144"/>
      <c r="AI237" s="144"/>
      <c r="AJ237" s="144"/>
      <c r="AK237" s="144"/>
      <c r="AL237" s="7"/>
    </row>
    <row r="238" spans="18:38" s="18" customFormat="1">
      <c r="R238" s="7"/>
      <c r="S238" s="7"/>
      <c r="T238" s="7"/>
      <c r="U238" s="7"/>
      <c r="V238" s="7"/>
      <c r="W238" s="7"/>
      <c r="X238" s="7"/>
      <c r="Y238" s="7"/>
      <c r="Z238" s="7"/>
      <c r="AD238" s="92"/>
      <c r="AE238" s="7"/>
      <c r="AF238" s="144"/>
      <c r="AG238" s="144"/>
      <c r="AH238" s="144"/>
      <c r="AI238" s="144"/>
      <c r="AJ238" s="144"/>
      <c r="AK238" s="144"/>
      <c r="AL238" s="7"/>
    </row>
    <row r="239" spans="18:38" s="18" customFormat="1">
      <c r="R239" s="7"/>
      <c r="S239" s="7"/>
      <c r="T239" s="7"/>
      <c r="U239" s="7"/>
      <c r="V239" s="7"/>
      <c r="W239" s="7"/>
      <c r="X239" s="7"/>
      <c r="Y239" s="7"/>
      <c r="Z239" s="7"/>
      <c r="AD239" s="92"/>
      <c r="AE239" s="7"/>
      <c r="AF239" s="144"/>
      <c r="AG239" s="144"/>
      <c r="AH239" s="144"/>
      <c r="AI239" s="144"/>
      <c r="AJ239" s="144"/>
      <c r="AK239" s="144"/>
      <c r="AL239" s="7"/>
    </row>
    <row r="240" spans="18:38" s="18" customFormat="1">
      <c r="R240" s="7"/>
      <c r="S240" s="7"/>
      <c r="T240" s="7"/>
      <c r="U240" s="7"/>
      <c r="V240" s="7"/>
      <c r="W240" s="7"/>
      <c r="X240" s="7"/>
      <c r="Y240" s="7"/>
      <c r="Z240" s="7"/>
      <c r="AD240" s="92"/>
      <c r="AE240" s="7"/>
      <c r="AF240" s="144"/>
      <c r="AG240" s="144"/>
      <c r="AH240" s="144"/>
      <c r="AI240" s="144"/>
      <c r="AJ240" s="144"/>
      <c r="AK240" s="144"/>
      <c r="AL240" s="7"/>
    </row>
    <row r="241" spans="18:38" s="18" customFormat="1">
      <c r="R241" s="7"/>
      <c r="S241" s="7"/>
      <c r="T241" s="7"/>
      <c r="U241" s="7"/>
      <c r="V241" s="7"/>
      <c r="W241" s="7"/>
      <c r="X241" s="7"/>
      <c r="Y241" s="7"/>
      <c r="Z241" s="7"/>
      <c r="AD241" s="92"/>
      <c r="AE241" s="7"/>
      <c r="AF241" s="144"/>
      <c r="AG241" s="144"/>
      <c r="AH241" s="144"/>
      <c r="AI241" s="144"/>
      <c r="AJ241" s="144"/>
      <c r="AK241" s="144"/>
      <c r="AL241" s="7"/>
    </row>
    <row r="242" spans="18:38" s="18" customFormat="1">
      <c r="R242" s="7"/>
      <c r="S242" s="7"/>
      <c r="T242" s="7"/>
      <c r="U242" s="7"/>
      <c r="V242" s="7"/>
      <c r="W242" s="7"/>
      <c r="X242" s="7"/>
      <c r="Y242" s="7"/>
      <c r="Z242" s="7"/>
      <c r="AD242" s="92"/>
      <c r="AE242" s="7"/>
      <c r="AF242" s="144"/>
      <c r="AG242" s="144"/>
      <c r="AH242" s="144"/>
      <c r="AI242" s="144"/>
      <c r="AJ242" s="144"/>
      <c r="AK242" s="144"/>
      <c r="AL242" s="7"/>
    </row>
    <row r="243" spans="18:38" s="18" customFormat="1">
      <c r="R243" s="7"/>
      <c r="S243" s="7"/>
      <c r="T243" s="7"/>
      <c r="U243" s="7"/>
      <c r="V243" s="7"/>
      <c r="W243" s="7"/>
      <c r="X243" s="7"/>
      <c r="Y243" s="7"/>
      <c r="Z243" s="7"/>
      <c r="AD243" s="92"/>
      <c r="AE243" s="7"/>
      <c r="AF243" s="144"/>
      <c r="AG243" s="144"/>
      <c r="AH243" s="144"/>
      <c r="AI243" s="144"/>
      <c r="AJ243" s="144"/>
      <c r="AK243" s="144"/>
      <c r="AL243" s="7"/>
    </row>
    <row r="244" spans="18:38" s="18" customFormat="1">
      <c r="R244" s="7"/>
      <c r="S244" s="7"/>
      <c r="T244" s="7"/>
      <c r="U244" s="7"/>
      <c r="V244" s="7"/>
      <c r="W244" s="7"/>
      <c r="X244" s="7"/>
      <c r="Y244" s="7"/>
      <c r="Z244" s="7"/>
      <c r="AD244" s="92"/>
      <c r="AE244" s="7"/>
      <c r="AF244" s="144"/>
      <c r="AG244" s="144"/>
      <c r="AH244" s="144"/>
      <c r="AI244" s="144"/>
      <c r="AJ244" s="144"/>
      <c r="AK244" s="144"/>
      <c r="AL244" s="7"/>
    </row>
    <row r="245" spans="18:38" s="18" customFormat="1">
      <c r="R245" s="7"/>
      <c r="S245" s="7"/>
      <c r="T245" s="7"/>
      <c r="U245" s="7"/>
      <c r="V245" s="7"/>
      <c r="W245" s="7"/>
      <c r="X245" s="7"/>
      <c r="Y245" s="7"/>
      <c r="Z245" s="7"/>
      <c r="AD245" s="92"/>
      <c r="AE245" s="7"/>
      <c r="AF245" s="144"/>
      <c r="AG245" s="144"/>
      <c r="AH245" s="144"/>
      <c r="AI245" s="144"/>
      <c r="AJ245" s="144"/>
      <c r="AK245" s="144"/>
      <c r="AL245" s="7"/>
    </row>
    <row r="246" spans="18:38" s="18" customFormat="1">
      <c r="R246" s="7"/>
      <c r="S246" s="7"/>
      <c r="T246" s="7"/>
      <c r="U246" s="7"/>
      <c r="V246" s="7"/>
      <c r="W246" s="7"/>
      <c r="X246" s="7"/>
      <c r="Y246" s="7"/>
      <c r="Z246" s="7"/>
      <c r="AD246" s="92"/>
      <c r="AE246" s="7"/>
      <c r="AF246" s="144"/>
      <c r="AG246" s="144"/>
      <c r="AH246" s="144"/>
      <c r="AI246" s="144"/>
      <c r="AJ246" s="144"/>
      <c r="AK246" s="144"/>
      <c r="AL246" s="7"/>
    </row>
    <row r="247" spans="18:38" s="18" customFormat="1">
      <c r="R247" s="7"/>
      <c r="S247" s="7"/>
      <c r="T247" s="7"/>
      <c r="U247" s="7"/>
      <c r="V247" s="7"/>
      <c r="W247" s="7"/>
      <c r="X247" s="7"/>
      <c r="Y247" s="7"/>
      <c r="Z247" s="7"/>
      <c r="AD247" s="92"/>
      <c r="AE247" s="7"/>
      <c r="AF247" s="144"/>
      <c r="AG247" s="144"/>
      <c r="AH247" s="144"/>
      <c r="AI247" s="144"/>
      <c r="AJ247" s="144"/>
      <c r="AK247" s="144"/>
      <c r="AL247" s="7"/>
    </row>
    <row r="248" spans="18:38" s="18" customFormat="1">
      <c r="R248" s="7"/>
      <c r="S248" s="7"/>
      <c r="T248" s="7"/>
      <c r="U248" s="7"/>
      <c r="V248" s="7"/>
      <c r="W248" s="7"/>
      <c r="X248" s="7"/>
      <c r="Y248" s="7"/>
      <c r="Z248" s="7"/>
      <c r="AD248" s="92"/>
      <c r="AE248" s="7"/>
      <c r="AF248" s="144"/>
      <c r="AG248" s="144"/>
      <c r="AH248" s="144"/>
      <c r="AI248" s="144"/>
      <c r="AJ248" s="144"/>
      <c r="AK248" s="144"/>
      <c r="AL248" s="7"/>
    </row>
    <row r="249" spans="18:38" s="18" customFormat="1">
      <c r="R249" s="7"/>
      <c r="S249" s="7"/>
      <c r="T249" s="7"/>
      <c r="U249" s="7"/>
      <c r="V249" s="7"/>
      <c r="W249" s="7"/>
      <c r="X249" s="7"/>
      <c r="Y249" s="7"/>
      <c r="Z249" s="7"/>
      <c r="AD249" s="92"/>
      <c r="AE249" s="7"/>
      <c r="AF249" s="144"/>
      <c r="AG249" s="144"/>
      <c r="AH249" s="144"/>
      <c r="AI249" s="144"/>
      <c r="AJ249" s="144"/>
      <c r="AK249" s="144"/>
      <c r="AL249" s="7"/>
    </row>
    <row r="250" spans="18:38" s="18" customFormat="1">
      <c r="R250" s="7"/>
      <c r="S250" s="7"/>
      <c r="T250" s="7"/>
      <c r="U250" s="7"/>
      <c r="V250" s="7"/>
      <c r="W250" s="7"/>
      <c r="X250" s="7"/>
      <c r="Y250" s="7"/>
      <c r="Z250" s="7"/>
      <c r="AD250" s="92"/>
      <c r="AE250" s="7"/>
      <c r="AF250" s="144"/>
      <c r="AG250" s="144"/>
      <c r="AH250" s="144"/>
      <c r="AI250" s="144"/>
      <c r="AJ250" s="144"/>
      <c r="AK250" s="144"/>
      <c r="AL250" s="7"/>
    </row>
    <row r="251" spans="18:38" s="18" customFormat="1">
      <c r="R251" s="7"/>
      <c r="S251" s="7"/>
      <c r="T251" s="7"/>
      <c r="U251" s="7"/>
      <c r="V251" s="7"/>
      <c r="W251" s="7"/>
      <c r="X251" s="7"/>
      <c r="Y251" s="7"/>
      <c r="Z251" s="7"/>
      <c r="AD251" s="92"/>
      <c r="AE251" s="7"/>
      <c r="AF251" s="144"/>
      <c r="AG251" s="144"/>
      <c r="AH251" s="144"/>
      <c r="AI251" s="144"/>
      <c r="AJ251" s="144"/>
      <c r="AK251" s="144"/>
      <c r="AL251" s="7"/>
    </row>
    <row r="252" spans="18:38" s="18" customFormat="1">
      <c r="R252" s="7"/>
      <c r="S252" s="7"/>
      <c r="T252" s="7"/>
      <c r="U252" s="7"/>
      <c r="V252" s="7"/>
      <c r="W252" s="7"/>
      <c r="X252" s="7"/>
      <c r="Y252" s="7"/>
      <c r="Z252" s="7"/>
      <c r="AD252" s="92"/>
      <c r="AE252" s="7"/>
      <c r="AF252" s="144"/>
      <c r="AG252" s="144"/>
      <c r="AH252" s="144"/>
      <c r="AI252" s="144"/>
      <c r="AJ252" s="144"/>
      <c r="AK252" s="144"/>
      <c r="AL252" s="7"/>
    </row>
    <row r="253" spans="18:38" s="18" customFormat="1">
      <c r="R253" s="7"/>
      <c r="S253" s="7"/>
      <c r="T253" s="7"/>
      <c r="U253" s="7"/>
      <c r="V253" s="7"/>
      <c r="W253" s="7"/>
      <c r="X253" s="7"/>
      <c r="Y253" s="7"/>
      <c r="Z253" s="7"/>
      <c r="AD253" s="92"/>
      <c r="AE253" s="7"/>
      <c r="AF253" s="144"/>
      <c r="AG253" s="144"/>
      <c r="AH253" s="144"/>
      <c r="AI253" s="144"/>
      <c r="AJ253" s="144"/>
      <c r="AK253" s="144"/>
      <c r="AL253" s="7"/>
    </row>
    <row r="254" spans="18:38" s="18" customFormat="1">
      <c r="R254" s="7"/>
      <c r="S254" s="7"/>
      <c r="T254" s="7"/>
      <c r="U254" s="7"/>
      <c r="V254" s="7"/>
      <c r="W254" s="7"/>
      <c r="X254" s="7"/>
      <c r="Y254" s="7"/>
      <c r="Z254" s="7"/>
      <c r="AD254" s="92"/>
      <c r="AE254" s="7"/>
      <c r="AF254" s="144"/>
      <c r="AG254" s="144"/>
      <c r="AH254" s="144"/>
      <c r="AI254" s="144"/>
      <c r="AJ254" s="144"/>
      <c r="AK254" s="144"/>
      <c r="AL254" s="7"/>
    </row>
    <row r="255" spans="18:38" s="18" customFormat="1">
      <c r="R255" s="7"/>
      <c r="S255" s="7"/>
      <c r="T255" s="7"/>
      <c r="U255" s="7"/>
      <c r="V255" s="7"/>
      <c r="W255" s="7"/>
      <c r="X255" s="7"/>
      <c r="Y255" s="7"/>
      <c r="Z255" s="7"/>
      <c r="AD255" s="92"/>
      <c r="AE255" s="7"/>
      <c r="AF255" s="144"/>
      <c r="AG255" s="144"/>
      <c r="AH255" s="144"/>
      <c r="AI255" s="144"/>
      <c r="AJ255" s="144"/>
      <c r="AK255" s="144"/>
      <c r="AL255" s="7"/>
    </row>
    <row r="256" spans="18:38" s="18" customFormat="1">
      <c r="R256" s="7"/>
      <c r="S256" s="7"/>
      <c r="T256" s="7"/>
      <c r="U256" s="7"/>
      <c r="V256" s="7"/>
      <c r="W256" s="7"/>
      <c r="X256" s="7"/>
      <c r="Y256" s="7"/>
      <c r="Z256" s="7"/>
      <c r="AD256" s="92"/>
      <c r="AE256" s="7"/>
      <c r="AF256" s="144"/>
      <c r="AG256" s="144"/>
      <c r="AH256" s="144"/>
      <c r="AI256" s="144"/>
      <c r="AJ256" s="144"/>
      <c r="AK256" s="144"/>
      <c r="AL256" s="7"/>
    </row>
    <row r="257" spans="18:38" s="18" customFormat="1">
      <c r="R257" s="7"/>
      <c r="S257" s="7"/>
      <c r="T257" s="7"/>
      <c r="U257" s="7"/>
      <c r="V257" s="7"/>
      <c r="W257" s="7"/>
      <c r="X257" s="7"/>
      <c r="Y257" s="7"/>
      <c r="Z257" s="7"/>
      <c r="AD257" s="92"/>
      <c r="AE257" s="7"/>
      <c r="AF257" s="144"/>
      <c r="AG257" s="144"/>
      <c r="AH257" s="144"/>
      <c r="AI257" s="144"/>
      <c r="AJ257" s="144"/>
      <c r="AK257" s="144"/>
      <c r="AL257" s="7"/>
    </row>
    <row r="258" spans="18:38" s="18" customFormat="1">
      <c r="R258" s="7"/>
      <c r="S258" s="7"/>
      <c r="T258" s="7"/>
      <c r="U258" s="7"/>
      <c r="V258" s="7"/>
      <c r="W258" s="7"/>
      <c r="X258" s="7"/>
      <c r="Y258" s="7"/>
      <c r="Z258" s="7"/>
      <c r="AD258" s="92"/>
      <c r="AE258" s="7"/>
      <c r="AF258" s="144"/>
      <c r="AG258" s="144"/>
      <c r="AH258" s="144"/>
      <c r="AI258" s="144"/>
      <c r="AJ258" s="144"/>
      <c r="AK258" s="144"/>
      <c r="AL258" s="7"/>
    </row>
    <row r="259" spans="18:38" s="18" customFormat="1">
      <c r="R259" s="7"/>
      <c r="S259" s="7"/>
      <c r="T259" s="7"/>
      <c r="U259" s="7"/>
      <c r="V259" s="7"/>
      <c r="W259" s="7"/>
      <c r="X259" s="7"/>
      <c r="Y259" s="7"/>
      <c r="Z259" s="7"/>
      <c r="AD259" s="92"/>
      <c r="AE259" s="7"/>
      <c r="AF259" s="144"/>
      <c r="AG259" s="144"/>
      <c r="AH259" s="144"/>
      <c r="AI259" s="144"/>
      <c r="AJ259" s="144"/>
      <c r="AK259" s="144"/>
      <c r="AL259" s="7"/>
    </row>
    <row r="260" spans="18:38" s="18" customFormat="1">
      <c r="R260" s="7"/>
      <c r="S260" s="7"/>
      <c r="T260" s="7"/>
      <c r="U260" s="7"/>
      <c r="V260" s="7"/>
      <c r="W260" s="7"/>
      <c r="X260" s="7"/>
      <c r="Y260" s="7"/>
      <c r="Z260" s="7"/>
      <c r="AD260" s="92"/>
      <c r="AE260" s="7"/>
      <c r="AF260" s="144"/>
      <c r="AG260" s="144"/>
      <c r="AH260" s="144"/>
      <c r="AI260" s="144"/>
      <c r="AJ260" s="144"/>
      <c r="AK260" s="144"/>
      <c r="AL260" s="7"/>
    </row>
    <row r="261" spans="18:38" s="18" customFormat="1">
      <c r="R261" s="7"/>
      <c r="S261" s="7"/>
      <c r="T261" s="7"/>
      <c r="U261" s="7"/>
      <c r="V261" s="7"/>
      <c r="W261" s="7"/>
      <c r="X261" s="7"/>
      <c r="Y261" s="7"/>
      <c r="Z261" s="7"/>
      <c r="AD261" s="92"/>
      <c r="AE261" s="7"/>
      <c r="AF261" s="144"/>
      <c r="AG261" s="144"/>
      <c r="AH261" s="144"/>
      <c r="AI261" s="144"/>
      <c r="AJ261" s="144"/>
      <c r="AK261" s="144"/>
      <c r="AL261" s="7"/>
    </row>
    <row r="262" spans="18:38" s="18" customFormat="1">
      <c r="R262" s="7"/>
      <c r="S262" s="7"/>
      <c r="T262" s="7"/>
      <c r="U262" s="7"/>
      <c r="V262" s="7"/>
      <c r="W262" s="7"/>
      <c r="X262" s="7"/>
      <c r="Y262" s="7"/>
      <c r="Z262" s="7"/>
      <c r="AD262" s="92"/>
      <c r="AE262" s="7"/>
      <c r="AF262" s="144"/>
      <c r="AG262" s="144"/>
      <c r="AH262" s="144"/>
      <c r="AI262" s="144"/>
      <c r="AJ262" s="144"/>
      <c r="AK262" s="144"/>
      <c r="AL262" s="7"/>
    </row>
    <row r="263" spans="18:38" s="18" customFormat="1">
      <c r="R263" s="7"/>
      <c r="S263" s="7"/>
      <c r="T263" s="7"/>
      <c r="U263" s="7"/>
      <c r="V263" s="7"/>
      <c r="W263" s="7"/>
      <c r="X263" s="7"/>
      <c r="Y263" s="7"/>
      <c r="Z263" s="7"/>
      <c r="AD263" s="92"/>
      <c r="AE263" s="7"/>
      <c r="AF263" s="144"/>
      <c r="AG263" s="144"/>
      <c r="AH263" s="144"/>
      <c r="AI263" s="144"/>
      <c r="AJ263" s="144"/>
      <c r="AK263" s="144"/>
      <c r="AL263" s="7"/>
    </row>
    <row r="264" spans="18:38" s="18" customFormat="1">
      <c r="R264" s="7"/>
      <c r="S264" s="7"/>
      <c r="T264" s="7"/>
      <c r="U264" s="7"/>
      <c r="V264" s="7"/>
      <c r="W264" s="7"/>
      <c r="X264" s="7"/>
      <c r="Y264" s="7"/>
      <c r="Z264" s="7"/>
      <c r="AD264" s="92"/>
      <c r="AE264" s="7"/>
      <c r="AF264" s="144"/>
      <c r="AG264" s="144"/>
      <c r="AH264" s="144"/>
      <c r="AI264" s="144"/>
      <c r="AJ264" s="144"/>
      <c r="AK264" s="144"/>
      <c r="AL264" s="7"/>
    </row>
    <row r="265" spans="18:38" s="18" customFormat="1">
      <c r="R265" s="7"/>
      <c r="S265" s="7"/>
      <c r="T265" s="7"/>
      <c r="U265" s="7"/>
      <c r="V265" s="7"/>
      <c r="W265" s="7"/>
      <c r="X265" s="7"/>
      <c r="Y265" s="7"/>
      <c r="Z265" s="7"/>
      <c r="AD265" s="92"/>
      <c r="AE265" s="7"/>
      <c r="AF265" s="144"/>
      <c r="AG265" s="144"/>
      <c r="AH265" s="144"/>
      <c r="AI265" s="144"/>
      <c r="AJ265" s="144"/>
      <c r="AK265" s="144"/>
      <c r="AL265" s="7"/>
    </row>
    <row r="266" spans="18:38" s="18" customFormat="1">
      <c r="R266" s="7"/>
      <c r="S266" s="7"/>
      <c r="T266" s="7"/>
      <c r="U266" s="7"/>
      <c r="V266" s="7"/>
      <c r="W266" s="7"/>
      <c r="X266" s="7"/>
      <c r="Y266" s="7"/>
      <c r="Z266" s="7"/>
      <c r="AD266" s="92"/>
      <c r="AE266" s="7"/>
      <c r="AF266" s="144"/>
      <c r="AG266" s="144"/>
      <c r="AH266" s="144"/>
      <c r="AI266" s="144"/>
      <c r="AJ266" s="144"/>
      <c r="AK266" s="144"/>
      <c r="AL266" s="7"/>
    </row>
    <row r="267" spans="18:38" s="18" customFormat="1">
      <c r="R267" s="7"/>
      <c r="S267" s="7"/>
      <c r="T267" s="7"/>
      <c r="U267" s="7"/>
      <c r="V267" s="7"/>
      <c r="W267" s="7"/>
      <c r="X267" s="7"/>
      <c r="Y267" s="7"/>
      <c r="Z267" s="7"/>
      <c r="AD267" s="92"/>
      <c r="AE267" s="7"/>
      <c r="AF267" s="144"/>
      <c r="AG267" s="144"/>
      <c r="AH267" s="144"/>
      <c r="AI267" s="144"/>
      <c r="AJ267" s="144"/>
      <c r="AK267" s="144"/>
      <c r="AL267" s="7"/>
    </row>
    <row r="268" spans="18:38" s="18" customFormat="1">
      <c r="R268" s="7"/>
      <c r="S268" s="7"/>
      <c r="T268" s="7"/>
      <c r="U268" s="7"/>
      <c r="V268" s="7"/>
      <c r="W268" s="7"/>
      <c r="X268" s="7"/>
      <c r="Y268" s="7"/>
      <c r="Z268" s="7"/>
      <c r="AD268" s="92"/>
      <c r="AE268" s="7"/>
      <c r="AF268" s="144"/>
      <c r="AG268" s="144"/>
      <c r="AH268" s="144"/>
      <c r="AI268" s="144"/>
      <c r="AJ268" s="144"/>
      <c r="AK268" s="144"/>
      <c r="AL268" s="7"/>
    </row>
    <row r="269" spans="18:38" s="18" customFormat="1">
      <c r="R269" s="7"/>
      <c r="S269" s="7"/>
      <c r="T269" s="7"/>
      <c r="U269" s="7"/>
      <c r="V269" s="7"/>
      <c r="W269" s="7"/>
      <c r="X269" s="7"/>
      <c r="Y269" s="7"/>
      <c r="Z269" s="7"/>
      <c r="AD269" s="92"/>
      <c r="AE269" s="7"/>
      <c r="AF269" s="144"/>
      <c r="AG269" s="144"/>
      <c r="AH269" s="144"/>
      <c r="AI269" s="144"/>
      <c r="AJ269" s="144"/>
      <c r="AK269" s="144"/>
      <c r="AL269" s="7"/>
    </row>
    <row r="270" spans="18:38" s="18" customFormat="1">
      <c r="R270" s="7"/>
      <c r="S270" s="7"/>
      <c r="T270" s="7"/>
      <c r="U270" s="7"/>
      <c r="V270" s="7"/>
      <c r="W270" s="7"/>
      <c r="X270" s="7"/>
      <c r="Y270" s="7"/>
      <c r="Z270" s="7"/>
      <c r="AD270" s="92"/>
      <c r="AE270" s="7"/>
      <c r="AF270" s="144"/>
      <c r="AG270" s="144"/>
      <c r="AH270" s="144"/>
      <c r="AI270" s="144"/>
      <c r="AJ270" s="144"/>
      <c r="AK270" s="144"/>
      <c r="AL270" s="7"/>
    </row>
    <row r="271" spans="18:38" s="18" customFormat="1">
      <c r="R271" s="7"/>
      <c r="S271" s="7"/>
      <c r="T271" s="7"/>
      <c r="U271" s="7"/>
      <c r="V271" s="7"/>
      <c r="W271" s="7"/>
      <c r="X271" s="7"/>
      <c r="Y271" s="7"/>
      <c r="Z271" s="7"/>
      <c r="AD271" s="92"/>
      <c r="AE271" s="7"/>
      <c r="AF271" s="144"/>
      <c r="AG271" s="144"/>
      <c r="AH271" s="144"/>
      <c r="AI271" s="144"/>
      <c r="AJ271" s="144"/>
      <c r="AK271" s="144"/>
      <c r="AL271" s="7"/>
    </row>
    <row r="272" spans="18:38" s="18" customFormat="1">
      <c r="R272" s="7"/>
      <c r="S272" s="7"/>
      <c r="T272" s="7"/>
      <c r="U272" s="7"/>
      <c r="V272" s="7"/>
      <c r="W272" s="7"/>
      <c r="X272" s="7"/>
      <c r="Y272" s="7"/>
      <c r="Z272" s="7"/>
      <c r="AD272" s="92"/>
      <c r="AE272" s="7"/>
      <c r="AF272" s="144"/>
      <c r="AG272" s="144"/>
      <c r="AH272" s="144"/>
      <c r="AI272" s="144"/>
      <c r="AJ272" s="144"/>
      <c r="AK272" s="144"/>
      <c r="AL272" s="7"/>
    </row>
    <row r="273" spans="18:38" s="18" customFormat="1">
      <c r="R273" s="7"/>
      <c r="S273" s="7"/>
      <c r="T273" s="7"/>
      <c r="U273" s="7"/>
      <c r="V273" s="7"/>
      <c r="W273" s="7"/>
      <c r="X273" s="7"/>
      <c r="Y273" s="7"/>
      <c r="Z273" s="7"/>
      <c r="AD273" s="92"/>
      <c r="AE273" s="7"/>
      <c r="AF273" s="144"/>
      <c r="AG273" s="144"/>
      <c r="AH273" s="144"/>
      <c r="AI273" s="144"/>
      <c r="AJ273" s="144"/>
      <c r="AK273" s="144"/>
      <c r="AL273" s="7"/>
    </row>
    <row r="274" spans="18:38" s="18" customFormat="1">
      <c r="R274" s="7"/>
      <c r="S274" s="7"/>
      <c r="T274" s="7"/>
      <c r="U274" s="7"/>
      <c r="V274" s="7"/>
      <c r="W274" s="7"/>
      <c r="X274" s="7"/>
      <c r="Y274" s="7"/>
      <c r="Z274" s="7"/>
      <c r="AD274" s="92"/>
      <c r="AE274" s="7"/>
      <c r="AF274" s="144"/>
      <c r="AG274" s="144"/>
      <c r="AH274" s="144"/>
      <c r="AI274" s="144"/>
      <c r="AJ274" s="144"/>
      <c r="AK274" s="144"/>
      <c r="AL274" s="7"/>
    </row>
    <row r="275" spans="18:38" s="18" customFormat="1">
      <c r="R275" s="7"/>
      <c r="S275" s="7"/>
      <c r="T275" s="7"/>
      <c r="U275" s="7"/>
      <c r="V275" s="7"/>
      <c r="W275" s="7"/>
      <c r="X275" s="7"/>
      <c r="Y275" s="7"/>
      <c r="Z275" s="7"/>
      <c r="AD275" s="92"/>
      <c r="AE275" s="7"/>
      <c r="AF275" s="144"/>
      <c r="AG275" s="144"/>
      <c r="AH275" s="144"/>
      <c r="AI275" s="144"/>
      <c r="AJ275" s="144"/>
      <c r="AK275" s="144"/>
      <c r="AL275" s="7"/>
    </row>
    <row r="276" spans="18:38" s="18" customFormat="1">
      <c r="R276" s="7"/>
      <c r="S276" s="7"/>
      <c r="T276" s="7"/>
      <c r="U276" s="7"/>
      <c r="V276" s="7"/>
      <c r="W276" s="7"/>
      <c r="X276" s="7"/>
      <c r="Y276" s="7"/>
      <c r="Z276" s="7"/>
      <c r="AD276" s="92"/>
      <c r="AE276" s="7"/>
      <c r="AF276" s="144"/>
      <c r="AG276" s="144"/>
      <c r="AH276" s="144"/>
      <c r="AI276" s="144"/>
      <c r="AJ276" s="144"/>
      <c r="AK276" s="144"/>
      <c r="AL276" s="7"/>
    </row>
    <row r="277" spans="18:38" s="18" customFormat="1">
      <c r="R277" s="7"/>
      <c r="S277" s="7"/>
      <c r="T277" s="7"/>
      <c r="U277" s="7"/>
      <c r="V277" s="7"/>
      <c r="W277" s="7"/>
      <c r="X277" s="7"/>
      <c r="Y277" s="7"/>
      <c r="Z277" s="7"/>
      <c r="AD277" s="92"/>
      <c r="AE277" s="7"/>
      <c r="AF277" s="144"/>
      <c r="AG277" s="144"/>
      <c r="AH277" s="144"/>
      <c r="AI277" s="144"/>
      <c r="AJ277" s="144"/>
      <c r="AK277" s="144"/>
      <c r="AL277" s="7"/>
    </row>
    <row r="278" spans="18:38" s="18" customFormat="1">
      <c r="R278" s="7"/>
      <c r="S278" s="7"/>
      <c r="T278" s="7"/>
      <c r="U278" s="7"/>
      <c r="V278" s="7"/>
      <c r="W278" s="7"/>
      <c r="X278" s="7"/>
      <c r="Y278" s="7"/>
      <c r="Z278" s="7"/>
      <c r="AD278" s="92"/>
      <c r="AE278" s="7"/>
      <c r="AF278" s="144"/>
      <c r="AG278" s="144"/>
      <c r="AH278" s="144"/>
      <c r="AI278" s="144"/>
      <c r="AJ278" s="144"/>
      <c r="AK278" s="144"/>
      <c r="AL278" s="7"/>
    </row>
    <row r="279" spans="18:38" s="18" customFormat="1">
      <c r="R279" s="7"/>
      <c r="S279" s="7"/>
      <c r="T279" s="7"/>
      <c r="U279" s="7"/>
      <c r="V279" s="7"/>
      <c r="W279" s="7"/>
      <c r="X279" s="7"/>
      <c r="Y279" s="7"/>
      <c r="Z279" s="7"/>
      <c r="AD279" s="92"/>
      <c r="AE279" s="7"/>
      <c r="AF279" s="144"/>
      <c r="AG279" s="144"/>
      <c r="AH279" s="144"/>
      <c r="AI279" s="144"/>
      <c r="AJ279" s="144"/>
      <c r="AK279" s="144"/>
      <c r="AL279" s="7"/>
    </row>
    <row r="280" spans="18:38" s="18" customFormat="1">
      <c r="R280" s="7"/>
      <c r="S280" s="7"/>
      <c r="T280" s="7"/>
      <c r="U280" s="7"/>
      <c r="V280" s="7"/>
      <c r="W280" s="7"/>
      <c r="X280" s="7"/>
      <c r="Y280" s="7"/>
      <c r="Z280" s="7"/>
      <c r="AD280" s="92"/>
      <c r="AE280" s="7"/>
      <c r="AF280" s="144"/>
      <c r="AG280" s="144"/>
      <c r="AH280" s="144"/>
      <c r="AI280" s="144"/>
      <c r="AJ280" s="144"/>
      <c r="AK280" s="144"/>
      <c r="AL280" s="7"/>
    </row>
    <row r="281" spans="18:38" s="18" customFormat="1">
      <c r="R281" s="7"/>
      <c r="S281" s="7"/>
      <c r="T281" s="7"/>
      <c r="U281" s="7"/>
      <c r="V281" s="7"/>
      <c r="W281" s="7"/>
      <c r="X281" s="7"/>
      <c r="Y281" s="7"/>
      <c r="Z281" s="7"/>
      <c r="AD281" s="92"/>
      <c r="AE281" s="7"/>
      <c r="AF281" s="144"/>
      <c r="AG281" s="144"/>
      <c r="AH281" s="144"/>
      <c r="AI281" s="144"/>
      <c r="AJ281" s="144"/>
      <c r="AK281" s="144"/>
      <c r="AL281" s="7"/>
    </row>
    <row r="282" spans="18:38" s="18" customFormat="1">
      <c r="R282" s="7"/>
      <c r="S282" s="7"/>
      <c r="T282" s="7"/>
      <c r="U282" s="7"/>
      <c r="V282" s="7"/>
      <c r="W282" s="7"/>
      <c r="X282" s="7"/>
      <c r="Y282" s="7"/>
      <c r="Z282" s="7"/>
      <c r="AD282" s="92"/>
      <c r="AE282" s="7"/>
      <c r="AF282" s="144"/>
      <c r="AG282" s="144"/>
      <c r="AH282" s="144"/>
      <c r="AI282" s="144"/>
      <c r="AJ282" s="144"/>
      <c r="AK282" s="144"/>
      <c r="AL282" s="7"/>
    </row>
    <row r="283" spans="18:38" s="18" customFormat="1">
      <c r="R283" s="7"/>
      <c r="S283" s="7"/>
      <c r="T283" s="7"/>
      <c r="U283" s="7"/>
      <c r="V283" s="7"/>
      <c r="W283" s="7"/>
      <c r="X283" s="7"/>
      <c r="Y283" s="7"/>
      <c r="Z283" s="7"/>
      <c r="AD283" s="92"/>
      <c r="AE283" s="7"/>
      <c r="AF283" s="144"/>
      <c r="AG283" s="144"/>
      <c r="AH283" s="144"/>
      <c r="AI283" s="144"/>
      <c r="AJ283" s="144"/>
      <c r="AK283" s="144"/>
      <c r="AL283" s="7"/>
    </row>
    <row r="284" spans="18:38" s="18" customFormat="1">
      <c r="R284" s="7"/>
      <c r="S284" s="7"/>
      <c r="T284" s="7"/>
      <c r="U284" s="7"/>
      <c r="V284" s="7"/>
      <c r="W284" s="7"/>
      <c r="X284" s="7"/>
      <c r="Y284" s="7"/>
      <c r="Z284" s="7"/>
      <c r="AD284" s="92"/>
      <c r="AE284" s="7"/>
      <c r="AF284" s="144"/>
      <c r="AG284" s="144"/>
      <c r="AH284" s="144"/>
      <c r="AI284" s="144"/>
      <c r="AJ284" s="144"/>
      <c r="AK284" s="144"/>
      <c r="AL284" s="7"/>
    </row>
    <row r="285" spans="18:38" s="18" customFormat="1">
      <c r="R285" s="7"/>
      <c r="S285" s="7"/>
      <c r="T285" s="7"/>
      <c r="U285" s="7"/>
      <c r="V285" s="7"/>
      <c r="W285" s="7"/>
      <c r="X285" s="7"/>
      <c r="Y285" s="7"/>
      <c r="Z285" s="7"/>
      <c r="AD285" s="92"/>
      <c r="AE285" s="7"/>
      <c r="AF285" s="144"/>
      <c r="AG285" s="144"/>
      <c r="AH285" s="144"/>
      <c r="AI285" s="144"/>
      <c r="AJ285" s="144"/>
      <c r="AK285" s="144"/>
      <c r="AL285" s="7"/>
    </row>
    <row r="286" spans="18:38" s="18" customFormat="1">
      <c r="R286" s="7"/>
      <c r="S286" s="7"/>
      <c r="T286" s="7"/>
      <c r="U286" s="7"/>
      <c r="V286" s="7"/>
      <c r="W286" s="7"/>
      <c r="X286" s="7"/>
      <c r="Y286" s="7"/>
      <c r="Z286" s="7"/>
      <c r="AD286" s="92"/>
      <c r="AE286" s="7"/>
      <c r="AF286" s="144"/>
      <c r="AG286" s="144"/>
      <c r="AH286" s="144"/>
      <c r="AI286" s="144"/>
      <c r="AJ286" s="144"/>
      <c r="AK286" s="144"/>
      <c r="AL286" s="7"/>
    </row>
    <row r="287" spans="18:38" s="18" customFormat="1">
      <c r="R287" s="7"/>
      <c r="S287" s="7"/>
      <c r="T287" s="7"/>
      <c r="U287" s="7"/>
      <c r="V287" s="7"/>
      <c r="W287" s="7"/>
      <c r="X287" s="7"/>
      <c r="Y287" s="7"/>
      <c r="Z287" s="7"/>
      <c r="AD287" s="92"/>
      <c r="AE287" s="7"/>
      <c r="AF287" s="144"/>
      <c r="AG287" s="144"/>
      <c r="AH287" s="144"/>
      <c r="AI287" s="144"/>
      <c r="AJ287" s="144"/>
      <c r="AK287" s="144"/>
      <c r="AL287" s="7"/>
    </row>
    <row r="288" spans="18:38" s="18" customFormat="1">
      <c r="R288" s="7"/>
      <c r="S288" s="7"/>
      <c r="T288" s="7"/>
      <c r="U288" s="7"/>
      <c r="V288" s="7"/>
      <c r="W288" s="7"/>
      <c r="X288" s="7"/>
      <c r="Y288" s="7"/>
      <c r="Z288" s="7"/>
      <c r="AD288" s="92"/>
      <c r="AE288" s="7"/>
      <c r="AF288" s="144"/>
      <c r="AG288" s="144"/>
      <c r="AH288" s="144"/>
      <c r="AI288" s="144"/>
      <c r="AJ288" s="144"/>
      <c r="AK288" s="144"/>
      <c r="AL288" s="7"/>
    </row>
    <row r="289" spans="18:38" s="18" customFormat="1">
      <c r="R289" s="7"/>
      <c r="S289" s="7"/>
      <c r="T289" s="7"/>
      <c r="U289" s="7"/>
      <c r="V289" s="7"/>
      <c r="W289" s="7"/>
      <c r="X289" s="7"/>
      <c r="Y289" s="7"/>
      <c r="Z289" s="7"/>
      <c r="AD289" s="92"/>
      <c r="AE289" s="7"/>
      <c r="AF289" s="144"/>
      <c r="AG289" s="144"/>
      <c r="AH289" s="144"/>
      <c r="AI289" s="144"/>
      <c r="AJ289" s="144"/>
      <c r="AK289" s="144"/>
      <c r="AL289" s="7"/>
    </row>
    <row r="290" spans="18:38" s="18" customFormat="1">
      <c r="R290" s="7"/>
      <c r="S290" s="7"/>
      <c r="T290" s="7"/>
      <c r="U290" s="7"/>
      <c r="V290" s="7"/>
      <c r="W290" s="7"/>
      <c r="X290" s="7"/>
      <c r="Y290" s="7"/>
      <c r="Z290" s="7"/>
      <c r="AD290" s="92"/>
      <c r="AE290" s="7"/>
      <c r="AF290" s="144"/>
      <c r="AG290" s="144"/>
      <c r="AH290" s="144"/>
      <c r="AI290" s="144"/>
      <c r="AJ290" s="144"/>
      <c r="AK290" s="144"/>
      <c r="AL290" s="7"/>
    </row>
    <row r="291" spans="18:38" s="18" customFormat="1">
      <c r="R291" s="7"/>
      <c r="S291" s="7"/>
      <c r="T291" s="7"/>
      <c r="U291" s="7"/>
      <c r="V291" s="7"/>
      <c r="W291" s="7"/>
      <c r="X291" s="7"/>
      <c r="Y291" s="7"/>
      <c r="Z291" s="7"/>
      <c r="AD291" s="92"/>
      <c r="AE291" s="7"/>
      <c r="AF291" s="144"/>
      <c r="AG291" s="144"/>
      <c r="AH291" s="144"/>
      <c r="AI291" s="144"/>
      <c r="AJ291" s="144"/>
      <c r="AK291" s="144"/>
      <c r="AL291" s="7"/>
    </row>
    <row r="292" spans="18:38" s="18" customFormat="1">
      <c r="R292" s="7"/>
      <c r="S292" s="7"/>
      <c r="T292" s="7"/>
      <c r="U292" s="7"/>
      <c r="V292" s="7"/>
      <c r="W292" s="7"/>
      <c r="X292" s="7"/>
      <c r="Y292" s="7"/>
      <c r="Z292" s="7"/>
      <c r="AD292" s="92"/>
      <c r="AE292" s="7"/>
      <c r="AF292" s="144"/>
      <c r="AG292" s="144"/>
      <c r="AH292" s="144"/>
      <c r="AI292" s="144"/>
      <c r="AJ292" s="144"/>
      <c r="AK292" s="144"/>
      <c r="AL292" s="7"/>
    </row>
    <row r="293" spans="18:38" s="18" customFormat="1">
      <c r="R293" s="7"/>
      <c r="S293" s="7"/>
      <c r="T293" s="7"/>
      <c r="U293" s="7"/>
      <c r="V293" s="7"/>
      <c r="W293" s="7"/>
      <c r="X293" s="7"/>
      <c r="Y293" s="7"/>
      <c r="Z293" s="7"/>
      <c r="AD293" s="92"/>
      <c r="AE293" s="7"/>
      <c r="AF293" s="144"/>
      <c r="AG293" s="144"/>
      <c r="AH293" s="144"/>
      <c r="AI293" s="144"/>
      <c r="AJ293" s="144"/>
      <c r="AK293" s="144"/>
      <c r="AL293" s="7"/>
    </row>
    <row r="294" spans="18:38" s="18" customFormat="1">
      <c r="R294" s="7"/>
      <c r="S294" s="7"/>
      <c r="T294" s="7"/>
      <c r="U294" s="7"/>
      <c r="V294" s="7"/>
      <c r="W294" s="7"/>
      <c r="X294" s="7"/>
      <c r="Y294" s="7"/>
      <c r="Z294" s="7"/>
      <c r="AD294" s="92"/>
      <c r="AE294" s="7"/>
      <c r="AF294" s="144"/>
      <c r="AG294" s="144"/>
      <c r="AH294" s="144"/>
      <c r="AI294" s="144"/>
      <c r="AJ294" s="144"/>
      <c r="AK294" s="144"/>
      <c r="AL294" s="7"/>
    </row>
    <row r="295" spans="18:38" s="18" customFormat="1">
      <c r="R295" s="7"/>
      <c r="S295" s="7"/>
      <c r="T295" s="7"/>
      <c r="U295" s="7"/>
      <c r="V295" s="7"/>
      <c r="W295" s="7"/>
      <c r="X295" s="7"/>
      <c r="Y295" s="7"/>
      <c r="Z295" s="7"/>
      <c r="AD295" s="92"/>
      <c r="AE295" s="7"/>
      <c r="AF295" s="144"/>
      <c r="AG295" s="144"/>
      <c r="AH295" s="144"/>
      <c r="AI295" s="144"/>
      <c r="AJ295" s="144"/>
      <c r="AK295" s="144"/>
      <c r="AL295" s="7"/>
    </row>
    <row r="296" spans="18:38" s="18" customFormat="1">
      <c r="R296" s="7"/>
      <c r="S296" s="7"/>
      <c r="T296" s="7"/>
      <c r="U296" s="7"/>
      <c r="V296" s="7"/>
      <c r="W296" s="7"/>
      <c r="X296" s="7"/>
      <c r="Y296" s="7"/>
      <c r="Z296" s="7"/>
      <c r="AD296" s="92"/>
      <c r="AE296" s="7"/>
      <c r="AF296" s="144"/>
      <c r="AG296" s="144"/>
      <c r="AH296" s="144"/>
      <c r="AI296" s="144"/>
      <c r="AJ296" s="144"/>
      <c r="AK296" s="144"/>
      <c r="AL296" s="7"/>
    </row>
    <row r="297" spans="18:38" s="18" customFormat="1">
      <c r="R297" s="7"/>
      <c r="S297" s="7"/>
      <c r="T297" s="7"/>
      <c r="U297" s="7"/>
      <c r="V297" s="7"/>
      <c r="W297" s="7"/>
      <c r="X297" s="7"/>
      <c r="Y297" s="7"/>
      <c r="Z297" s="7"/>
      <c r="AD297" s="92"/>
      <c r="AE297" s="7"/>
      <c r="AF297" s="144"/>
      <c r="AG297" s="144"/>
      <c r="AH297" s="144"/>
      <c r="AI297" s="144"/>
      <c r="AJ297" s="144"/>
      <c r="AK297" s="144"/>
      <c r="AL297" s="7"/>
    </row>
    <row r="298" spans="18:38" s="18" customFormat="1">
      <c r="R298" s="7"/>
      <c r="S298" s="7"/>
      <c r="T298" s="7"/>
      <c r="U298" s="7"/>
      <c r="V298" s="7"/>
      <c r="W298" s="7"/>
      <c r="X298" s="7"/>
      <c r="Y298" s="7"/>
      <c r="Z298" s="7"/>
      <c r="AD298" s="92"/>
      <c r="AE298" s="7"/>
      <c r="AF298" s="144"/>
      <c r="AG298" s="144"/>
      <c r="AH298" s="144"/>
      <c r="AI298" s="144"/>
      <c r="AJ298" s="144"/>
      <c r="AK298" s="144"/>
      <c r="AL298" s="7"/>
    </row>
    <row r="299" spans="18:38" s="18" customFormat="1">
      <c r="R299" s="7"/>
      <c r="S299" s="7"/>
      <c r="T299" s="7"/>
      <c r="U299" s="7"/>
      <c r="V299" s="7"/>
      <c r="W299" s="7"/>
      <c r="X299" s="7"/>
      <c r="Y299" s="7"/>
      <c r="Z299" s="7"/>
      <c r="AD299" s="92"/>
      <c r="AE299" s="7"/>
      <c r="AF299" s="144"/>
      <c r="AG299" s="144"/>
      <c r="AH299" s="144"/>
      <c r="AI299" s="144"/>
      <c r="AJ299" s="144"/>
      <c r="AK299" s="144"/>
      <c r="AL299" s="7"/>
    </row>
    <row r="300" spans="18:38" s="18" customFormat="1">
      <c r="R300" s="7"/>
      <c r="S300" s="7"/>
      <c r="T300" s="7"/>
      <c r="U300" s="7"/>
      <c r="V300" s="7"/>
      <c r="W300" s="7"/>
      <c r="X300" s="7"/>
      <c r="Y300" s="7"/>
      <c r="Z300" s="7"/>
      <c r="AD300" s="92"/>
      <c r="AE300" s="7"/>
      <c r="AF300" s="144"/>
      <c r="AG300" s="144"/>
      <c r="AH300" s="144"/>
      <c r="AI300" s="144"/>
      <c r="AJ300" s="144"/>
      <c r="AK300" s="144"/>
      <c r="AL300" s="7"/>
    </row>
    <row r="301" spans="18:38" s="18" customFormat="1">
      <c r="R301" s="7"/>
      <c r="S301" s="7"/>
      <c r="T301" s="7"/>
      <c r="U301" s="7"/>
      <c r="V301" s="7"/>
      <c r="W301" s="7"/>
      <c r="X301" s="7"/>
      <c r="Y301" s="7"/>
      <c r="Z301" s="7"/>
      <c r="AD301" s="92"/>
      <c r="AE301" s="7"/>
      <c r="AF301" s="144"/>
      <c r="AG301" s="144"/>
      <c r="AH301" s="144"/>
      <c r="AI301" s="144"/>
      <c r="AJ301" s="144"/>
      <c r="AK301" s="144"/>
      <c r="AL301" s="7"/>
    </row>
    <row r="302" spans="18:38" s="18" customFormat="1">
      <c r="R302" s="7"/>
      <c r="S302" s="7"/>
      <c r="T302" s="7"/>
      <c r="U302" s="7"/>
      <c r="V302" s="7"/>
      <c r="W302" s="7"/>
      <c r="X302" s="7"/>
      <c r="Y302" s="7"/>
      <c r="Z302" s="7"/>
      <c r="AD302" s="92"/>
      <c r="AE302" s="7"/>
      <c r="AF302" s="144"/>
      <c r="AG302" s="144"/>
      <c r="AH302" s="144"/>
      <c r="AI302" s="144"/>
      <c r="AJ302" s="144"/>
      <c r="AK302" s="144"/>
      <c r="AL302" s="7"/>
    </row>
    <row r="303" spans="18:38" s="18" customFormat="1">
      <c r="R303" s="7"/>
      <c r="S303" s="7"/>
      <c r="T303" s="7"/>
      <c r="U303" s="7"/>
      <c r="V303" s="7"/>
      <c r="W303" s="7"/>
      <c r="X303" s="7"/>
      <c r="Y303" s="7"/>
      <c r="Z303" s="7"/>
      <c r="AD303" s="92"/>
      <c r="AE303" s="7"/>
      <c r="AF303" s="144"/>
      <c r="AG303" s="144"/>
      <c r="AH303" s="144"/>
      <c r="AI303" s="144"/>
      <c r="AJ303" s="144"/>
      <c r="AK303" s="144"/>
      <c r="AL303" s="7"/>
    </row>
    <row r="304" spans="18:38" s="18" customFormat="1">
      <c r="R304" s="7"/>
      <c r="S304" s="7"/>
      <c r="T304" s="7"/>
      <c r="U304" s="7"/>
      <c r="V304" s="7"/>
      <c r="W304" s="7"/>
      <c r="X304" s="7"/>
      <c r="Y304" s="7"/>
      <c r="Z304" s="7"/>
      <c r="AD304" s="92"/>
      <c r="AE304" s="7"/>
      <c r="AF304" s="144"/>
      <c r="AG304" s="144"/>
      <c r="AH304" s="144"/>
      <c r="AI304" s="144"/>
      <c r="AJ304" s="144"/>
      <c r="AK304" s="144"/>
      <c r="AL304" s="7"/>
    </row>
    <row r="305" spans="18:38" s="18" customFormat="1">
      <c r="R305" s="7"/>
      <c r="S305" s="7"/>
      <c r="T305" s="7"/>
      <c r="U305" s="7"/>
      <c r="V305" s="7"/>
      <c r="W305" s="7"/>
      <c r="X305" s="7"/>
      <c r="Y305" s="7"/>
      <c r="Z305" s="7"/>
      <c r="AD305" s="92"/>
      <c r="AE305" s="7"/>
      <c r="AF305" s="144"/>
      <c r="AG305" s="144"/>
      <c r="AH305" s="144"/>
      <c r="AI305" s="144"/>
      <c r="AJ305" s="144"/>
      <c r="AK305" s="144"/>
      <c r="AL305" s="7"/>
    </row>
    <row r="306" spans="18:38" s="18" customFormat="1">
      <c r="R306" s="7"/>
      <c r="S306" s="7"/>
      <c r="T306" s="7"/>
      <c r="U306" s="7"/>
      <c r="V306" s="7"/>
      <c r="W306" s="7"/>
      <c r="X306" s="7"/>
      <c r="Y306" s="7"/>
      <c r="Z306" s="7"/>
      <c r="AD306" s="92"/>
      <c r="AE306" s="7"/>
      <c r="AF306" s="144"/>
      <c r="AG306" s="144"/>
      <c r="AH306" s="144"/>
      <c r="AI306" s="144"/>
      <c r="AJ306" s="144"/>
      <c r="AK306" s="144"/>
      <c r="AL306" s="7"/>
    </row>
    <row r="307" spans="18:38" s="18" customFormat="1">
      <c r="R307" s="7"/>
      <c r="S307" s="7"/>
      <c r="T307" s="7"/>
      <c r="U307" s="7"/>
      <c r="V307" s="7"/>
      <c r="W307" s="7"/>
      <c r="X307" s="7"/>
      <c r="Y307" s="7"/>
      <c r="Z307" s="7"/>
      <c r="AD307" s="92"/>
      <c r="AE307" s="7"/>
      <c r="AF307" s="144"/>
      <c r="AG307" s="144"/>
      <c r="AH307" s="144"/>
      <c r="AI307" s="144"/>
      <c r="AJ307" s="144"/>
      <c r="AK307" s="144"/>
      <c r="AL307" s="7"/>
    </row>
    <row r="308" spans="18:38" s="18" customFormat="1">
      <c r="R308" s="7"/>
      <c r="S308" s="7"/>
      <c r="T308" s="7"/>
      <c r="U308" s="7"/>
      <c r="V308" s="7"/>
      <c r="W308" s="7"/>
      <c r="X308" s="7"/>
      <c r="Y308" s="7"/>
      <c r="Z308" s="7"/>
      <c r="AD308" s="92"/>
      <c r="AE308" s="7"/>
      <c r="AF308" s="144"/>
      <c r="AG308" s="144"/>
      <c r="AH308" s="144"/>
      <c r="AI308" s="144"/>
      <c r="AJ308" s="144"/>
      <c r="AK308" s="144"/>
      <c r="AL308" s="7"/>
    </row>
    <row r="309" spans="18:38" s="18" customFormat="1">
      <c r="R309" s="7"/>
      <c r="S309" s="7"/>
      <c r="T309" s="7"/>
      <c r="U309" s="7"/>
      <c r="V309" s="7"/>
      <c r="W309" s="7"/>
      <c r="X309" s="7"/>
      <c r="Y309" s="7"/>
      <c r="Z309" s="7"/>
      <c r="AD309" s="92"/>
      <c r="AE309" s="7"/>
      <c r="AF309" s="144"/>
      <c r="AG309" s="144"/>
      <c r="AH309" s="144"/>
      <c r="AI309" s="144"/>
      <c r="AJ309" s="144"/>
      <c r="AK309" s="144"/>
      <c r="AL309" s="7"/>
    </row>
    <row r="310" spans="18:38" s="18" customFormat="1">
      <c r="R310" s="7"/>
      <c r="S310" s="7"/>
      <c r="T310" s="7"/>
      <c r="U310" s="7"/>
      <c r="V310" s="7"/>
      <c r="W310" s="7"/>
      <c r="X310" s="7"/>
      <c r="Y310" s="7"/>
      <c r="Z310" s="7"/>
      <c r="AD310" s="92"/>
      <c r="AE310" s="7"/>
      <c r="AF310" s="144"/>
      <c r="AG310" s="144"/>
      <c r="AH310" s="144"/>
      <c r="AI310" s="144"/>
      <c r="AJ310" s="144"/>
      <c r="AK310" s="144"/>
      <c r="AL310" s="7"/>
    </row>
    <row r="311" spans="18:38" s="18" customFormat="1">
      <c r="R311" s="7"/>
      <c r="S311" s="7"/>
      <c r="T311" s="7"/>
      <c r="U311" s="7"/>
      <c r="V311" s="7"/>
      <c r="W311" s="7"/>
      <c r="X311" s="7"/>
      <c r="Y311" s="7"/>
      <c r="Z311" s="7"/>
      <c r="AD311" s="92"/>
      <c r="AE311" s="7"/>
      <c r="AF311" s="144"/>
      <c r="AG311" s="144"/>
      <c r="AH311" s="144"/>
      <c r="AI311" s="144"/>
      <c r="AJ311" s="144"/>
      <c r="AK311" s="144"/>
      <c r="AL311" s="7"/>
    </row>
    <row r="312" spans="18:38" s="18" customFormat="1">
      <c r="R312" s="7"/>
      <c r="S312" s="7"/>
      <c r="T312" s="7"/>
      <c r="U312" s="7"/>
      <c r="V312" s="7"/>
      <c r="W312" s="7"/>
      <c r="X312" s="7"/>
      <c r="Y312" s="7"/>
      <c r="Z312" s="7"/>
      <c r="AD312" s="92"/>
      <c r="AE312" s="7"/>
      <c r="AF312" s="144"/>
      <c r="AG312" s="144"/>
      <c r="AH312" s="144"/>
      <c r="AI312" s="144"/>
      <c r="AJ312" s="144"/>
      <c r="AK312" s="144"/>
      <c r="AL312" s="7"/>
    </row>
    <row r="313" spans="18:38" s="18" customFormat="1">
      <c r="R313" s="7"/>
      <c r="S313" s="7"/>
      <c r="T313" s="7"/>
      <c r="U313" s="7"/>
      <c r="V313" s="7"/>
      <c r="W313" s="7"/>
      <c r="X313" s="7"/>
      <c r="Y313" s="7"/>
      <c r="Z313" s="7"/>
      <c r="AD313" s="92"/>
      <c r="AE313" s="7"/>
      <c r="AF313" s="144"/>
      <c r="AG313" s="144"/>
      <c r="AH313" s="144"/>
      <c r="AI313" s="144"/>
      <c r="AJ313" s="144"/>
      <c r="AK313" s="144"/>
      <c r="AL313" s="7"/>
    </row>
    <row r="314" spans="18:38" s="18" customFormat="1">
      <c r="R314" s="7"/>
      <c r="S314" s="7"/>
      <c r="T314" s="7"/>
      <c r="U314" s="7"/>
      <c r="V314" s="7"/>
      <c r="W314" s="7"/>
      <c r="X314" s="7"/>
      <c r="Y314" s="7"/>
      <c r="Z314" s="7"/>
      <c r="AD314" s="92"/>
      <c r="AE314" s="7"/>
      <c r="AF314" s="144"/>
      <c r="AG314" s="144"/>
      <c r="AH314" s="144"/>
      <c r="AI314" s="144"/>
      <c r="AJ314" s="144"/>
      <c r="AK314" s="144"/>
      <c r="AL314" s="7"/>
    </row>
    <row r="315" spans="18:38" s="18" customFormat="1">
      <c r="R315" s="7"/>
      <c r="S315" s="7"/>
      <c r="T315" s="7"/>
      <c r="U315" s="7"/>
      <c r="V315" s="7"/>
      <c r="W315" s="7"/>
      <c r="X315" s="7"/>
      <c r="Y315" s="7"/>
      <c r="Z315" s="7"/>
      <c r="AD315" s="92"/>
      <c r="AE315" s="7"/>
      <c r="AF315" s="144"/>
      <c r="AG315" s="144"/>
      <c r="AH315" s="144"/>
      <c r="AI315" s="144"/>
      <c r="AJ315" s="144"/>
      <c r="AK315" s="144"/>
      <c r="AL315" s="7"/>
    </row>
    <row r="316" spans="18:38" s="18" customFormat="1">
      <c r="R316" s="7"/>
      <c r="S316" s="7"/>
      <c r="T316" s="7"/>
      <c r="U316" s="7"/>
      <c r="V316" s="7"/>
      <c r="W316" s="7"/>
      <c r="X316" s="7"/>
      <c r="Y316" s="7"/>
      <c r="Z316" s="7"/>
      <c r="AD316" s="92"/>
      <c r="AE316" s="7"/>
      <c r="AF316" s="144"/>
      <c r="AG316" s="144"/>
      <c r="AH316" s="144"/>
      <c r="AI316" s="144"/>
      <c r="AJ316" s="144"/>
      <c r="AK316" s="144"/>
      <c r="AL316" s="7"/>
    </row>
    <row r="317" spans="18:38" s="18" customFormat="1">
      <c r="R317" s="7"/>
      <c r="S317" s="7"/>
      <c r="T317" s="7"/>
      <c r="U317" s="7"/>
      <c r="V317" s="7"/>
      <c r="W317" s="7"/>
      <c r="X317" s="7"/>
      <c r="Y317" s="7"/>
      <c r="Z317" s="7"/>
      <c r="AD317" s="92"/>
      <c r="AE317" s="7"/>
      <c r="AF317" s="144"/>
      <c r="AG317" s="144"/>
      <c r="AH317" s="144"/>
      <c r="AI317" s="144"/>
      <c r="AJ317" s="144"/>
      <c r="AK317" s="144"/>
      <c r="AL317" s="7"/>
    </row>
    <row r="318" spans="18:38" s="18" customFormat="1">
      <c r="R318" s="7"/>
      <c r="S318" s="7"/>
      <c r="T318" s="7"/>
      <c r="U318" s="7"/>
      <c r="V318" s="7"/>
      <c r="W318" s="7"/>
      <c r="X318" s="7"/>
      <c r="Y318" s="7"/>
      <c r="Z318" s="7"/>
      <c r="AD318" s="92"/>
      <c r="AE318" s="7"/>
      <c r="AF318" s="144"/>
      <c r="AG318" s="144"/>
      <c r="AH318" s="144"/>
      <c r="AI318" s="144"/>
      <c r="AJ318" s="144"/>
      <c r="AK318" s="144"/>
      <c r="AL318" s="7"/>
    </row>
    <row r="319" spans="18:38" s="18" customFormat="1">
      <c r="R319" s="7"/>
      <c r="S319" s="7"/>
      <c r="T319" s="7"/>
      <c r="U319" s="7"/>
      <c r="V319" s="7"/>
      <c r="W319" s="7"/>
      <c r="X319" s="7"/>
      <c r="Y319" s="7"/>
      <c r="Z319" s="7"/>
      <c r="AD319" s="92"/>
      <c r="AE319" s="7"/>
      <c r="AF319" s="144"/>
      <c r="AG319" s="144"/>
      <c r="AH319" s="144"/>
      <c r="AI319" s="144"/>
      <c r="AJ319" s="144"/>
      <c r="AK319" s="144"/>
      <c r="AL319" s="7"/>
    </row>
    <row r="320" spans="18:38" s="18" customFormat="1">
      <c r="R320" s="7"/>
      <c r="S320" s="7"/>
      <c r="T320" s="7"/>
      <c r="U320" s="7"/>
      <c r="V320" s="7"/>
      <c r="W320" s="7"/>
      <c r="X320" s="7"/>
      <c r="Y320" s="7"/>
      <c r="Z320" s="7"/>
      <c r="AD320" s="92"/>
      <c r="AE320" s="7"/>
      <c r="AF320" s="144"/>
      <c r="AG320" s="144"/>
      <c r="AH320" s="144"/>
      <c r="AI320" s="144"/>
      <c r="AJ320" s="144"/>
      <c r="AK320" s="144"/>
      <c r="AL320" s="7"/>
    </row>
    <row r="321" spans="18:38" s="18" customFormat="1">
      <c r="R321" s="7"/>
      <c r="S321" s="7"/>
      <c r="T321" s="7"/>
      <c r="U321" s="7"/>
      <c r="V321" s="7"/>
      <c r="W321" s="7"/>
      <c r="X321" s="7"/>
      <c r="Y321" s="7"/>
      <c r="Z321" s="7"/>
      <c r="AD321" s="92"/>
      <c r="AE321" s="7"/>
      <c r="AF321" s="144"/>
      <c r="AG321" s="144"/>
      <c r="AH321" s="144"/>
      <c r="AI321" s="144"/>
      <c r="AJ321" s="144"/>
      <c r="AK321" s="144"/>
      <c r="AL321" s="7"/>
    </row>
    <row r="322" spans="18:38" s="18" customFormat="1">
      <c r="R322" s="7"/>
      <c r="S322" s="7"/>
      <c r="T322" s="7"/>
      <c r="U322" s="7"/>
      <c r="V322" s="7"/>
      <c r="W322" s="7"/>
      <c r="X322" s="7"/>
      <c r="Y322" s="7"/>
      <c r="Z322" s="7"/>
      <c r="AD322" s="92"/>
      <c r="AE322" s="7"/>
      <c r="AF322" s="144"/>
      <c r="AG322" s="144"/>
      <c r="AH322" s="144"/>
      <c r="AI322" s="144"/>
      <c r="AJ322" s="144"/>
      <c r="AK322" s="144"/>
      <c r="AL322" s="7"/>
    </row>
    <row r="323" spans="18:38" s="18" customFormat="1">
      <c r="R323" s="7"/>
      <c r="S323" s="7"/>
      <c r="T323" s="7"/>
      <c r="U323" s="7"/>
      <c r="V323" s="7"/>
      <c r="W323" s="7"/>
      <c r="X323" s="7"/>
      <c r="Y323" s="7"/>
      <c r="Z323" s="7"/>
      <c r="AD323" s="92"/>
      <c r="AE323" s="7"/>
      <c r="AF323" s="144"/>
      <c r="AG323" s="144"/>
      <c r="AH323" s="144"/>
      <c r="AI323" s="144"/>
      <c r="AJ323" s="144"/>
      <c r="AK323" s="144"/>
      <c r="AL323" s="7"/>
    </row>
    <row r="324" spans="18:38" s="18" customFormat="1">
      <c r="R324" s="7"/>
      <c r="S324" s="7"/>
      <c r="T324" s="7"/>
      <c r="U324" s="7"/>
      <c r="V324" s="7"/>
      <c r="W324" s="7"/>
      <c r="X324" s="7"/>
      <c r="Y324" s="7"/>
      <c r="Z324" s="7"/>
      <c r="AD324" s="92"/>
      <c r="AE324" s="7"/>
      <c r="AF324" s="144"/>
      <c r="AG324" s="144"/>
      <c r="AH324" s="144"/>
      <c r="AI324" s="144"/>
      <c r="AJ324" s="144"/>
      <c r="AK324" s="144"/>
      <c r="AL324" s="7"/>
    </row>
    <row r="325" spans="18:38" s="18" customFormat="1">
      <c r="R325" s="7"/>
      <c r="S325" s="7"/>
      <c r="T325" s="7"/>
      <c r="U325" s="7"/>
      <c r="V325" s="7"/>
      <c r="W325" s="7"/>
      <c r="X325" s="7"/>
      <c r="Y325" s="7"/>
      <c r="Z325" s="7"/>
      <c r="AD325" s="92"/>
      <c r="AE325" s="7"/>
      <c r="AF325" s="144"/>
      <c r="AG325" s="144"/>
      <c r="AH325" s="144"/>
      <c r="AI325" s="144"/>
      <c r="AJ325" s="144"/>
      <c r="AK325" s="144"/>
      <c r="AL325" s="7"/>
    </row>
    <row r="326" spans="18:38" s="18" customFormat="1">
      <c r="R326" s="7"/>
      <c r="S326" s="7"/>
      <c r="T326" s="7"/>
      <c r="U326" s="7"/>
      <c r="V326" s="7"/>
      <c r="W326" s="7"/>
      <c r="X326" s="7"/>
      <c r="Y326" s="7"/>
      <c r="Z326" s="7"/>
      <c r="AD326" s="92"/>
      <c r="AE326" s="7"/>
      <c r="AF326" s="144"/>
      <c r="AG326" s="144"/>
      <c r="AH326" s="144"/>
      <c r="AI326" s="144"/>
      <c r="AJ326" s="144"/>
      <c r="AK326" s="144"/>
      <c r="AL326" s="7"/>
    </row>
    <row r="327" spans="18:38" s="18" customFormat="1">
      <c r="R327" s="7"/>
      <c r="S327" s="7"/>
      <c r="T327" s="7"/>
      <c r="U327" s="7"/>
      <c r="V327" s="7"/>
      <c r="W327" s="7"/>
      <c r="X327" s="7"/>
      <c r="Y327" s="7"/>
      <c r="Z327" s="7"/>
      <c r="AD327" s="92"/>
      <c r="AE327" s="7"/>
      <c r="AF327" s="144"/>
      <c r="AG327" s="144"/>
      <c r="AH327" s="144"/>
      <c r="AI327" s="144"/>
      <c r="AJ327" s="144"/>
      <c r="AK327" s="144"/>
      <c r="AL327" s="7"/>
    </row>
    <row r="328" spans="18:38" s="18" customFormat="1">
      <c r="R328" s="7"/>
      <c r="S328" s="7"/>
      <c r="T328" s="7"/>
      <c r="U328" s="7"/>
      <c r="V328" s="7"/>
      <c r="W328" s="7"/>
      <c r="X328" s="7"/>
      <c r="Y328" s="7"/>
      <c r="Z328" s="7"/>
      <c r="AD328" s="92"/>
      <c r="AE328" s="7"/>
      <c r="AF328" s="144"/>
      <c r="AG328" s="144"/>
      <c r="AH328" s="144"/>
      <c r="AI328" s="144"/>
      <c r="AJ328" s="144"/>
      <c r="AK328" s="144"/>
      <c r="AL328" s="7"/>
    </row>
    <row r="329" spans="18:38" s="18" customFormat="1">
      <c r="R329" s="7"/>
      <c r="S329" s="7"/>
      <c r="T329" s="7"/>
      <c r="U329" s="7"/>
      <c r="V329" s="7"/>
      <c r="W329" s="7"/>
      <c r="X329" s="7"/>
      <c r="Y329" s="7"/>
      <c r="Z329" s="7"/>
      <c r="AD329" s="92"/>
      <c r="AE329" s="7"/>
      <c r="AF329" s="144"/>
      <c r="AG329" s="144"/>
      <c r="AH329" s="144"/>
      <c r="AI329" s="144"/>
      <c r="AJ329" s="144"/>
      <c r="AK329" s="144"/>
      <c r="AL329" s="7"/>
    </row>
    <row r="330" spans="18:38" s="18" customFormat="1">
      <c r="R330" s="7"/>
      <c r="S330" s="7"/>
      <c r="T330" s="7"/>
      <c r="U330" s="7"/>
      <c r="V330" s="7"/>
      <c r="W330" s="7"/>
      <c r="X330" s="7"/>
      <c r="Y330" s="7"/>
      <c r="Z330" s="7"/>
      <c r="AD330" s="92"/>
      <c r="AE330" s="7"/>
      <c r="AF330" s="144"/>
      <c r="AG330" s="144"/>
      <c r="AH330" s="144"/>
      <c r="AI330" s="144"/>
      <c r="AJ330" s="144"/>
      <c r="AK330" s="144"/>
      <c r="AL330" s="7"/>
    </row>
    <row r="331" spans="18:38" s="18" customFormat="1">
      <c r="R331" s="7"/>
      <c r="S331" s="7"/>
      <c r="T331" s="7"/>
      <c r="U331" s="7"/>
      <c r="V331" s="7"/>
      <c r="W331" s="7"/>
      <c r="X331" s="7"/>
      <c r="Y331" s="7"/>
      <c r="Z331" s="7"/>
      <c r="AD331" s="92"/>
      <c r="AE331" s="7"/>
      <c r="AF331" s="144"/>
      <c r="AG331" s="144"/>
      <c r="AH331" s="144"/>
      <c r="AI331" s="144"/>
      <c r="AJ331" s="144"/>
      <c r="AK331" s="144"/>
      <c r="AL331" s="7"/>
    </row>
    <row r="332" spans="18:38" s="18" customFormat="1">
      <c r="R332" s="7"/>
      <c r="S332" s="7"/>
      <c r="T332" s="7"/>
      <c r="U332" s="7"/>
      <c r="V332" s="7"/>
      <c r="W332" s="7"/>
      <c r="X332" s="7"/>
      <c r="Y332" s="7"/>
      <c r="Z332" s="7"/>
      <c r="AD332" s="92"/>
      <c r="AE332" s="7"/>
      <c r="AF332" s="144"/>
      <c r="AG332" s="144"/>
      <c r="AH332" s="144"/>
      <c r="AI332" s="144"/>
      <c r="AJ332" s="144"/>
      <c r="AK332" s="144"/>
      <c r="AL332" s="7"/>
    </row>
    <row r="333" spans="18:38" s="18" customFormat="1">
      <c r="R333" s="7"/>
      <c r="S333" s="7"/>
      <c r="T333" s="7"/>
      <c r="U333" s="7"/>
      <c r="V333" s="7"/>
      <c r="W333" s="7"/>
      <c r="X333" s="7"/>
      <c r="Y333" s="7"/>
      <c r="Z333" s="7"/>
      <c r="AD333" s="92"/>
      <c r="AE333" s="7"/>
      <c r="AF333" s="144"/>
      <c r="AG333" s="144"/>
      <c r="AH333" s="144"/>
      <c r="AI333" s="144"/>
      <c r="AJ333" s="144"/>
      <c r="AK333" s="144"/>
      <c r="AL333" s="7"/>
    </row>
    <row r="334" spans="18:38" s="18" customFormat="1">
      <c r="R334" s="7"/>
      <c r="S334" s="7"/>
      <c r="T334" s="7"/>
      <c r="U334" s="7"/>
      <c r="V334" s="7"/>
      <c r="W334" s="7"/>
      <c r="X334" s="7"/>
      <c r="Y334" s="7"/>
      <c r="Z334" s="7"/>
      <c r="AD334" s="92"/>
      <c r="AE334" s="7"/>
      <c r="AF334" s="144"/>
      <c r="AG334" s="144"/>
      <c r="AH334" s="144"/>
      <c r="AI334" s="144"/>
      <c r="AJ334" s="144"/>
      <c r="AK334" s="144"/>
      <c r="AL334" s="7"/>
    </row>
    <row r="335" spans="18:38" s="18" customFormat="1">
      <c r="R335" s="7"/>
      <c r="S335" s="7"/>
      <c r="T335" s="7"/>
      <c r="U335" s="7"/>
      <c r="V335" s="7"/>
      <c r="W335" s="7"/>
      <c r="X335" s="7"/>
      <c r="Y335" s="7"/>
      <c r="Z335" s="7"/>
      <c r="AD335" s="92"/>
      <c r="AE335" s="7"/>
      <c r="AF335" s="144"/>
      <c r="AG335" s="144"/>
      <c r="AH335" s="144"/>
      <c r="AI335" s="144"/>
      <c r="AJ335" s="144"/>
      <c r="AK335" s="144"/>
      <c r="AL335" s="7"/>
    </row>
    <row r="336" spans="18:38" s="18" customFormat="1">
      <c r="R336" s="7"/>
      <c r="S336" s="7"/>
      <c r="T336" s="7"/>
      <c r="U336" s="7"/>
      <c r="V336" s="7"/>
      <c r="W336" s="7"/>
      <c r="X336" s="7"/>
      <c r="Y336" s="7"/>
      <c r="Z336" s="7"/>
      <c r="AD336" s="92"/>
      <c r="AE336" s="7"/>
      <c r="AF336" s="144"/>
      <c r="AG336" s="144"/>
      <c r="AH336" s="144"/>
      <c r="AI336" s="144"/>
      <c r="AJ336" s="144"/>
      <c r="AK336" s="144"/>
      <c r="AL336" s="7"/>
    </row>
    <row r="337" spans="18:38" s="18" customFormat="1">
      <c r="R337" s="7"/>
      <c r="S337" s="7"/>
      <c r="T337" s="7"/>
      <c r="U337" s="7"/>
      <c r="V337" s="7"/>
      <c r="W337" s="7"/>
      <c r="X337" s="7"/>
      <c r="Y337" s="7"/>
      <c r="Z337" s="7"/>
      <c r="AD337" s="92"/>
      <c r="AE337" s="7"/>
      <c r="AF337" s="144"/>
      <c r="AG337" s="144"/>
      <c r="AH337" s="144"/>
      <c r="AI337" s="144"/>
      <c r="AJ337" s="144"/>
      <c r="AK337" s="144"/>
      <c r="AL337" s="7"/>
    </row>
    <row r="338" spans="18:38" s="18" customFormat="1">
      <c r="R338" s="7"/>
      <c r="S338" s="7"/>
      <c r="T338" s="7"/>
      <c r="U338" s="7"/>
      <c r="V338" s="7"/>
      <c r="W338" s="7"/>
      <c r="X338" s="7"/>
      <c r="Y338" s="7"/>
      <c r="Z338" s="7"/>
      <c r="AD338" s="92"/>
      <c r="AE338" s="7"/>
      <c r="AF338" s="144"/>
      <c r="AG338" s="144"/>
      <c r="AH338" s="144"/>
      <c r="AI338" s="144"/>
      <c r="AJ338" s="144"/>
      <c r="AK338" s="144"/>
      <c r="AL338" s="7"/>
    </row>
    <row r="339" spans="18:38" s="18" customFormat="1">
      <c r="R339" s="7"/>
      <c r="S339" s="7"/>
      <c r="T339" s="7"/>
      <c r="U339" s="7"/>
      <c r="V339" s="7"/>
      <c r="W339" s="7"/>
      <c r="X339" s="7"/>
      <c r="Y339" s="7"/>
      <c r="Z339" s="7"/>
      <c r="AD339" s="92"/>
      <c r="AE339" s="7"/>
      <c r="AF339" s="144"/>
      <c r="AG339" s="144"/>
      <c r="AH339" s="144"/>
      <c r="AI339" s="144"/>
      <c r="AJ339" s="144"/>
      <c r="AK339" s="144"/>
      <c r="AL339" s="7"/>
    </row>
    <row r="340" spans="18:38" s="18" customFormat="1">
      <c r="R340" s="7"/>
      <c r="S340" s="7"/>
      <c r="T340" s="7"/>
      <c r="U340" s="7"/>
      <c r="V340" s="7"/>
      <c r="W340" s="7"/>
      <c r="X340" s="7"/>
      <c r="Y340" s="7"/>
      <c r="Z340" s="7"/>
      <c r="AD340" s="92"/>
      <c r="AE340" s="7"/>
      <c r="AF340" s="144"/>
      <c r="AG340" s="144"/>
      <c r="AH340" s="144"/>
      <c r="AI340" s="144"/>
      <c r="AJ340" s="144"/>
      <c r="AK340" s="144"/>
      <c r="AL340" s="7"/>
    </row>
    <row r="341" spans="18:38" s="18" customFormat="1">
      <c r="R341" s="7"/>
      <c r="S341" s="7"/>
      <c r="T341" s="7"/>
      <c r="U341" s="7"/>
      <c r="V341" s="7"/>
      <c r="W341" s="7"/>
      <c r="X341" s="7"/>
      <c r="Y341" s="7"/>
      <c r="Z341" s="7"/>
      <c r="AD341" s="92"/>
      <c r="AE341" s="7"/>
      <c r="AF341" s="144"/>
      <c r="AG341" s="144"/>
      <c r="AH341" s="144"/>
      <c r="AI341" s="144"/>
      <c r="AJ341" s="144"/>
      <c r="AK341" s="144"/>
      <c r="AL341" s="7"/>
    </row>
    <row r="342" spans="18:38" s="18" customFormat="1">
      <c r="R342" s="7"/>
      <c r="S342" s="7"/>
      <c r="T342" s="7"/>
      <c r="U342" s="7"/>
      <c r="V342" s="7"/>
      <c r="W342" s="7"/>
      <c r="X342" s="7"/>
      <c r="Y342" s="7"/>
      <c r="Z342" s="7"/>
      <c r="AD342" s="92"/>
      <c r="AE342" s="7"/>
      <c r="AF342" s="144"/>
      <c r="AG342" s="144"/>
      <c r="AH342" s="144"/>
      <c r="AI342" s="144"/>
      <c r="AJ342" s="144"/>
      <c r="AK342" s="144"/>
      <c r="AL342" s="7"/>
    </row>
    <row r="343" spans="18:38" s="18" customFormat="1">
      <c r="R343" s="7"/>
      <c r="S343" s="7"/>
      <c r="T343" s="7"/>
      <c r="U343" s="7"/>
      <c r="V343" s="7"/>
      <c r="W343" s="7"/>
      <c r="X343" s="7"/>
      <c r="Y343" s="7"/>
      <c r="Z343" s="7"/>
      <c r="AD343" s="92"/>
      <c r="AE343" s="7"/>
      <c r="AF343" s="144"/>
      <c r="AG343" s="144"/>
      <c r="AH343" s="144"/>
      <c r="AI343" s="144"/>
      <c r="AJ343" s="144"/>
      <c r="AK343" s="144"/>
      <c r="AL343" s="7"/>
    </row>
    <row r="344" spans="18:38" s="18" customFormat="1">
      <c r="R344" s="7"/>
      <c r="S344" s="7"/>
      <c r="T344" s="7"/>
      <c r="U344" s="7"/>
      <c r="V344" s="7"/>
      <c r="W344" s="7"/>
      <c r="X344" s="7"/>
      <c r="Y344" s="7"/>
      <c r="Z344" s="7"/>
      <c r="AD344" s="92"/>
      <c r="AE344" s="7"/>
      <c r="AF344" s="144"/>
      <c r="AG344" s="144"/>
      <c r="AH344" s="144"/>
      <c r="AI344" s="144"/>
      <c r="AJ344" s="144"/>
      <c r="AK344" s="144"/>
      <c r="AL344" s="7"/>
    </row>
    <row r="345" spans="18:38" s="18" customFormat="1">
      <c r="R345" s="7"/>
      <c r="S345" s="7"/>
      <c r="T345" s="7"/>
      <c r="U345" s="7"/>
      <c r="V345" s="7"/>
      <c r="W345" s="7"/>
      <c r="X345" s="7"/>
      <c r="Y345" s="7"/>
      <c r="Z345" s="7"/>
      <c r="AD345" s="92"/>
      <c r="AE345" s="7"/>
      <c r="AF345" s="144"/>
      <c r="AG345" s="144"/>
      <c r="AH345" s="144"/>
      <c r="AI345" s="144"/>
      <c r="AJ345" s="144"/>
      <c r="AK345" s="144"/>
      <c r="AL345" s="7"/>
    </row>
    <row r="346" spans="18:38" s="18" customFormat="1">
      <c r="R346" s="7"/>
      <c r="S346" s="7"/>
      <c r="T346" s="7"/>
      <c r="U346" s="7"/>
      <c r="V346" s="7"/>
      <c r="W346" s="7"/>
      <c r="X346" s="7"/>
      <c r="Y346" s="7"/>
      <c r="Z346" s="7"/>
      <c r="AD346" s="92"/>
      <c r="AE346" s="7"/>
      <c r="AF346" s="144"/>
      <c r="AG346" s="144"/>
      <c r="AH346" s="144"/>
      <c r="AI346" s="144"/>
      <c r="AJ346" s="144"/>
      <c r="AK346" s="144"/>
      <c r="AL346" s="7"/>
    </row>
    <row r="347" spans="18:38" s="18" customFormat="1">
      <c r="R347" s="7"/>
      <c r="S347" s="7"/>
      <c r="T347" s="7"/>
      <c r="U347" s="7"/>
      <c r="V347" s="7"/>
      <c r="W347" s="7"/>
      <c r="X347" s="7"/>
      <c r="Y347" s="7"/>
      <c r="Z347" s="7"/>
      <c r="AD347" s="92"/>
      <c r="AE347" s="7"/>
      <c r="AF347" s="144"/>
      <c r="AG347" s="144"/>
      <c r="AH347" s="144"/>
      <c r="AI347" s="144"/>
      <c r="AJ347" s="144"/>
      <c r="AK347" s="144"/>
      <c r="AL347" s="7"/>
    </row>
    <row r="348" spans="18:38" s="18" customFormat="1">
      <c r="R348" s="7"/>
      <c r="S348" s="7"/>
      <c r="T348" s="7"/>
      <c r="U348" s="7"/>
      <c r="V348" s="7"/>
      <c r="W348" s="7"/>
      <c r="X348" s="7"/>
      <c r="Y348" s="7"/>
      <c r="Z348" s="7"/>
      <c r="AD348" s="92"/>
      <c r="AE348" s="7"/>
      <c r="AF348" s="144"/>
      <c r="AG348" s="144"/>
      <c r="AH348" s="144"/>
      <c r="AI348" s="144"/>
      <c r="AJ348" s="144"/>
      <c r="AK348" s="144"/>
      <c r="AL348" s="7"/>
    </row>
    <row r="349" spans="18:38" s="18" customFormat="1">
      <c r="R349" s="7"/>
      <c r="S349" s="7"/>
      <c r="T349" s="7"/>
      <c r="U349" s="7"/>
      <c r="V349" s="7"/>
      <c r="W349" s="7"/>
      <c r="X349" s="7"/>
      <c r="Y349" s="7"/>
      <c r="Z349" s="7"/>
      <c r="AD349" s="92"/>
      <c r="AE349" s="7"/>
      <c r="AF349" s="144"/>
      <c r="AG349" s="144"/>
      <c r="AH349" s="144"/>
      <c r="AI349" s="144"/>
      <c r="AJ349" s="144"/>
      <c r="AK349" s="144"/>
      <c r="AL349" s="7"/>
    </row>
    <row r="350" spans="18:38" s="18" customFormat="1">
      <c r="R350" s="7"/>
      <c r="S350" s="7"/>
      <c r="T350" s="7"/>
      <c r="U350" s="7"/>
      <c r="V350" s="7"/>
      <c r="W350" s="7"/>
      <c r="X350" s="7"/>
      <c r="Y350" s="7"/>
      <c r="Z350" s="7"/>
      <c r="AD350" s="92"/>
      <c r="AE350" s="7"/>
      <c r="AF350" s="144"/>
      <c r="AG350" s="144"/>
      <c r="AH350" s="144"/>
      <c r="AI350" s="144"/>
      <c r="AJ350" s="144"/>
      <c r="AK350" s="144"/>
      <c r="AL350" s="7"/>
    </row>
    <row r="351" spans="18:38" s="18" customFormat="1">
      <c r="R351" s="7"/>
      <c r="S351" s="7"/>
      <c r="T351" s="7"/>
      <c r="U351" s="7"/>
      <c r="V351" s="7"/>
      <c r="W351" s="7"/>
      <c r="X351" s="7"/>
      <c r="Y351" s="7"/>
      <c r="Z351" s="7"/>
      <c r="AD351" s="92"/>
      <c r="AE351" s="7"/>
      <c r="AF351" s="144"/>
      <c r="AG351" s="144"/>
      <c r="AH351" s="144"/>
      <c r="AI351" s="144"/>
      <c r="AJ351" s="144"/>
      <c r="AK351" s="144"/>
      <c r="AL351" s="7"/>
    </row>
    <row r="352" spans="18:38" s="18" customFormat="1">
      <c r="R352" s="7"/>
      <c r="S352" s="7"/>
      <c r="T352" s="7"/>
      <c r="U352" s="7"/>
      <c r="V352" s="7"/>
      <c r="W352" s="7"/>
      <c r="X352" s="7"/>
      <c r="Y352" s="7"/>
      <c r="Z352" s="7"/>
      <c r="AD352" s="92"/>
      <c r="AE352" s="7"/>
      <c r="AF352" s="144"/>
      <c r="AG352" s="144"/>
      <c r="AH352" s="144"/>
      <c r="AI352" s="144"/>
      <c r="AJ352" s="144"/>
      <c r="AK352" s="144"/>
      <c r="AL352" s="7"/>
    </row>
    <row r="353" spans="18:38" s="18" customFormat="1">
      <c r="R353" s="7"/>
      <c r="S353" s="7"/>
      <c r="T353" s="7"/>
      <c r="U353" s="7"/>
      <c r="V353" s="7"/>
      <c r="W353" s="7"/>
      <c r="X353" s="7"/>
      <c r="Y353" s="7"/>
      <c r="Z353" s="7"/>
      <c r="AD353" s="92"/>
      <c r="AE353" s="7"/>
      <c r="AF353" s="144"/>
      <c r="AG353" s="144"/>
      <c r="AH353" s="144"/>
      <c r="AI353" s="144"/>
      <c r="AJ353" s="144"/>
      <c r="AK353" s="144"/>
      <c r="AL353" s="7"/>
    </row>
    <row r="354" spans="18:38" s="18" customFormat="1">
      <c r="R354" s="7"/>
      <c r="S354" s="7"/>
      <c r="T354" s="7"/>
      <c r="U354" s="7"/>
      <c r="V354" s="7"/>
      <c r="W354" s="7"/>
      <c r="X354" s="7"/>
      <c r="Y354" s="7"/>
      <c r="Z354" s="7"/>
      <c r="AD354" s="92"/>
      <c r="AE354" s="7"/>
      <c r="AF354" s="144"/>
      <c r="AG354" s="144"/>
      <c r="AH354" s="144"/>
      <c r="AI354" s="144"/>
      <c r="AJ354" s="144"/>
      <c r="AK354" s="144"/>
      <c r="AL354" s="7"/>
    </row>
    <row r="355" spans="18:38" s="18" customFormat="1">
      <c r="R355" s="7"/>
      <c r="S355" s="7"/>
      <c r="T355" s="7"/>
      <c r="U355" s="7"/>
      <c r="V355" s="7"/>
      <c r="W355" s="7"/>
      <c r="X355" s="7"/>
      <c r="Y355" s="7"/>
      <c r="Z355" s="7"/>
      <c r="AD355" s="92"/>
      <c r="AE355" s="7"/>
      <c r="AF355" s="144"/>
      <c r="AG355" s="144"/>
      <c r="AH355" s="144"/>
      <c r="AI355" s="144"/>
      <c r="AJ355" s="144"/>
      <c r="AK355" s="144"/>
      <c r="AL355" s="7"/>
    </row>
    <row r="356" spans="18:38" s="18" customFormat="1">
      <c r="R356" s="7"/>
      <c r="S356" s="7"/>
      <c r="T356" s="7"/>
      <c r="U356" s="7"/>
      <c r="V356" s="7"/>
      <c r="W356" s="7"/>
      <c r="X356" s="7"/>
      <c r="Y356" s="7"/>
      <c r="Z356" s="7"/>
      <c r="AD356" s="92"/>
      <c r="AE356" s="7"/>
      <c r="AF356" s="144"/>
      <c r="AG356" s="144"/>
      <c r="AH356" s="144"/>
      <c r="AI356" s="144"/>
      <c r="AJ356" s="144"/>
      <c r="AK356" s="144"/>
      <c r="AL356" s="7"/>
    </row>
    <row r="357" spans="18:38" s="18" customFormat="1">
      <c r="R357" s="7"/>
      <c r="S357" s="7"/>
      <c r="T357" s="7"/>
      <c r="U357" s="7"/>
      <c r="V357" s="7"/>
      <c r="W357" s="7"/>
      <c r="X357" s="7"/>
      <c r="Y357" s="7"/>
      <c r="Z357" s="7"/>
      <c r="AD357" s="92"/>
      <c r="AE357" s="7"/>
      <c r="AF357" s="144"/>
      <c r="AG357" s="144"/>
      <c r="AH357" s="144"/>
      <c r="AI357" s="144"/>
      <c r="AJ357" s="144"/>
      <c r="AK357" s="144"/>
      <c r="AL357" s="7"/>
    </row>
    <row r="358" spans="18:38" s="18" customFormat="1">
      <c r="R358" s="7"/>
      <c r="S358" s="7"/>
      <c r="T358" s="7"/>
      <c r="U358" s="7"/>
      <c r="V358" s="7"/>
      <c r="W358" s="7"/>
      <c r="X358" s="7"/>
      <c r="Y358" s="7"/>
      <c r="Z358" s="7"/>
      <c r="AD358" s="92"/>
      <c r="AE358" s="7"/>
      <c r="AF358" s="144"/>
      <c r="AG358" s="144"/>
      <c r="AH358" s="144"/>
      <c r="AI358" s="144"/>
      <c r="AJ358" s="144"/>
      <c r="AK358" s="144"/>
      <c r="AL358" s="7"/>
    </row>
    <row r="359" spans="18:38" s="18" customFormat="1">
      <c r="R359" s="7"/>
      <c r="S359" s="7"/>
      <c r="T359" s="7"/>
      <c r="U359" s="7"/>
      <c r="V359" s="7"/>
      <c r="W359" s="7"/>
      <c r="X359" s="7"/>
      <c r="Y359" s="7"/>
      <c r="Z359" s="7"/>
      <c r="AD359" s="92"/>
      <c r="AE359" s="7"/>
      <c r="AF359" s="144"/>
      <c r="AG359" s="144"/>
      <c r="AH359" s="144"/>
      <c r="AI359" s="144"/>
      <c r="AJ359" s="144"/>
      <c r="AK359" s="144"/>
      <c r="AL359" s="7"/>
    </row>
    <row r="360" spans="18:38" s="18" customFormat="1">
      <c r="R360" s="7"/>
      <c r="S360" s="7"/>
      <c r="T360" s="7"/>
      <c r="U360" s="7"/>
      <c r="V360" s="7"/>
      <c r="W360" s="7"/>
      <c r="X360" s="7"/>
      <c r="Y360" s="7"/>
      <c r="Z360" s="7"/>
      <c r="AD360" s="92"/>
      <c r="AE360" s="7"/>
      <c r="AF360" s="144"/>
      <c r="AG360" s="144"/>
      <c r="AH360" s="144"/>
      <c r="AI360" s="144"/>
      <c r="AJ360" s="144"/>
      <c r="AK360" s="144"/>
      <c r="AL360" s="7"/>
    </row>
    <row r="361" spans="18:38" s="18" customFormat="1">
      <c r="R361" s="7"/>
      <c r="S361" s="7"/>
      <c r="T361" s="7"/>
      <c r="U361" s="7"/>
      <c r="V361" s="7"/>
      <c r="W361" s="7"/>
      <c r="X361" s="7"/>
      <c r="Y361" s="7"/>
      <c r="Z361" s="7"/>
      <c r="AD361" s="92"/>
      <c r="AE361" s="7"/>
      <c r="AF361" s="144"/>
      <c r="AG361" s="144"/>
      <c r="AH361" s="144"/>
      <c r="AI361" s="144"/>
      <c r="AJ361" s="144"/>
      <c r="AK361" s="144"/>
      <c r="AL361" s="7"/>
    </row>
    <row r="362" spans="18:38" s="18" customFormat="1">
      <c r="R362" s="7"/>
      <c r="S362" s="7"/>
      <c r="T362" s="7"/>
      <c r="U362" s="7"/>
      <c r="V362" s="7"/>
      <c r="W362" s="7"/>
      <c r="X362" s="7"/>
      <c r="Y362" s="7"/>
      <c r="Z362" s="7"/>
      <c r="AD362" s="92"/>
      <c r="AE362" s="7"/>
      <c r="AF362" s="144"/>
      <c r="AG362" s="144"/>
      <c r="AH362" s="144"/>
      <c r="AI362" s="144"/>
      <c r="AJ362" s="144"/>
      <c r="AK362" s="144"/>
      <c r="AL362" s="7"/>
    </row>
    <row r="363" spans="18:38" s="18" customFormat="1">
      <c r="R363" s="7"/>
      <c r="S363" s="7"/>
      <c r="T363" s="7"/>
      <c r="U363" s="7"/>
      <c r="V363" s="7"/>
      <c r="W363" s="7"/>
      <c r="X363" s="7"/>
      <c r="Y363" s="7"/>
      <c r="Z363" s="7"/>
      <c r="AD363" s="92"/>
      <c r="AE363" s="7"/>
      <c r="AF363" s="144"/>
      <c r="AG363" s="144"/>
      <c r="AH363" s="144"/>
      <c r="AI363" s="144"/>
      <c r="AJ363" s="144"/>
      <c r="AK363" s="144"/>
      <c r="AL363" s="7"/>
    </row>
    <row r="364" spans="18:38" s="18" customFormat="1">
      <c r="R364" s="7"/>
      <c r="S364" s="7"/>
      <c r="T364" s="7"/>
      <c r="U364" s="7"/>
      <c r="V364" s="7"/>
      <c r="W364" s="7"/>
      <c r="X364" s="7"/>
      <c r="Y364" s="7"/>
      <c r="Z364" s="7"/>
      <c r="AD364" s="92"/>
      <c r="AE364" s="7"/>
      <c r="AF364" s="144"/>
      <c r="AG364" s="144"/>
      <c r="AH364" s="144"/>
      <c r="AI364" s="144"/>
      <c r="AJ364" s="144"/>
      <c r="AK364" s="144"/>
      <c r="AL364" s="7"/>
    </row>
    <row r="365" spans="18:38" s="18" customFormat="1">
      <c r="R365" s="7"/>
      <c r="S365" s="7"/>
      <c r="T365" s="7"/>
      <c r="U365" s="7"/>
      <c r="V365" s="7"/>
      <c r="W365" s="7"/>
      <c r="X365" s="7"/>
      <c r="Y365" s="7"/>
      <c r="Z365" s="7"/>
      <c r="AD365" s="92"/>
      <c r="AE365" s="7"/>
      <c r="AF365" s="144"/>
      <c r="AG365" s="144"/>
      <c r="AH365" s="144"/>
      <c r="AI365" s="144"/>
      <c r="AJ365" s="144"/>
      <c r="AK365" s="144"/>
      <c r="AL365" s="7"/>
    </row>
    <row r="366" spans="18:38" s="18" customFormat="1">
      <c r="R366" s="7"/>
      <c r="S366" s="7"/>
      <c r="T366" s="7"/>
      <c r="U366" s="7"/>
      <c r="V366" s="7"/>
      <c r="W366" s="7"/>
      <c r="X366" s="7"/>
      <c r="Y366" s="7"/>
      <c r="Z366" s="7"/>
      <c r="AD366" s="92"/>
      <c r="AE366" s="7"/>
      <c r="AF366" s="144"/>
      <c r="AG366" s="144"/>
      <c r="AH366" s="144"/>
      <c r="AI366" s="144"/>
      <c r="AJ366" s="144"/>
      <c r="AK366" s="144"/>
      <c r="AL366" s="7"/>
    </row>
    <row r="367" spans="18:38" s="18" customFormat="1">
      <c r="R367" s="7"/>
      <c r="S367" s="7"/>
      <c r="T367" s="7"/>
      <c r="U367" s="7"/>
      <c r="V367" s="7"/>
      <c r="W367" s="7"/>
      <c r="X367" s="7"/>
      <c r="Y367" s="7"/>
      <c r="Z367" s="7"/>
      <c r="AD367" s="92"/>
      <c r="AE367" s="7"/>
      <c r="AF367" s="144"/>
      <c r="AG367" s="144"/>
      <c r="AH367" s="144"/>
      <c r="AI367" s="144"/>
      <c r="AJ367" s="144"/>
      <c r="AK367" s="144"/>
      <c r="AL367" s="7"/>
    </row>
    <row r="368" spans="18:38" s="18" customFormat="1">
      <c r="R368" s="7"/>
      <c r="S368" s="7"/>
      <c r="T368" s="7"/>
      <c r="U368" s="7"/>
      <c r="V368" s="7"/>
      <c r="W368" s="7"/>
      <c r="X368" s="7"/>
      <c r="Y368" s="7"/>
      <c r="Z368" s="7"/>
      <c r="AD368" s="92"/>
      <c r="AE368" s="7"/>
      <c r="AF368" s="144"/>
      <c r="AG368" s="144"/>
      <c r="AH368" s="144"/>
      <c r="AI368" s="144"/>
      <c r="AJ368" s="144"/>
      <c r="AK368" s="144"/>
      <c r="AL368" s="7"/>
    </row>
    <row r="369" spans="18:38" s="18" customFormat="1">
      <c r="R369" s="7"/>
      <c r="S369" s="7"/>
      <c r="T369" s="7"/>
      <c r="U369" s="7"/>
      <c r="V369" s="7"/>
      <c r="W369" s="7"/>
      <c r="X369" s="7"/>
      <c r="Y369" s="7"/>
      <c r="Z369" s="7"/>
      <c r="AD369" s="92"/>
      <c r="AE369" s="7"/>
      <c r="AF369" s="144"/>
      <c r="AG369" s="144"/>
      <c r="AH369" s="144"/>
      <c r="AI369" s="144"/>
      <c r="AJ369" s="144"/>
      <c r="AK369" s="144"/>
      <c r="AL369" s="7"/>
    </row>
    <row r="370" spans="18:38" s="18" customFormat="1">
      <c r="R370" s="7"/>
      <c r="S370" s="7"/>
      <c r="T370" s="7"/>
      <c r="U370" s="7"/>
      <c r="V370" s="7"/>
      <c r="W370" s="7"/>
      <c r="X370" s="7"/>
      <c r="Y370" s="7"/>
      <c r="Z370" s="7"/>
      <c r="AD370" s="92"/>
      <c r="AE370" s="7"/>
      <c r="AF370" s="144"/>
      <c r="AG370" s="144"/>
      <c r="AH370" s="144"/>
      <c r="AI370" s="144"/>
      <c r="AJ370" s="144"/>
      <c r="AK370" s="144"/>
      <c r="AL370" s="7"/>
    </row>
    <row r="371" spans="18:38" s="18" customFormat="1">
      <c r="R371" s="7"/>
      <c r="S371" s="7"/>
      <c r="T371" s="7"/>
      <c r="U371" s="7"/>
      <c r="V371" s="7"/>
      <c r="W371" s="7"/>
      <c r="X371" s="7"/>
      <c r="Y371" s="7"/>
      <c r="Z371" s="7"/>
      <c r="AD371" s="92"/>
      <c r="AE371" s="7"/>
      <c r="AF371" s="144"/>
      <c r="AG371" s="144"/>
      <c r="AH371" s="144"/>
      <c r="AI371" s="144"/>
      <c r="AJ371" s="144"/>
      <c r="AK371" s="144"/>
      <c r="AL371" s="7"/>
    </row>
    <row r="372" spans="18:38" s="18" customFormat="1">
      <c r="R372" s="7"/>
      <c r="S372" s="7"/>
      <c r="T372" s="7"/>
      <c r="U372" s="7"/>
      <c r="V372" s="7"/>
      <c r="W372" s="7"/>
      <c r="X372" s="7"/>
      <c r="Y372" s="7"/>
      <c r="Z372" s="7"/>
      <c r="AD372" s="92"/>
      <c r="AE372" s="7"/>
      <c r="AF372" s="144"/>
      <c r="AG372" s="144"/>
      <c r="AH372" s="144"/>
      <c r="AI372" s="144"/>
      <c r="AJ372" s="144"/>
      <c r="AK372" s="144"/>
      <c r="AL372" s="7"/>
    </row>
    <row r="373" spans="18:38" s="18" customFormat="1">
      <c r="R373" s="7"/>
      <c r="S373" s="7"/>
      <c r="T373" s="7"/>
      <c r="U373" s="7"/>
      <c r="V373" s="7"/>
      <c r="W373" s="7"/>
      <c r="X373" s="7"/>
      <c r="Y373" s="7"/>
      <c r="Z373" s="7"/>
      <c r="AD373" s="92"/>
      <c r="AE373" s="7"/>
      <c r="AF373" s="144"/>
      <c r="AG373" s="144"/>
      <c r="AH373" s="144"/>
      <c r="AI373" s="144"/>
      <c r="AJ373" s="144"/>
      <c r="AK373" s="144"/>
      <c r="AL373" s="7"/>
    </row>
    <row r="374" spans="18:38" s="18" customFormat="1">
      <c r="R374" s="7"/>
      <c r="S374" s="7"/>
      <c r="T374" s="7"/>
      <c r="U374" s="7"/>
      <c r="V374" s="7"/>
      <c r="W374" s="7"/>
      <c r="X374" s="7"/>
      <c r="Y374" s="7"/>
      <c r="Z374" s="7"/>
      <c r="AD374" s="92"/>
      <c r="AE374" s="7"/>
      <c r="AF374" s="144"/>
      <c r="AG374" s="144"/>
      <c r="AH374" s="144"/>
      <c r="AI374" s="144"/>
      <c r="AJ374" s="144"/>
      <c r="AK374" s="144"/>
      <c r="AL374" s="7"/>
    </row>
    <row r="375" spans="18:38" s="18" customFormat="1">
      <c r="R375" s="7"/>
      <c r="S375" s="7"/>
      <c r="T375" s="7"/>
      <c r="U375" s="7"/>
      <c r="V375" s="7"/>
      <c r="W375" s="7"/>
      <c r="X375" s="7"/>
      <c r="Y375" s="7"/>
      <c r="Z375" s="7"/>
      <c r="AD375" s="92"/>
      <c r="AE375" s="7"/>
      <c r="AF375" s="144"/>
      <c r="AG375" s="144"/>
      <c r="AH375" s="144"/>
      <c r="AI375" s="144"/>
      <c r="AJ375" s="144"/>
      <c r="AK375" s="144"/>
      <c r="AL375" s="7"/>
    </row>
    <row r="376" spans="18:38" s="18" customFormat="1">
      <c r="R376" s="7"/>
      <c r="S376" s="7"/>
      <c r="T376" s="7"/>
      <c r="U376" s="7"/>
      <c r="V376" s="7"/>
      <c r="W376" s="7"/>
      <c r="X376" s="7"/>
      <c r="Y376" s="7"/>
      <c r="Z376" s="7"/>
      <c r="AD376" s="92"/>
      <c r="AE376" s="7"/>
      <c r="AF376" s="144"/>
      <c r="AG376" s="144"/>
      <c r="AH376" s="144"/>
      <c r="AI376" s="144"/>
      <c r="AJ376" s="144"/>
      <c r="AK376" s="144"/>
      <c r="AL376" s="7"/>
    </row>
    <row r="377" spans="18:38" s="18" customFormat="1">
      <c r="R377" s="7"/>
      <c r="S377" s="7"/>
      <c r="T377" s="7"/>
      <c r="U377" s="7"/>
      <c r="V377" s="7"/>
      <c r="W377" s="7"/>
      <c r="X377" s="7"/>
      <c r="Y377" s="7"/>
      <c r="Z377" s="7"/>
      <c r="AD377" s="92"/>
      <c r="AE377" s="7"/>
      <c r="AF377" s="144"/>
      <c r="AG377" s="144"/>
      <c r="AH377" s="144"/>
      <c r="AI377" s="144"/>
      <c r="AJ377" s="144"/>
      <c r="AK377" s="144"/>
      <c r="AL377" s="7"/>
    </row>
    <row r="378" spans="18:38" s="18" customFormat="1">
      <c r="R378" s="7"/>
      <c r="S378" s="7"/>
      <c r="T378" s="7"/>
      <c r="U378" s="7"/>
      <c r="V378" s="7"/>
      <c r="W378" s="7"/>
      <c r="X378" s="7"/>
      <c r="Y378" s="7"/>
      <c r="Z378" s="7"/>
      <c r="AD378" s="92"/>
      <c r="AE378" s="7"/>
      <c r="AF378" s="144"/>
      <c r="AG378" s="144"/>
      <c r="AH378" s="144"/>
      <c r="AI378" s="144"/>
      <c r="AJ378" s="144"/>
      <c r="AK378" s="144"/>
      <c r="AL378" s="7"/>
    </row>
    <row r="379" spans="18:38" s="18" customFormat="1">
      <c r="R379" s="7"/>
      <c r="S379" s="7"/>
      <c r="T379" s="7"/>
      <c r="U379" s="7"/>
      <c r="V379" s="7"/>
      <c r="W379" s="7"/>
      <c r="X379" s="7"/>
      <c r="Y379" s="7"/>
      <c r="Z379" s="7"/>
      <c r="AD379" s="92"/>
      <c r="AE379" s="7"/>
      <c r="AF379" s="144"/>
      <c r="AG379" s="144"/>
      <c r="AH379" s="144"/>
      <c r="AI379" s="144"/>
      <c r="AJ379" s="144"/>
      <c r="AK379" s="144"/>
      <c r="AL379" s="7"/>
    </row>
    <row r="380" spans="18:38" s="18" customFormat="1">
      <c r="R380" s="7"/>
      <c r="S380" s="7"/>
      <c r="T380" s="7"/>
      <c r="U380" s="7"/>
      <c r="V380" s="7"/>
      <c r="W380" s="7"/>
      <c r="X380" s="7"/>
      <c r="Y380" s="7"/>
      <c r="Z380" s="7"/>
      <c r="AD380" s="92"/>
      <c r="AE380" s="7"/>
      <c r="AF380" s="144"/>
      <c r="AG380" s="144"/>
      <c r="AH380" s="144"/>
      <c r="AI380" s="144"/>
      <c r="AJ380" s="144"/>
      <c r="AK380" s="144"/>
      <c r="AL380" s="7"/>
    </row>
    <row r="381" spans="18:38" s="18" customFormat="1">
      <c r="R381" s="7"/>
      <c r="S381" s="7"/>
      <c r="T381" s="7"/>
      <c r="U381" s="7"/>
      <c r="V381" s="7"/>
      <c r="W381" s="7"/>
      <c r="X381" s="7"/>
      <c r="Y381" s="7"/>
      <c r="Z381" s="7"/>
      <c r="AD381" s="92"/>
      <c r="AE381" s="7"/>
      <c r="AF381" s="144"/>
      <c r="AG381" s="144"/>
      <c r="AH381" s="144"/>
      <c r="AI381" s="144"/>
      <c r="AJ381" s="144"/>
      <c r="AK381" s="144"/>
      <c r="AL381" s="7"/>
    </row>
    <row r="382" spans="18:38" s="18" customFormat="1">
      <c r="R382" s="7"/>
      <c r="S382" s="7"/>
      <c r="T382" s="7"/>
      <c r="U382" s="7"/>
      <c r="V382" s="7"/>
      <c r="W382" s="7"/>
      <c r="X382" s="7"/>
      <c r="Y382" s="7"/>
      <c r="Z382" s="7"/>
      <c r="AD382" s="92"/>
      <c r="AE382" s="7"/>
      <c r="AF382" s="144"/>
      <c r="AG382" s="144"/>
      <c r="AH382" s="144"/>
      <c r="AI382" s="144"/>
      <c r="AJ382" s="144"/>
      <c r="AK382" s="144"/>
      <c r="AL382" s="7"/>
    </row>
    <row r="383" spans="18:38" s="18" customFormat="1">
      <c r="R383" s="7"/>
      <c r="S383" s="7"/>
      <c r="T383" s="7"/>
      <c r="U383" s="7"/>
      <c r="V383" s="7"/>
      <c r="W383" s="7"/>
      <c r="X383" s="7"/>
      <c r="Y383" s="7"/>
      <c r="Z383" s="7"/>
      <c r="AD383" s="92"/>
      <c r="AE383" s="7"/>
      <c r="AF383" s="144"/>
      <c r="AG383" s="144"/>
      <c r="AH383" s="144"/>
      <c r="AI383" s="144"/>
      <c r="AJ383" s="144"/>
      <c r="AK383" s="144"/>
      <c r="AL383" s="7"/>
    </row>
    <row r="384" spans="18:38" s="18" customFormat="1">
      <c r="R384" s="7"/>
      <c r="S384" s="7"/>
      <c r="T384" s="7"/>
      <c r="U384" s="7"/>
      <c r="V384" s="7"/>
      <c r="W384" s="7"/>
      <c r="X384" s="7"/>
      <c r="Y384" s="7"/>
      <c r="Z384" s="7"/>
      <c r="AD384" s="92"/>
      <c r="AE384" s="7"/>
      <c r="AF384" s="144"/>
      <c r="AG384" s="144"/>
      <c r="AH384" s="144"/>
      <c r="AI384" s="144"/>
      <c r="AJ384" s="144"/>
      <c r="AK384" s="144"/>
      <c r="AL384" s="7"/>
    </row>
    <row r="385" spans="18:38" s="18" customFormat="1">
      <c r="R385" s="7"/>
      <c r="S385" s="7"/>
      <c r="T385" s="7"/>
      <c r="U385" s="7"/>
      <c r="V385" s="7"/>
      <c r="W385" s="7"/>
      <c r="X385" s="7"/>
      <c r="Y385" s="7"/>
      <c r="Z385" s="7"/>
      <c r="AD385" s="92"/>
      <c r="AE385" s="7"/>
      <c r="AF385" s="144"/>
      <c r="AG385" s="144"/>
      <c r="AH385" s="144"/>
      <c r="AI385" s="144"/>
      <c r="AJ385" s="144"/>
      <c r="AK385" s="144"/>
      <c r="AL385" s="7"/>
    </row>
    <row r="386" spans="18:38" s="18" customFormat="1">
      <c r="R386" s="7"/>
      <c r="S386" s="7"/>
      <c r="T386" s="7"/>
      <c r="U386" s="7"/>
      <c r="V386" s="7"/>
      <c r="W386" s="7"/>
      <c r="X386" s="7"/>
      <c r="Y386" s="7"/>
      <c r="Z386" s="7"/>
      <c r="AD386" s="92"/>
      <c r="AE386" s="7"/>
      <c r="AF386" s="144"/>
      <c r="AG386" s="144"/>
      <c r="AH386" s="144"/>
      <c r="AI386" s="144"/>
      <c r="AJ386" s="144"/>
      <c r="AK386" s="144"/>
      <c r="AL386" s="7"/>
    </row>
    <row r="387" spans="18:38" s="18" customFormat="1">
      <c r="R387" s="7"/>
      <c r="S387" s="7"/>
      <c r="T387" s="7"/>
      <c r="U387" s="7"/>
      <c r="V387" s="7"/>
      <c r="W387" s="7"/>
      <c r="X387" s="7"/>
      <c r="Y387" s="7"/>
      <c r="Z387" s="7"/>
      <c r="AD387" s="92"/>
      <c r="AE387" s="7"/>
      <c r="AF387" s="144"/>
      <c r="AG387" s="144"/>
      <c r="AH387" s="144"/>
      <c r="AI387" s="144"/>
      <c r="AJ387" s="144"/>
      <c r="AK387" s="144"/>
      <c r="AL387" s="7"/>
    </row>
    <row r="388" spans="18:38" s="18" customFormat="1">
      <c r="R388" s="7"/>
      <c r="S388" s="7"/>
      <c r="T388" s="7"/>
      <c r="U388" s="7"/>
      <c r="V388" s="7"/>
      <c r="W388" s="7"/>
      <c r="X388" s="7"/>
      <c r="Y388" s="7"/>
      <c r="Z388" s="7"/>
      <c r="AD388" s="92"/>
      <c r="AE388" s="7"/>
      <c r="AF388" s="144"/>
      <c r="AG388" s="144"/>
      <c r="AH388" s="144"/>
      <c r="AI388" s="144"/>
      <c r="AJ388" s="144"/>
      <c r="AK388" s="144"/>
      <c r="AL388" s="7"/>
    </row>
    <row r="389" spans="18:38" s="18" customFormat="1">
      <c r="R389" s="7"/>
      <c r="S389" s="7"/>
      <c r="T389" s="7"/>
      <c r="U389" s="7"/>
      <c r="V389" s="7"/>
      <c r="W389" s="7"/>
      <c r="X389" s="7"/>
      <c r="Y389" s="7"/>
      <c r="Z389" s="7"/>
      <c r="AD389" s="92"/>
      <c r="AE389" s="7"/>
      <c r="AF389" s="144"/>
      <c r="AG389" s="144"/>
      <c r="AH389" s="144"/>
      <c r="AI389" s="144"/>
      <c r="AJ389" s="144"/>
      <c r="AK389" s="144"/>
      <c r="AL389" s="7"/>
    </row>
    <row r="390" spans="18:38" s="18" customFormat="1">
      <c r="R390" s="7"/>
      <c r="S390" s="7"/>
      <c r="T390" s="7"/>
      <c r="U390" s="7"/>
      <c r="V390" s="7"/>
      <c r="W390" s="7"/>
      <c r="X390" s="7"/>
      <c r="Y390" s="7"/>
      <c r="Z390" s="7"/>
      <c r="AD390" s="92"/>
      <c r="AE390" s="7"/>
      <c r="AF390" s="144"/>
      <c r="AG390" s="144"/>
      <c r="AH390" s="144"/>
      <c r="AI390" s="144"/>
      <c r="AJ390" s="144"/>
      <c r="AK390" s="144"/>
      <c r="AL390" s="7"/>
    </row>
    <row r="391" spans="18:38" s="18" customFormat="1">
      <c r="R391" s="7"/>
      <c r="S391" s="7"/>
      <c r="T391" s="7"/>
      <c r="U391" s="7"/>
      <c r="V391" s="7"/>
      <c r="W391" s="7"/>
      <c r="X391" s="7"/>
      <c r="Y391" s="7"/>
      <c r="Z391" s="7"/>
      <c r="AD391" s="92"/>
      <c r="AE391" s="7"/>
      <c r="AF391" s="144"/>
      <c r="AG391" s="144"/>
      <c r="AH391" s="144"/>
      <c r="AI391" s="144"/>
      <c r="AJ391" s="144"/>
      <c r="AK391" s="144"/>
      <c r="AL391" s="7"/>
    </row>
    <row r="392" spans="18:38" s="18" customFormat="1">
      <c r="R392" s="7"/>
      <c r="S392" s="7"/>
      <c r="T392" s="7"/>
      <c r="U392" s="7"/>
      <c r="V392" s="7"/>
      <c r="W392" s="7"/>
      <c r="X392" s="7"/>
      <c r="Y392" s="7"/>
      <c r="Z392" s="7"/>
      <c r="AD392" s="92"/>
      <c r="AE392" s="7"/>
      <c r="AF392" s="144"/>
      <c r="AG392" s="144"/>
      <c r="AH392" s="144"/>
      <c r="AI392" s="144"/>
      <c r="AJ392" s="144"/>
      <c r="AK392" s="144"/>
      <c r="AL392" s="7"/>
    </row>
    <row r="393" spans="18:38" s="18" customFormat="1">
      <c r="R393" s="7"/>
      <c r="S393" s="7"/>
      <c r="T393" s="7"/>
      <c r="U393" s="7"/>
      <c r="V393" s="7"/>
      <c r="W393" s="7"/>
      <c r="X393" s="7"/>
      <c r="Y393" s="7"/>
      <c r="Z393" s="7"/>
      <c r="AD393" s="92"/>
      <c r="AE393" s="7"/>
      <c r="AF393" s="144"/>
      <c r="AG393" s="144"/>
      <c r="AH393" s="144"/>
      <c r="AI393" s="144"/>
      <c r="AJ393" s="144"/>
      <c r="AK393" s="144"/>
      <c r="AL393" s="7"/>
    </row>
    <row r="394" spans="18:38" s="18" customFormat="1">
      <c r="R394" s="7"/>
      <c r="S394" s="7"/>
      <c r="T394" s="7"/>
      <c r="U394" s="7"/>
      <c r="V394" s="7"/>
      <c r="W394" s="7"/>
      <c r="X394" s="7"/>
      <c r="Y394" s="7"/>
      <c r="Z394" s="7"/>
      <c r="AD394" s="92"/>
      <c r="AE394" s="7"/>
      <c r="AF394" s="144"/>
      <c r="AG394" s="144"/>
      <c r="AH394" s="144"/>
      <c r="AI394" s="144"/>
      <c r="AJ394" s="144"/>
      <c r="AK394" s="144"/>
      <c r="AL394" s="7"/>
    </row>
    <row r="395" spans="18:38" s="18" customFormat="1">
      <c r="R395" s="7"/>
      <c r="S395" s="7"/>
      <c r="T395" s="7"/>
      <c r="U395" s="7"/>
      <c r="V395" s="7"/>
      <c r="W395" s="7"/>
      <c r="X395" s="7"/>
      <c r="Y395" s="7"/>
      <c r="Z395" s="7"/>
      <c r="AD395" s="92"/>
      <c r="AE395" s="7"/>
      <c r="AF395" s="144"/>
      <c r="AG395" s="144"/>
      <c r="AH395" s="144"/>
      <c r="AI395" s="144"/>
      <c r="AJ395" s="144"/>
      <c r="AK395" s="144"/>
      <c r="AL395" s="7"/>
    </row>
    <row r="396" spans="18:38" s="18" customFormat="1">
      <c r="R396" s="7"/>
      <c r="S396" s="7"/>
      <c r="T396" s="7"/>
      <c r="U396" s="7"/>
      <c r="V396" s="7"/>
      <c r="W396" s="7"/>
      <c r="X396" s="7"/>
      <c r="Y396" s="7"/>
      <c r="Z396" s="7"/>
      <c r="AD396" s="92"/>
      <c r="AE396" s="7"/>
      <c r="AF396" s="144"/>
      <c r="AG396" s="144"/>
      <c r="AH396" s="144"/>
      <c r="AI396" s="144"/>
      <c r="AJ396" s="144"/>
      <c r="AK396" s="144"/>
      <c r="AL396" s="7"/>
    </row>
    <row r="397" spans="18:38" s="18" customFormat="1">
      <c r="R397" s="7"/>
      <c r="S397" s="7"/>
      <c r="T397" s="7"/>
      <c r="U397" s="7"/>
      <c r="V397" s="7"/>
      <c r="W397" s="7"/>
      <c r="X397" s="7"/>
      <c r="Y397" s="7"/>
      <c r="Z397" s="7"/>
      <c r="AD397" s="92"/>
      <c r="AE397" s="7"/>
      <c r="AF397" s="144"/>
      <c r="AG397" s="144"/>
      <c r="AH397" s="144"/>
      <c r="AI397" s="144"/>
      <c r="AJ397" s="144"/>
      <c r="AK397" s="144"/>
      <c r="AL397" s="7"/>
    </row>
    <row r="398" spans="18:38" s="18" customFormat="1">
      <c r="R398" s="7"/>
      <c r="S398" s="7"/>
      <c r="T398" s="7"/>
      <c r="U398" s="7"/>
      <c r="V398" s="7"/>
      <c r="W398" s="7"/>
      <c r="X398" s="7"/>
      <c r="Y398" s="7"/>
      <c r="Z398" s="7"/>
      <c r="AD398" s="92"/>
      <c r="AE398" s="7"/>
      <c r="AF398" s="144"/>
      <c r="AG398" s="144"/>
      <c r="AH398" s="144"/>
      <c r="AI398" s="144"/>
      <c r="AJ398" s="144"/>
      <c r="AK398" s="144"/>
      <c r="AL398" s="7"/>
    </row>
    <row r="399" spans="18:38" s="18" customFormat="1">
      <c r="R399" s="7"/>
      <c r="S399" s="7"/>
      <c r="T399" s="7"/>
      <c r="U399" s="7"/>
      <c r="V399" s="7"/>
      <c r="W399" s="7"/>
      <c r="X399" s="7"/>
      <c r="Y399" s="7"/>
      <c r="Z399" s="7"/>
      <c r="AD399" s="92"/>
      <c r="AE399" s="7"/>
      <c r="AF399" s="144"/>
      <c r="AG399" s="144"/>
      <c r="AH399" s="144"/>
      <c r="AI399" s="144"/>
      <c r="AJ399" s="144"/>
      <c r="AK399" s="144"/>
      <c r="AL399" s="7"/>
    </row>
    <row r="400" spans="18:38" s="18" customFormat="1">
      <c r="R400" s="7"/>
      <c r="S400" s="7"/>
      <c r="T400" s="7"/>
      <c r="U400" s="7"/>
      <c r="V400" s="7"/>
      <c r="W400" s="7"/>
      <c r="X400" s="7"/>
      <c r="Y400" s="7"/>
      <c r="Z400" s="7"/>
      <c r="AD400" s="92"/>
      <c r="AE400" s="7"/>
      <c r="AF400" s="144"/>
      <c r="AG400" s="144"/>
      <c r="AH400" s="144"/>
      <c r="AI400" s="144"/>
      <c r="AJ400" s="144"/>
      <c r="AK400" s="144"/>
      <c r="AL400" s="7"/>
    </row>
    <row r="401" spans="18:38" s="18" customFormat="1">
      <c r="R401" s="7"/>
      <c r="S401" s="7"/>
      <c r="T401" s="7"/>
      <c r="U401" s="7"/>
      <c r="V401" s="7"/>
      <c r="W401" s="7"/>
      <c r="X401" s="7"/>
      <c r="Y401" s="7"/>
      <c r="Z401" s="7"/>
      <c r="AD401" s="92"/>
      <c r="AE401" s="7"/>
      <c r="AF401" s="144"/>
      <c r="AG401" s="144"/>
      <c r="AH401" s="144"/>
      <c r="AI401" s="144"/>
      <c r="AJ401" s="144"/>
      <c r="AK401" s="144"/>
      <c r="AL401" s="7"/>
    </row>
    <row r="402" spans="18:38" s="18" customFormat="1">
      <c r="R402" s="7"/>
      <c r="S402" s="7"/>
      <c r="T402" s="7"/>
      <c r="U402" s="7"/>
      <c r="V402" s="7"/>
      <c r="W402" s="7"/>
      <c r="X402" s="7"/>
      <c r="Y402" s="7"/>
      <c r="Z402" s="7"/>
      <c r="AD402" s="92"/>
      <c r="AE402" s="7"/>
      <c r="AF402" s="144"/>
      <c r="AG402" s="144"/>
      <c r="AH402" s="144"/>
      <c r="AI402" s="144"/>
      <c r="AJ402" s="144"/>
      <c r="AK402" s="144"/>
      <c r="AL402" s="7"/>
    </row>
    <row r="403" spans="18:38" s="18" customFormat="1">
      <c r="R403" s="7"/>
      <c r="S403" s="7"/>
      <c r="T403" s="7"/>
      <c r="U403" s="7"/>
      <c r="V403" s="7"/>
      <c r="W403" s="7"/>
      <c r="X403" s="7"/>
      <c r="Y403" s="7"/>
      <c r="Z403" s="7"/>
      <c r="AD403" s="92"/>
      <c r="AE403" s="7"/>
      <c r="AF403" s="144"/>
      <c r="AG403" s="144"/>
      <c r="AH403" s="144"/>
      <c r="AI403" s="144"/>
      <c r="AJ403" s="144"/>
      <c r="AK403" s="144"/>
      <c r="AL403" s="7"/>
    </row>
    <row r="404" spans="18:38" s="18" customFormat="1">
      <c r="R404" s="7"/>
      <c r="S404" s="7"/>
      <c r="T404" s="7"/>
      <c r="U404" s="7"/>
      <c r="V404" s="7"/>
      <c r="W404" s="7"/>
      <c r="X404" s="7"/>
      <c r="Y404" s="7"/>
      <c r="Z404" s="7"/>
      <c r="AD404" s="92"/>
      <c r="AE404" s="7"/>
      <c r="AF404" s="144"/>
      <c r="AG404" s="144"/>
      <c r="AH404" s="144"/>
      <c r="AI404" s="144"/>
      <c r="AJ404" s="144"/>
      <c r="AK404" s="144"/>
      <c r="AL404" s="7"/>
    </row>
    <row r="405" spans="18:38" s="18" customFormat="1">
      <c r="R405" s="7"/>
      <c r="S405" s="7"/>
      <c r="T405" s="7"/>
      <c r="U405" s="7"/>
      <c r="V405" s="7"/>
      <c r="W405" s="7"/>
      <c r="X405" s="7"/>
      <c r="Y405" s="7"/>
      <c r="Z405" s="7"/>
      <c r="AD405" s="92"/>
      <c r="AE405" s="7"/>
      <c r="AF405" s="144"/>
      <c r="AG405" s="144"/>
      <c r="AH405" s="144"/>
      <c r="AI405" s="144"/>
      <c r="AJ405" s="144"/>
      <c r="AK405" s="144"/>
      <c r="AL405" s="7"/>
    </row>
    <row r="406" spans="18:38" s="18" customFormat="1">
      <c r="R406" s="7"/>
      <c r="S406" s="7"/>
      <c r="T406" s="7"/>
      <c r="U406" s="7"/>
      <c r="V406" s="7"/>
      <c r="W406" s="7"/>
      <c r="X406" s="7"/>
      <c r="Y406" s="7"/>
      <c r="Z406" s="7"/>
      <c r="AD406" s="92"/>
      <c r="AE406" s="7"/>
      <c r="AF406" s="144"/>
      <c r="AG406" s="144"/>
      <c r="AH406" s="144"/>
      <c r="AI406" s="144"/>
      <c r="AJ406" s="144"/>
      <c r="AK406" s="144"/>
      <c r="AL406" s="7"/>
    </row>
    <row r="407" spans="18:38" s="18" customFormat="1">
      <c r="R407" s="7"/>
      <c r="S407" s="7"/>
      <c r="T407" s="7"/>
      <c r="U407" s="7"/>
      <c r="V407" s="7"/>
      <c r="W407" s="7"/>
      <c r="X407" s="7"/>
      <c r="Y407" s="7"/>
      <c r="Z407" s="7"/>
      <c r="AD407" s="92"/>
      <c r="AE407" s="7"/>
      <c r="AF407" s="144"/>
      <c r="AG407" s="144"/>
      <c r="AH407" s="144"/>
      <c r="AI407" s="144"/>
      <c r="AJ407" s="144"/>
      <c r="AK407" s="144"/>
      <c r="AL407" s="7"/>
    </row>
    <row r="408" spans="18:38" s="18" customFormat="1">
      <c r="R408" s="7"/>
      <c r="S408" s="7"/>
      <c r="T408" s="7"/>
      <c r="U408" s="7"/>
      <c r="V408" s="7"/>
      <c r="W408" s="7"/>
      <c r="X408" s="7"/>
      <c r="Y408" s="7"/>
      <c r="Z408" s="7"/>
      <c r="AD408" s="92"/>
      <c r="AE408" s="7"/>
      <c r="AF408" s="144"/>
      <c r="AG408" s="144"/>
      <c r="AH408" s="144"/>
      <c r="AI408" s="144"/>
      <c r="AJ408" s="144"/>
      <c r="AK408" s="144"/>
      <c r="AL408" s="7"/>
    </row>
    <row r="409" spans="18:38" s="18" customFormat="1">
      <c r="R409" s="7"/>
      <c r="S409" s="7"/>
      <c r="T409" s="7"/>
      <c r="U409" s="7"/>
      <c r="V409" s="7"/>
      <c r="W409" s="7"/>
      <c r="X409" s="7"/>
      <c r="Y409" s="7"/>
      <c r="Z409" s="7"/>
      <c r="AD409" s="92"/>
      <c r="AE409" s="7"/>
      <c r="AF409" s="144"/>
      <c r="AG409" s="144"/>
      <c r="AH409" s="144"/>
      <c r="AI409" s="144"/>
      <c r="AJ409" s="144"/>
      <c r="AK409" s="144"/>
      <c r="AL409" s="7"/>
    </row>
    <row r="410" spans="18:38" s="18" customFormat="1">
      <c r="R410" s="7"/>
      <c r="S410" s="7"/>
      <c r="T410" s="7"/>
      <c r="U410" s="7"/>
      <c r="V410" s="7"/>
      <c r="W410" s="7"/>
      <c r="X410" s="7"/>
      <c r="Y410" s="7"/>
      <c r="Z410" s="7"/>
      <c r="AD410" s="92"/>
      <c r="AE410" s="7"/>
      <c r="AF410" s="144"/>
      <c r="AG410" s="144"/>
      <c r="AH410" s="144"/>
      <c r="AI410" s="144"/>
      <c r="AJ410" s="144"/>
      <c r="AK410" s="144"/>
      <c r="AL410" s="7"/>
    </row>
    <row r="411" spans="18:38" s="18" customFormat="1">
      <c r="R411" s="7"/>
      <c r="S411" s="7"/>
      <c r="T411" s="7"/>
      <c r="U411" s="7"/>
      <c r="V411" s="7"/>
      <c r="W411" s="7"/>
      <c r="X411" s="7"/>
      <c r="Y411" s="7"/>
      <c r="Z411" s="7"/>
      <c r="AD411" s="92"/>
      <c r="AE411" s="7"/>
      <c r="AF411" s="144"/>
      <c r="AG411" s="144"/>
      <c r="AH411" s="144"/>
      <c r="AI411" s="144"/>
      <c r="AJ411" s="144"/>
      <c r="AK411" s="144"/>
      <c r="AL411" s="7"/>
    </row>
    <row r="412" spans="18:38" s="18" customFormat="1">
      <c r="R412" s="7"/>
      <c r="S412" s="7"/>
      <c r="T412" s="7"/>
      <c r="U412" s="7"/>
      <c r="V412" s="7"/>
      <c r="W412" s="7"/>
      <c r="X412" s="7"/>
      <c r="Y412" s="7"/>
      <c r="Z412" s="7"/>
      <c r="AD412" s="92"/>
      <c r="AE412" s="7"/>
      <c r="AF412" s="144"/>
      <c r="AG412" s="144"/>
      <c r="AH412" s="144"/>
      <c r="AI412" s="144"/>
      <c r="AJ412" s="144"/>
      <c r="AK412" s="144"/>
      <c r="AL412" s="7"/>
    </row>
    <row r="413" spans="18:38" s="18" customFormat="1">
      <c r="R413" s="7"/>
      <c r="S413" s="7"/>
      <c r="T413" s="7"/>
      <c r="U413" s="7"/>
      <c r="V413" s="7"/>
      <c r="W413" s="7"/>
      <c r="X413" s="7"/>
      <c r="Y413" s="7"/>
      <c r="Z413" s="7"/>
      <c r="AD413" s="92"/>
      <c r="AE413" s="7"/>
      <c r="AF413" s="144"/>
      <c r="AG413" s="144"/>
      <c r="AH413" s="144"/>
      <c r="AI413" s="144"/>
      <c r="AJ413" s="144"/>
      <c r="AK413" s="144"/>
      <c r="AL413" s="7"/>
    </row>
    <row r="414" spans="18:38" s="18" customFormat="1">
      <c r="R414" s="7"/>
      <c r="S414" s="7"/>
      <c r="T414" s="7"/>
      <c r="U414" s="7"/>
      <c r="V414" s="7"/>
      <c r="W414" s="7"/>
      <c r="X414" s="7"/>
      <c r="Y414" s="7"/>
      <c r="Z414" s="7"/>
      <c r="AD414" s="92"/>
      <c r="AE414" s="7"/>
      <c r="AF414" s="144"/>
      <c r="AG414" s="144"/>
      <c r="AH414" s="144"/>
      <c r="AI414" s="144"/>
      <c r="AJ414" s="144"/>
      <c r="AK414" s="144"/>
      <c r="AL414" s="7"/>
    </row>
    <row r="415" spans="18:38" s="18" customFormat="1">
      <c r="R415" s="7"/>
      <c r="S415" s="7"/>
      <c r="T415" s="7"/>
      <c r="U415" s="7"/>
      <c r="V415" s="7"/>
      <c r="W415" s="7"/>
      <c r="X415" s="7"/>
      <c r="Y415" s="7"/>
      <c r="Z415" s="7"/>
      <c r="AD415" s="92"/>
      <c r="AE415" s="7"/>
      <c r="AF415" s="144"/>
      <c r="AG415" s="144"/>
      <c r="AH415" s="144"/>
      <c r="AI415" s="144"/>
      <c r="AJ415" s="144"/>
      <c r="AK415" s="144"/>
      <c r="AL415" s="7"/>
    </row>
    <row r="416" spans="18:38" s="18" customFormat="1">
      <c r="R416" s="7"/>
      <c r="S416" s="7"/>
      <c r="T416" s="7"/>
      <c r="U416" s="7"/>
      <c r="V416" s="7"/>
      <c r="W416" s="7"/>
      <c r="X416" s="7"/>
      <c r="Y416" s="7"/>
      <c r="Z416" s="7"/>
      <c r="AD416" s="92"/>
      <c r="AE416" s="7"/>
      <c r="AF416" s="144"/>
      <c r="AG416" s="144"/>
      <c r="AH416" s="144"/>
      <c r="AI416" s="144"/>
      <c r="AJ416" s="144"/>
      <c r="AK416" s="144"/>
      <c r="AL416" s="7"/>
    </row>
    <row r="417" spans="6:64" s="18" customFormat="1">
      <c r="R417" s="7"/>
      <c r="S417" s="7"/>
      <c r="T417" s="7"/>
      <c r="U417" s="7"/>
      <c r="V417" s="7"/>
      <c r="W417" s="7"/>
      <c r="X417" s="7"/>
      <c r="Y417" s="7"/>
      <c r="Z417" s="7"/>
      <c r="AD417" s="92"/>
      <c r="AE417" s="7"/>
      <c r="AF417" s="144"/>
      <c r="AG417" s="144"/>
      <c r="AH417" s="144"/>
      <c r="AI417" s="144"/>
      <c r="AJ417" s="144"/>
      <c r="AK417" s="144"/>
      <c r="AL417" s="7"/>
    </row>
    <row r="418" spans="6:64" s="18" customFormat="1">
      <c r="R418" s="7"/>
      <c r="S418" s="7"/>
      <c r="T418" s="7"/>
      <c r="U418" s="7"/>
      <c r="V418" s="7"/>
      <c r="W418" s="7"/>
      <c r="X418" s="7"/>
      <c r="Y418" s="7"/>
      <c r="Z418" s="7"/>
      <c r="AD418" s="92"/>
      <c r="AE418" s="7"/>
      <c r="AF418" s="144"/>
      <c r="AG418" s="144"/>
      <c r="AH418" s="144"/>
      <c r="AI418" s="144"/>
      <c r="AJ418" s="144"/>
      <c r="AK418" s="144"/>
      <c r="AL418" s="7"/>
    </row>
    <row r="419" spans="6:64" s="18" customFormat="1">
      <c r="R419" s="7"/>
      <c r="S419" s="7"/>
      <c r="T419" s="7"/>
      <c r="U419" s="7"/>
      <c r="V419" s="7"/>
      <c r="W419" s="7"/>
      <c r="X419" s="7"/>
      <c r="Y419" s="7"/>
      <c r="Z419" s="7"/>
      <c r="AD419" s="92"/>
      <c r="AE419" s="7"/>
      <c r="AF419" s="144"/>
      <c r="AG419" s="144"/>
      <c r="AH419" s="144"/>
      <c r="AI419" s="144"/>
      <c r="AJ419" s="144"/>
      <c r="AK419" s="144"/>
      <c r="AL419" s="7"/>
    </row>
    <row r="420" spans="6:64" s="18" customFormat="1">
      <c r="R420" s="7"/>
      <c r="S420" s="7"/>
      <c r="T420" s="7"/>
      <c r="U420" s="7"/>
      <c r="V420" s="7"/>
      <c r="W420" s="7"/>
      <c r="X420" s="7"/>
      <c r="Y420" s="7"/>
      <c r="Z420" s="7"/>
      <c r="AD420" s="92"/>
      <c r="AE420" s="7"/>
      <c r="AF420" s="144"/>
      <c r="AG420" s="144"/>
      <c r="AH420" s="144"/>
      <c r="AI420" s="144"/>
      <c r="AJ420" s="144"/>
      <c r="AK420" s="144"/>
      <c r="AL420" s="7"/>
    </row>
    <row r="421" spans="6:64" s="18" customFormat="1">
      <c r="R421" s="7"/>
      <c r="S421" s="7"/>
      <c r="T421" s="7"/>
      <c r="U421" s="7"/>
      <c r="V421" s="7"/>
      <c r="W421" s="7"/>
      <c r="X421" s="7"/>
      <c r="Y421" s="7"/>
      <c r="Z421" s="7"/>
      <c r="AD421" s="92"/>
      <c r="AE421" s="7"/>
      <c r="AF421" s="144"/>
      <c r="AG421" s="144"/>
      <c r="AH421" s="144"/>
      <c r="AI421" s="144"/>
      <c r="AJ421" s="144"/>
      <c r="AK421" s="144"/>
      <c r="AL421" s="7"/>
    </row>
    <row r="422" spans="6:64" s="18" customFormat="1">
      <c r="R422" s="7"/>
      <c r="S422" s="7"/>
      <c r="T422" s="7"/>
      <c r="U422" s="7"/>
      <c r="V422" s="7"/>
      <c r="W422" s="7"/>
      <c r="X422" s="7"/>
      <c r="Y422" s="7"/>
      <c r="Z422" s="7"/>
      <c r="AD422" s="92"/>
      <c r="AE422" s="7"/>
      <c r="AF422" s="144"/>
      <c r="AG422" s="144"/>
      <c r="AH422" s="144"/>
      <c r="AI422" s="144"/>
      <c r="AJ422" s="144"/>
      <c r="AK422" s="144"/>
      <c r="AL422" s="7"/>
    </row>
    <row r="423" spans="6:64" s="18" customFormat="1">
      <c r="R423" s="7"/>
      <c r="S423" s="7"/>
      <c r="T423" s="7"/>
      <c r="U423" s="7"/>
      <c r="V423" s="7"/>
      <c r="W423" s="7"/>
      <c r="X423" s="7"/>
      <c r="Y423" s="7"/>
      <c r="Z423" s="7"/>
      <c r="AD423" s="92"/>
      <c r="AE423" s="7"/>
      <c r="AF423" s="144"/>
      <c r="AG423" s="144"/>
      <c r="AH423" s="144"/>
      <c r="AI423" s="144"/>
      <c r="AJ423" s="144"/>
      <c r="AK423" s="144"/>
      <c r="AL423" s="7"/>
    </row>
    <row r="424" spans="6:64" s="18" customFormat="1">
      <c r="R424" s="7"/>
      <c r="S424" s="7"/>
      <c r="T424" s="7"/>
      <c r="U424" s="7"/>
      <c r="V424" s="7"/>
      <c r="W424" s="7"/>
      <c r="X424" s="7"/>
      <c r="Y424" s="7"/>
      <c r="Z424" s="7"/>
      <c r="AD424" s="92"/>
      <c r="AE424" s="7"/>
      <c r="AF424" s="144"/>
      <c r="AG424" s="144"/>
      <c r="AH424" s="144"/>
      <c r="AI424" s="144"/>
      <c r="AJ424" s="144"/>
      <c r="AK424" s="144"/>
      <c r="AL424" s="7"/>
    </row>
    <row r="425" spans="6:64" s="18" customFormat="1">
      <c r="R425" s="7"/>
      <c r="S425" s="7"/>
      <c r="T425" s="7"/>
      <c r="U425" s="7"/>
      <c r="V425" s="7"/>
      <c r="W425" s="7"/>
      <c r="X425" s="7"/>
      <c r="Y425" s="7"/>
      <c r="Z425" s="7"/>
      <c r="AD425" s="92"/>
      <c r="AE425" s="7"/>
      <c r="AF425" s="144"/>
      <c r="AG425" s="144"/>
      <c r="AH425" s="144"/>
      <c r="AI425" s="144"/>
      <c r="AJ425" s="144"/>
      <c r="AK425" s="144"/>
      <c r="AL425" s="7"/>
    </row>
    <row r="426" spans="6:64" s="18" customFormat="1">
      <c r="R426" s="7"/>
      <c r="S426" s="7"/>
      <c r="T426" s="7"/>
      <c r="U426" s="7"/>
      <c r="V426" s="7"/>
      <c r="W426" s="7"/>
      <c r="X426" s="7"/>
      <c r="Y426" s="7"/>
      <c r="Z426" s="7"/>
      <c r="AD426" s="92"/>
      <c r="AE426" s="7"/>
      <c r="AF426" s="144"/>
      <c r="AG426" s="144"/>
      <c r="AH426" s="144"/>
      <c r="AI426" s="144"/>
      <c r="AJ426" s="144"/>
      <c r="AK426" s="144"/>
      <c r="AL426" s="7"/>
    </row>
    <row r="427" spans="6:64" s="18" customFormat="1">
      <c r="R427" s="7"/>
      <c r="S427" s="7"/>
      <c r="T427" s="7"/>
      <c r="U427" s="7"/>
      <c r="V427" s="7"/>
      <c r="W427" s="7"/>
      <c r="X427" s="7"/>
      <c r="Y427" s="7"/>
      <c r="Z427" s="7"/>
      <c r="AD427" s="92"/>
      <c r="AE427" s="7"/>
      <c r="AF427" s="144"/>
      <c r="AG427" s="144"/>
      <c r="AH427" s="144"/>
      <c r="AI427" s="144"/>
      <c r="AJ427" s="144"/>
      <c r="AK427" s="144"/>
      <c r="AL427" s="7"/>
    </row>
    <row r="428" spans="6:64" s="18" customFormat="1">
      <c r="R428" s="7"/>
      <c r="S428" s="7"/>
      <c r="T428" s="7"/>
      <c r="U428" s="7"/>
      <c r="V428" s="7"/>
      <c r="W428" s="7"/>
      <c r="X428" s="7"/>
      <c r="Y428" s="7"/>
      <c r="Z428" s="7"/>
      <c r="AD428" s="92"/>
      <c r="AE428" s="7"/>
      <c r="AF428" s="144"/>
      <c r="AG428" s="144"/>
      <c r="AH428" s="144"/>
      <c r="AI428" s="144"/>
      <c r="AJ428" s="144"/>
      <c r="AK428" s="144"/>
      <c r="AL428" s="7"/>
    </row>
    <row r="429" spans="6:64" s="18" customFormat="1">
      <c r="R429" s="7"/>
      <c r="S429" s="7"/>
      <c r="T429" s="7"/>
      <c r="U429" s="7"/>
      <c r="V429" s="7"/>
      <c r="W429" s="7"/>
      <c r="X429" s="7"/>
      <c r="Y429" s="7"/>
      <c r="Z429" s="7"/>
      <c r="AD429" s="92"/>
      <c r="AE429" s="7"/>
      <c r="AF429" s="144"/>
      <c r="AG429" s="144"/>
      <c r="AH429" s="144"/>
      <c r="AI429" s="144"/>
      <c r="AJ429" s="144"/>
      <c r="AK429" s="144"/>
      <c r="AL429" s="7"/>
    </row>
    <row r="430" spans="6:64" s="18" customFormat="1">
      <c r="R430" s="7"/>
      <c r="S430" s="7"/>
      <c r="T430" s="7"/>
      <c r="U430" s="7"/>
      <c r="V430" s="7"/>
      <c r="W430" s="7"/>
      <c r="X430" s="7"/>
      <c r="Y430" s="7"/>
      <c r="Z430" s="7"/>
      <c r="AD430" s="92"/>
      <c r="AE430" s="7"/>
      <c r="AF430" s="144"/>
      <c r="AG430" s="144"/>
      <c r="AH430" s="144"/>
      <c r="AI430" s="144"/>
      <c r="AJ430" s="144"/>
      <c r="AK430" s="144"/>
      <c r="AL430" s="7"/>
    </row>
    <row r="431" spans="6:64" s="18" customFormat="1">
      <c r="R431" s="7"/>
      <c r="S431" s="7"/>
      <c r="T431" s="7"/>
      <c r="U431" s="7"/>
      <c r="V431" s="7"/>
      <c r="W431" s="7"/>
      <c r="X431" s="7"/>
      <c r="Y431" s="7"/>
      <c r="Z431" s="7"/>
      <c r="AD431" s="92"/>
      <c r="AE431" s="7"/>
      <c r="AF431" s="144"/>
      <c r="AG431" s="144"/>
      <c r="AH431" s="144"/>
      <c r="AI431" s="144"/>
      <c r="AJ431" s="144"/>
      <c r="AK431" s="144"/>
      <c r="AL431" s="7"/>
    </row>
    <row r="432" spans="6:64" s="18" customFormat="1">
      <c r="F432"/>
      <c r="G432"/>
      <c r="H432"/>
      <c r="I432"/>
      <c r="J432"/>
      <c r="K432"/>
      <c r="L432"/>
      <c r="M432"/>
      <c r="N432"/>
      <c r="O432"/>
      <c r="P432"/>
      <c r="Q432"/>
      <c r="R432" s="7"/>
      <c r="S432" s="7"/>
      <c r="T432" s="7"/>
      <c r="U432" s="7"/>
      <c r="V432" s="7"/>
      <c r="W432" s="7"/>
      <c r="X432" s="7"/>
      <c r="Y432" s="7"/>
      <c r="Z432" s="7"/>
      <c r="AA432"/>
      <c r="AB432"/>
      <c r="AC432"/>
      <c r="AD432" s="28"/>
      <c r="AE432" s="7"/>
      <c r="AF432" s="144"/>
      <c r="AG432" s="144"/>
      <c r="AH432" s="144"/>
      <c r="AI432" s="144"/>
      <c r="AJ432" s="144"/>
      <c r="AK432" s="144"/>
      <c r="AL432" s="7"/>
      <c r="BL432"/>
    </row>
    <row r="433" spans="1:48">
      <c r="A433" s="18"/>
      <c r="C433" s="18"/>
      <c r="D433" s="18"/>
      <c r="U433" s="9"/>
      <c r="V433" s="10"/>
      <c r="W433" s="10"/>
      <c r="X433" s="10"/>
      <c r="Y433" s="10"/>
      <c r="Z433" s="10"/>
      <c r="AA433" s="10"/>
      <c r="AB433" s="7"/>
      <c r="AC433" s="7"/>
      <c r="AF433" s="144"/>
      <c r="AG433" s="144"/>
      <c r="AH433" s="144"/>
      <c r="AI433" s="144"/>
      <c r="AJ433" s="144"/>
      <c r="AK433" s="144"/>
      <c r="AL433" s="7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</row>
    <row r="434" spans="1:48">
      <c r="C434" s="18"/>
      <c r="D434" s="18"/>
      <c r="U434" s="9"/>
      <c r="V434" s="10"/>
      <c r="W434" s="10"/>
      <c r="X434" s="10"/>
      <c r="Y434" s="10"/>
      <c r="Z434" s="10"/>
      <c r="AA434" s="10"/>
      <c r="AB434" s="7"/>
      <c r="AC434" s="7"/>
      <c r="AI434" s="144"/>
      <c r="AJ434" s="144"/>
      <c r="AK434" s="144"/>
      <c r="AL434" s="7"/>
      <c r="AM434" s="7"/>
      <c r="AN434" s="7"/>
      <c r="AO434" s="7"/>
      <c r="AP434" s="7"/>
      <c r="AQ434" s="7"/>
      <c r="AR434" s="7"/>
      <c r="AS434" s="7"/>
      <c r="AT434" s="7"/>
    </row>
    <row r="435" spans="1:48">
      <c r="C435" s="18"/>
      <c r="D435" s="18"/>
      <c r="U435" s="9"/>
      <c r="V435" s="10"/>
      <c r="W435" s="10"/>
      <c r="X435" s="10"/>
      <c r="Y435" s="10"/>
      <c r="Z435" s="10"/>
      <c r="AA435" s="10"/>
      <c r="AB435" s="7"/>
      <c r="AC435" s="7"/>
      <c r="AM435" s="7"/>
      <c r="AN435" s="7"/>
      <c r="AO435" s="7"/>
      <c r="AP435" s="7"/>
      <c r="AQ435" s="7"/>
      <c r="AR435" s="7"/>
      <c r="AS435" s="7"/>
      <c r="AT435" s="7"/>
    </row>
    <row r="436" spans="1:48">
      <c r="C436" s="18"/>
      <c r="D436" s="18"/>
      <c r="U436" s="9"/>
      <c r="V436" s="11"/>
      <c r="W436" s="12"/>
      <c r="X436" s="12"/>
      <c r="Y436" s="12"/>
      <c r="Z436" s="11"/>
      <c r="AA436" s="10"/>
      <c r="AB436" s="7"/>
      <c r="AC436" s="7"/>
      <c r="AM436" s="7"/>
      <c r="AN436" s="15"/>
      <c r="AO436" s="15"/>
      <c r="AP436" s="15"/>
      <c r="AQ436" s="15"/>
      <c r="AR436" s="15"/>
      <c r="AS436" s="15"/>
      <c r="AT436" s="7"/>
    </row>
    <row r="437" spans="1:48">
      <c r="C437" s="18"/>
      <c r="D437" s="18"/>
      <c r="U437" s="9"/>
      <c r="V437" s="11"/>
      <c r="W437" s="12"/>
      <c r="X437" s="12"/>
      <c r="Y437" s="12"/>
      <c r="Z437" s="11"/>
      <c r="AA437" s="10"/>
      <c r="AB437" s="7"/>
      <c r="AC437" s="7"/>
      <c r="AM437" s="7"/>
      <c r="AN437" s="16"/>
      <c r="AO437" s="16"/>
      <c r="AP437" s="16"/>
      <c r="AQ437" s="16"/>
      <c r="AR437" s="16"/>
      <c r="AS437" s="16"/>
      <c r="AT437" s="7"/>
    </row>
    <row r="438" spans="1:48">
      <c r="C438" s="18"/>
      <c r="D438" s="18"/>
      <c r="U438" s="9"/>
      <c r="V438" s="11"/>
      <c r="W438" s="12"/>
      <c r="X438" s="12"/>
      <c r="Y438" s="12"/>
      <c r="Z438" s="11"/>
      <c r="AA438" s="10"/>
      <c r="AB438" s="7"/>
      <c r="AC438" s="13"/>
    </row>
    <row r="439" spans="1:48">
      <c r="C439" s="18"/>
      <c r="D439" s="18"/>
      <c r="U439" s="9"/>
      <c r="V439" s="11"/>
      <c r="W439" s="12"/>
      <c r="X439" s="12"/>
      <c r="Y439" s="12"/>
      <c r="Z439" s="11"/>
      <c r="AA439" s="10"/>
      <c r="AB439" s="7"/>
      <c r="AC439" s="7"/>
    </row>
    <row r="440" spans="1:48">
      <c r="C440" s="18"/>
      <c r="D440" s="18"/>
      <c r="U440" s="9"/>
      <c r="V440" s="11"/>
      <c r="W440" s="12"/>
      <c r="X440" s="12"/>
      <c r="Y440" s="12"/>
      <c r="Z440" s="11"/>
      <c r="AA440" s="10"/>
      <c r="AB440" s="7"/>
      <c r="AC440" s="7"/>
    </row>
    <row r="441" spans="1:48">
      <c r="C441" s="18"/>
      <c r="D441" s="18"/>
      <c r="U441" s="9"/>
      <c r="V441" s="10"/>
      <c r="W441" s="10"/>
      <c r="X441" s="10"/>
      <c r="Y441" s="10"/>
      <c r="Z441" s="10"/>
      <c r="AA441" s="10"/>
      <c r="AB441" s="7"/>
      <c r="AC441" s="7"/>
    </row>
    <row r="442" spans="1:48">
      <c r="C442" s="18"/>
      <c r="D442" s="18"/>
      <c r="U442" s="9"/>
      <c r="V442" s="10"/>
      <c r="W442" s="10"/>
      <c r="X442" s="10"/>
      <c r="Y442" s="10"/>
      <c r="Z442" s="10"/>
      <c r="AA442" s="10"/>
      <c r="AB442" s="7"/>
      <c r="AC442" s="7"/>
    </row>
    <row r="443" spans="1:48">
      <c r="C443" s="18"/>
      <c r="D443" s="18"/>
      <c r="U443" s="7"/>
      <c r="V443" s="7"/>
      <c r="W443" s="7"/>
      <c r="X443" s="7"/>
      <c r="Y443" s="7"/>
      <c r="Z443" s="7"/>
      <c r="AA443" s="7"/>
      <c r="AB443" s="7"/>
      <c r="AC443" s="7"/>
    </row>
    <row r="444" spans="1:48">
      <c r="C444" s="18"/>
      <c r="D444" s="18"/>
      <c r="U444" s="7"/>
      <c r="V444" s="7"/>
      <c r="W444" s="7"/>
      <c r="X444" s="7"/>
      <c r="Y444" s="7"/>
      <c r="Z444" s="7"/>
      <c r="AA444" s="7"/>
      <c r="AB444" s="7"/>
      <c r="AC444" s="7"/>
    </row>
    <row r="445" spans="1:48">
      <c r="C445" s="18"/>
      <c r="D445" s="18"/>
      <c r="U445" s="7"/>
      <c r="V445" s="7"/>
      <c r="W445" s="7"/>
      <c r="X445" s="7"/>
      <c r="Y445" s="7"/>
      <c r="Z445" s="7"/>
      <c r="AA445" s="7"/>
      <c r="AB445" s="7"/>
      <c r="AC445" s="7"/>
    </row>
    <row r="446" spans="1:48">
      <c r="C446" s="18"/>
      <c r="D446" s="18"/>
      <c r="U446" s="7"/>
      <c r="V446" s="7"/>
      <c r="W446" s="7"/>
      <c r="X446" s="7"/>
      <c r="Y446" s="7"/>
      <c r="Z446" s="7"/>
      <c r="AA446" s="7"/>
      <c r="AB446" s="7"/>
      <c r="AC446" s="7"/>
    </row>
    <row r="447" spans="1:48">
      <c r="C447" s="18"/>
      <c r="D447" s="18"/>
      <c r="U447" s="7"/>
      <c r="V447" s="7"/>
      <c r="W447" s="7"/>
      <c r="X447" s="7"/>
      <c r="Y447" s="7"/>
      <c r="Z447" s="7"/>
      <c r="AA447" s="7"/>
      <c r="AB447" s="7"/>
      <c r="AC447" s="7"/>
    </row>
    <row r="448" spans="1:48">
      <c r="C448" s="18"/>
      <c r="D448" s="18"/>
      <c r="U448" s="7"/>
      <c r="V448" s="7"/>
      <c r="W448" s="7"/>
      <c r="X448" s="7"/>
      <c r="Y448" s="7"/>
      <c r="Z448" s="7"/>
      <c r="AA448" s="7"/>
      <c r="AB448" s="7"/>
      <c r="AC448" s="7"/>
    </row>
    <row r="449" spans="3:24">
      <c r="C449" s="18"/>
      <c r="D449" s="18"/>
      <c r="W449"/>
      <c r="X449"/>
    </row>
    <row r="450" spans="3:24">
      <c r="C450" s="18"/>
      <c r="D450" s="18"/>
      <c r="W450"/>
      <c r="X450"/>
    </row>
    <row r="451" spans="3:24">
      <c r="C451" s="18"/>
      <c r="D451" s="18"/>
      <c r="W451"/>
      <c r="X451"/>
    </row>
    <row r="452" spans="3:24">
      <c r="C452" s="18"/>
      <c r="D452" s="18"/>
      <c r="W452"/>
      <c r="X452"/>
    </row>
    <row r="453" spans="3:24">
      <c r="C453" s="18"/>
      <c r="D453" s="18"/>
      <c r="W453"/>
      <c r="X453"/>
    </row>
    <row r="454" spans="3:24">
      <c r="C454" s="18"/>
      <c r="D454" s="18"/>
      <c r="W454"/>
      <c r="X454"/>
    </row>
    <row r="455" spans="3:24">
      <c r="C455" s="18"/>
      <c r="D455" s="18"/>
      <c r="W455"/>
      <c r="X455"/>
    </row>
    <row r="456" spans="3:24">
      <c r="C456" s="18"/>
      <c r="D456" s="18"/>
      <c r="W456"/>
      <c r="X456"/>
    </row>
    <row r="457" spans="3:24">
      <c r="C457" s="18"/>
      <c r="D457" s="18"/>
      <c r="W457"/>
      <c r="X457"/>
    </row>
    <row r="458" spans="3:24">
      <c r="C458" s="18"/>
      <c r="D458" s="18"/>
      <c r="W458"/>
      <c r="X458"/>
    </row>
    <row r="459" spans="3:24">
      <c r="C459" s="18"/>
      <c r="D459" s="18"/>
      <c r="W459"/>
      <c r="X459"/>
    </row>
    <row r="460" spans="3:24">
      <c r="C460" s="18"/>
      <c r="D460" s="18"/>
      <c r="W460"/>
      <c r="X460"/>
    </row>
    <row r="461" spans="3:24">
      <c r="C461" s="18"/>
      <c r="D461" s="18"/>
      <c r="W461"/>
      <c r="X461"/>
    </row>
    <row r="462" spans="3:24">
      <c r="C462" s="18"/>
      <c r="D462" s="18"/>
      <c r="W462"/>
      <c r="X462"/>
    </row>
    <row r="463" spans="3:24">
      <c r="C463" s="18"/>
      <c r="D463" s="18"/>
      <c r="W463"/>
      <c r="X463"/>
    </row>
    <row r="464" spans="3:24">
      <c r="C464" s="18"/>
      <c r="D464" s="18"/>
      <c r="W464"/>
      <c r="X464"/>
    </row>
    <row r="465" spans="3:24">
      <c r="C465" s="18"/>
      <c r="D465" s="18"/>
      <c r="W465"/>
      <c r="X465"/>
    </row>
    <row r="466" spans="3:24">
      <c r="C466" s="18"/>
      <c r="D466" s="18"/>
      <c r="W466"/>
      <c r="X466"/>
    </row>
    <row r="467" spans="3:24">
      <c r="C467" s="18"/>
      <c r="D467" s="18"/>
      <c r="W467"/>
      <c r="X467"/>
    </row>
    <row r="468" spans="3:24">
      <c r="C468" s="18"/>
      <c r="D468" s="18"/>
      <c r="W468"/>
      <c r="X468"/>
    </row>
    <row r="469" spans="3:24">
      <c r="C469" s="18"/>
      <c r="D469" s="18"/>
      <c r="W469"/>
      <c r="X469"/>
    </row>
    <row r="470" spans="3:24">
      <c r="C470" s="18"/>
      <c r="D470" s="18"/>
      <c r="W470"/>
      <c r="X470"/>
    </row>
    <row r="471" spans="3:24">
      <c r="C471" s="18"/>
      <c r="D471" s="18"/>
      <c r="W471"/>
      <c r="X471"/>
    </row>
    <row r="472" spans="3:24">
      <c r="C472" s="18"/>
      <c r="D472" s="18"/>
      <c r="W472"/>
      <c r="X472"/>
    </row>
    <row r="473" spans="3:24">
      <c r="C473" s="18"/>
      <c r="D473" s="18"/>
      <c r="W473"/>
      <c r="X473"/>
    </row>
    <row r="474" spans="3:24">
      <c r="C474" s="18"/>
      <c r="D474" s="18"/>
      <c r="W474"/>
      <c r="X474"/>
    </row>
    <row r="475" spans="3:24">
      <c r="C475" s="18"/>
      <c r="D475" s="18"/>
      <c r="W475"/>
      <c r="X475"/>
    </row>
    <row r="476" spans="3:24">
      <c r="C476" s="18"/>
      <c r="D476" s="18"/>
    </row>
    <row r="477" spans="3:24">
      <c r="C477" s="18"/>
      <c r="D477" s="18"/>
    </row>
  </sheetData>
  <mergeCells count="37">
    <mergeCell ref="A1:C1"/>
    <mergeCell ref="AK8:AM8"/>
    <mergeCell ref="AN8:AP8"/>
    <mergeCell ref="AQ8:AS8"/>
    <mergeCell ref="AT8:AV8"/>
    <mergeCell ref="AK7:AM7"/>
    <mergeCell ref="AN7:AP7"/>
    <mergeCell ref="AQ7:AS7"/>
    <mergeCell ref="AT7:AV7"/>
    <mergeCell ref="AK6:AV6"/>
    <mergeCell ref="AL5:AN5"/>
    <mergeCell ref="AP5:AR5"/>
    <mergeCell ref="BD6:BF6"/>
    <mergeCell ref="BD7:BF7"/>
    <mergeCell ref="AX8:BF8"/>
    <mergeCell ref="AX7:AZ7"/>
    <mergeCell ref="AX6:AZ6"/>
    <mergeCell ref="BA6:BC6"/>
    <mergeCell ref="BA7:BC7"/>
    <mergeCell ref="BH8:BP8"/>
    <mergeCell ref="BR6:BT6"/>
    <mergeCell ref="BU6:BW6"/>
    <mergeCell ref="BX6:BZ6"/>
    <mergeCell ref="BR7:BT7"/>
    <mergeCell ref="BU7:BW7"/>
    <mergeCell ref="BX7:BZ7"/>
    <mergeCell ref="BR8:BZ8"/>
    <mergeCell ref="BH7:BP7"/>
    <mergeCell ref="BH6:BJ6"/>
    <mergeCell ref="BK6:BM6"/>
    <mergeCell ref="BN6:BP6"/>
    <mergeCell ref="BI12:BK12"/>
    <mergeCell ref="BM12:BO12"/>
    <mergeCell ref="BS12:BU12"/>
    <mergeCell ref="BW12:BY12"/>
    <mergeCell ref="AY12:BA12"/>
    <mergeCell ref="BC12:BE1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H76"/>
  <sheetViews>
    <sheetView workbookViewId="0">
      <selection activeCell="Q56" sqref="Q56"/>
    </sheetView>
  </sheetViews>
  <sheetFormatPr baseColWidth="10" defaultRowHeight="15"/>
  <cols>
    <col min="1" max="56" width="5.7109375" customWidth="1"/>
    <col min="57" max="57" width="11.42578125" customWidth="1"/>
  </cols>
  <sheetData>
    <row r="1" spans="1:56">
      <c r="A1" s="363" t="s">
        <v>6</v>
      </c>
      <c r="B1" s="363"/>
      <c r="C1" s="363"/>
      <c r="D1" s="142" t="s">
        <v>72</v>
      </c>
      <c r="E1" s="142"/>
      <c r="F1" s="143">
        <f>Stufengrün!B47</f>
        <v>1</v>
      </c>
      <c r="G1" s="142" t="s">
        <v>71</v>
      </c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6"/>
      <c r="AV1" s="6"/>
      <c r="AW1" s="6"/>
      <c r="AX1" s="6"/>
      <c r="AY1" s="6"/>
      <c r="AZ1" s="6"/>
      <c r="BA1" s="6"/>
      <c r="BB1" s="6"/>
      <c r="BC1" s="6"/>
      <c r="BD1" s="6"/>
    </row>
    <row r="2" spans="1:56">
      <c r="A2" s="88" t="s">
        <v>73</v>
      </c>
      <c r="B2" s="88"/>
      <c r="C2" s="23" t="str">
        <f>CONCATENATE("m",Stufengrün!B48)</f>
        <v>m0</v>
      </c>
      <c r="D2" s="23" t="s">
        <v>30</v>
      </c>
      <c r="E2" s="28"/>
      <c r="F2" s="28"/>
      <c r="G2" s="28"/>
      <c r="H2" s="36" t="s">
        <v>57</v>
      </c>
      <c r="I2" s="36" t="s">
        <v>51</v>
      </c>
      <c r="J2" s="36" t="s">
        <v>58</v>
      </c>
      <c r="K2" s="36" t="s">
        <v>59</v>
      </c>
      <c r="L2" s="28"/>
      <c r="M2" s="185" t="s">
        <v>95</v>
      </c>
      <c r="N2" s="28"/>
      <c r="O2" s="28"/>
      <c r="P2" s="28"/>
      <c r="Q2" s="28"/>
      <c r="R2" s="88" t="s">
        <v>74</v>
      </c>
      <c r="S2" s="88"/>
      <c r="T2" s="26" t="s">
        <v>65</v>
      </c>
      <c r="U2" s="26" t="s">
        <v>66</v>
      </c>
      <c r="V2" s="152"/>
    </row>
    <row r="3" spans="1:56">
      <c r="A3" s="88" t="s">
        <v>69</v>
      </c>
      <c r="B3" s="88"/>
      <c r="C3" s="36">
        <f>Stufengrün!C48</f>
        <v>8.9486308657749328E-2</v>
      </c>
      <c r="D3" s="53"/>
      <c r="E3" s="28"/>
      <c r="F3" s="28"/>
      <c r="G3" s="28"/>
      <c r="H3" s="79">
        <v>4</v>
      </c>
      <c r="I3" s="186">
        <v>2</v>
      </c>
      <c r="J3" s="79">
        <f>'Do-17'!J3</f>
        <v>-2.2349999999999999</v>
      </c>
      <c r="K3" s="79">
        <f>'Do-17'!K3</f>
        <v>-0.41799999999999998</v>
      </c>
      <c r="L3" s="28"/>
      <c r="M3" s="185">
        <v>-2</v>
      </c>
      <c r="N3" s="37" t="s">
        <v>88</v>
      </c>
      <c r="O3" s="28"/>
      <c r="P3" s="28"/>
      <c r="Q3" s="28"/>
      <c r="R3" s="28"/>
      <c r="S3" s="28"/>
      <c r="T3" s="160">
        <f>H11</f>
        <v>3.9999999999999996</v>
      </c>
      <c r="U3" s="160">
        <f>I11</f>
        <v>2.0000000000000004</v>
      </c>
      <c r="V3" s="152"/>
    </row>
    <row r="4" spans="1:56">
      <c r="A4" s="28"/>
      <c r="B4" s="28"/>
      <c r="C4" s="28"/>
      <c r="D4" s="28"/>
      <c r="E4" s="28"/>
      <c r="F4" s="28"/>
      <c r="G4" s="28"/>
      <c r="H4" s="37" t="s">
        <v>8</v>
      </c>
      <c r="I4" s="37" t="s">
        <v>8</v>
      </c>
      <c r="J4" s="37" t="s">
        <v>9</v>
      </c>
      <c r="K4" s="37" t="s">
        <v>9</v>
      </c>
      <c r="L4" s="28"/>
      <c r="M4" s="28"/>
      <c r="N4" s="37"/>
      <c r="O4" s="28"/>
      <c r="P4" s="28"/>
      <c r="Q4" s="28"/>
      <c r="R4" s="28"/>
      <c r="S4" s="28"/>
      <c r="T4" s="160">
        <f t="shared" ref="T4:U19" si="0">H12</f>
        <v>3.6075503297864682</v>
      </c>
      <c r="U4" s="160">
        <f t="shared" si="0"/>
        <v>1.9125859413057213</v>
      </c>
      <c r="V4" s="152"/>
    </row>
    <row r="5" spans="1:56">
      <c r="A5" s="88" t="s">
        <v>68</v>
      </c>
      <c r="B5" s="88"/>
      <c r="C5" s="26" t="s">
        <v>15</v>
      </c>
      <c r="D5" s="26" t="s">
        <v>55</v>
      </c>
      <c r="E5" s="46" t="s">
        <v>12</v>
      </c>
      <c r="F5" s="26" t="s">
        <v>10</v>
      </c>
      <c r="G5" s="26" t="s">
        <v>14</v>
      </c>
      <c r="H5" s="26" t="s">
        <v>21</v>
      </c>
      <c r="I5" s="26" t="s">
        <v>16</v>
      </c>
      <c r="J5" s="26" t="s">
        <v>17</v>
      </c>
      <c r="K5" s="26" t="s">
        <v>23</v>
      </c>
      <c r="L5" s="28"/>
      <c r="M5" s="28"/>
      <c r="N5" s="28"/>
      <c r="O5" s="28"/>
      <c r="P5" s="28"/>
      <c r="Q5" s="28"/>
      <c r="R5" s="28"/>
      <c r="S5" s="28"/>
      <c r="T5" s="160">
        <f t="shared" si="0"/>
        <v>3.2437387731996652</v>
      </c>
      <c r="U5" s="160">
        <f t="shared" si="0"/>
        <v>1.8046022930605927</v>
      </c>
      <c r="V5" s="152"/>
    </row>
    <row r="6" spans="1:56">
      <c r="A6" s="28"/>
      <c r="B6" s="28"/>
      <c r="C6" s="23">
        <f>Mü/TAN($C$3)</f>
        <v>0.78015343986943553</v>
      </c>
      <c r="D6" s="42">
        <f>SQRT($J$3*$J$3+$K$3*$K$3)</f>
        <v>2.2737521852655798</v>
      </c>
      <c r="E6" s="20">
        <f>ATAN($J$3/$K$3)</f>
        <v>1.3859076624425977</v>
      </c>
      <c r="F6" s="23">
        <f>($E$6-0.0001)/20</f>
        <v>6.9290383122129887E-2</v>
      </c>
      <c r="G6" s="23">
        <f>COS($E$6)</f>
        <v>0.18383709654408828</v>
      </c>
      <c r="H6" s="23">
        <f>SIN($E$6)</f>
        <v>0.98295672434458659</v>
      </c>
      <c r="I6" s="23">
        <f>$C$6+$G$6</f>
        <v>0.96399053641352384</v>
      </c>
      <c r="J6" s="23">
        <f>POWER(TAN($E$6/2),$C$6)</f>
        <v>0.86496139021570029</v>
      </c>
      <c r="K6" s="23">
        <f>-$D$6*$D$6*SIN($E$6)*SIN($E$6)/(2*9.81*SIN($C$3)*POWER(TAN($E$6/2),2*$C$6))</f>
        <v>-3.8079022624590211</v>
      </c>
      <c r="L6" s="28"/>
      <c r="M6" s="28"/>
      <c r="N6" s="28"/>
      <c r="O6" s="28"/>
      <c r="P6" s="28"/>
      <c r="Q6" s="28"/>
      <c r="R6" s="28"/>
      <c r="S6" s="28"/>
      <c r="T6" s="160">
        <f t="shared" si="0"/>
        <v>2.9037180059568239</v>
      </c>
      <c r="U6" s="160">
        <f t="shared" si="0"/>
        <v>1.6774331643175364</v>
      </c>
      <c r="V6" s="152"/>
    </row>
    <row r="7" spans="1:56">
      <c r="A7" s="88" t="s">
        <v>70</v>
      </c>
      <c r="B7" s="88"/>
      <c r="C7" s="28"/>
      <c r="D7" s="102" t="s">
        <v>76</v>
      </c>
      <c r="E7" s="28"/>
      <c r="F7" s="28"/>
      <c r="G7" s="28"/>
      <c r="H7" s="28"/>
      <c r="I7" s="28"/>
      <c r="J7" s="28"/>
      <c r="K7" s="28"/>
      <c r="L7" s="28"/>
      <c r="M7" s="45"/>
      <c r="N7" s="28"/>
      <c r="O7" s="28"/>
      <c r="P7" s="28"/>
      <c r="Q7" s="28"/>
      <c r="R7" s="28"/>
      <c r="S7" s="28"/>
      <c r="T7" s="160">
        <f t="shared" si="0"/>
        <v>2.5833900579625277</v>
      </c>
      <c r="U7" s="160">
        <f t="shared" si="0"/>
        <v>1.5315828035609187</v>
      </c>
      <c r="V7" s="152"/>
    </row>
    <row r="8" spans="1:56">
      <c r="A8" s="26" t="s">
        <v>11</v>
      </c>
      <c r="B8" s="26" t="s">
        <v>13</v>
      </c>
      <c r="C8" s="26" t="s">
        <v>22</v>
      </c>
      <c r="D8" s="26" t="s">
        <v>18</v>
      </c>
      <c r="E8" s="26" t="s">
        <v>19</v>
      </c>
      <c r="F8" s="26" t="s">
        <v>20</v>
      </c>
      <c r="G8" s="26" t="s">
        <v>2</v>
      </c>
      <c r="H8" s="26" t="s">
        <v>65</v>
      </c>
      <c r="I8" s="26" t="s">
        <v>66</v>
      </c>
      <c r="J8" s="76" t="s">
        <v>3</v>
      </c>
      <c r="K8" s="76" t="s">
        <v>4</v>
      </c>
      <c r="L8" s="44" t="s">
        <v>7</v>
      </c>
      <c r="M8" s="23" t="s">
        <v>64</v>
      </c>
      <c r="N8" s="23" t="s">
        <v>61</v>
      </c>
      <c r="O8" s="23" t="s">
        <v>62</v>
      </c>
      <c r="P8" s="23" t="s">
        <v>63</v>
      </c>
      <c r="Q8" s="28"/>
      <c r="R8" s="28"/>
      <c r="S8" s="28"/>
      <c r="T8" s="160">
        <f t="shared" si="0"/>
        <v>2.2792333700578284</v>
      </c>
      <c r="U8" s="160">
        <f t="shared" si="0"/>
        <v>1.3667473933911698</v>
      </c>
      <c r="V8" s="152"/>
    </row>
    <row r="9" spans="1:56">
      <c r="A9" s="88" t="s">
        <v>60</v>
      </c>
      <c r="B9" s="88"/>
      <c r="C9" s="28"/>
      <c r="D9" s="28"/>
      <c r="E9" s="28"/>
      <c r="F9" s="28"/>
      <c r="G9" s="28"/>
      <c r="H9" s="28"/>
      <c r="I9" s="28"/>
      <c r="J9" s="28"/>
      <c r="K9" s="28"/>
      <c r="L9" s="28"/>
      <c r="M9" s="37">
        <v>0.03</v>
      </c>
      <c r="N9" s="28"/>
      <c r="O9" s="28"/>
      <c r="P9" s="28"/>
      <c r="Q9" s="28"/>
      <c r="R9" s="28"/>
      <c r="S9" s="28"/>
      <c r="T9" s="160">
        <f t="shared" si="0"/>
        <v>1.988164489977402</v>
      </c>
      <c r="U9" s="160">
        <f t="shared" si="0"/>
        <v>1.1818161980010995</v>
      </c>
      <c r="V9" s="152"/>
    </row>
    <row r="10" spans="1:56">
      <c r="A10" s="26" t="s">
        <v>11</v>
      </c>
      <c r="B10" s="26" t="s">
        <v>13</v>
      </c>
      <c r="C10" s="26" t="s">
        <v>22</v>
      </c>
      <c r="D10" s="26" t="s">
        <v>18</v>
      </c>
      <c r="E10" s="26" t="s">
        <v>19</v>
      </c>
      <c r="F10" s="26" t="s">
        <v>20</v>
      </c>
      <c r="G10" s="26" t="s">
        <v>2</v>
      </c>
      <c r="H10" s="26" t="s">
        <v>1</v>
      </c>
      <c r="I10" s="26" t="s">
        <v>0</v>
      </c>
      <c r="J10" s="76" t="s">
        <v>3</v>
      </c>
      <c r="K10" s="76" t="s">
        <v>4</v>
      </c>
      <c r="L10" s="44" t="s">
        <v>7</v>
      </c>
      <c r="M10" s="44" t="s">
        <v>24</v>
      </c>
      <c r="N10" s="28"/>
      <c r="O10" s="28"/>
      <c r="P10" s="31"/>
      <c r="Q10" s="31"/>
      <c r="R10" s="31"/>
      <c r="S10" s="31"/>
      <c r="T10" s="160">
        <f t="shared" si="0"/>
        <v>1.7074236583612059</v>
      </c>
      <c r="U10" s="160">
        <f t="shared" si="0"/>
        <v>0.97479902005517216</v>
      </c>
      <c r="V10" s="152"/>
    </row>
    <row r="11" spans="1:56">
      <c r="A11" s="20">
        <f>$E$6</f>
        <v>1.3859076624425977</v>
      </c>
      <c r="B11" s="23">
        <f t="shared" ref="B11:B31" si="1">COS(A11)</f>
        <v>0.18383709654408828</v>
      </c>
      <c r="C11" s="23">
        <f t="shared" ref="C11:C31" si="2">($C$6+B11)</f>
        <v>0.96399053641352384</v>
      </c>
      <c r="D11" s="23">
        <f t="shared" ref="D11:D31" si="3">POWER(TAN(A11/2),$C$6)</f>
        <v>0.86496139021570029</v>
      </c>
      <c r="E11" s="23">
        <f t="shared" ref="E11:E31" si="4">SIN(A11)</f>
        <v>0.98295672434458659</v>
      </c>
      <c r="F11" s="71">
        <f t="shared" ref="F11:F31" si="5">(C11*$H$6*D11/E11/$I$6/$J$6)</f>
        <v>1</v>
      </c>
      <c r="G11" s="71">
        <f t="shared" ref="G11:G31" si="6">$D$6*($C$6+$G$6)/9.81/SIN($C$3)/(1-$C$6*$C$6)*(F11-1)</f>
        <v>0</v>
      </c>
      <c r="H11" s="98">
        <f t="shared" ref="H11:H31" si="7">-(-$H$3+$K$6*((POWER(TAN(A11/2),2*$C$6-1)/(2*$C$6-1))+(POWER(TAN(A11/2),2*$C$6+1)/(2*$C$6+1))-(POWER(TAN($E$6/2),2*$C$6-1)/(2*$C$6-1))-(POWER(TAN($E$6/2),2*$C$6+1)/(2*$C$6+1))))</f>
        <v>3.9999999999999996</v>
      </c>
      <c r="I11" s="98">
        <f t="shared" ref="I11:I31" si="8">-(-$I$3+0.5*$K$6*((POWER(TAN(A11/2),2*$C$6-2)/(2*$C$6-2))-(POWER(TAN(A11/2),2*$C$6+2)/(2*$C$6+2))-(POWER(TAN($E$6/2),2*$C$6-2)/(2*$C$6-2))+(POWER(TAN($E$6/2),2*$C$6+2)/(2*$C$6+2))))</f>
        <v>2.0000000000000004</v>
      </c>
      <c r="J11" s="71">
        <f t="shared" ref="J11:J31" si="9">-$D$6*SIN(A11)*($C$6+$G$6)/($C$6+B11)*F11</f>
        <v>-2.2349999999999999</v>
      </c>
      <c r="K11" s="71">
        <f t="shared" ref="K11:K31" si="10">-$D$6*COS(A11)*($C$6+$G$6)/($C$6+B11)*F11</f>
        <v>-0.41800000000000009</v>
      </c>
      <c r="L11" s="72">
        <f t="shared" ref="L11:L31" si="11">SQRT(J11*J11+K11*K11)</f>
        <v>2.2737521852655798</v>
      </c>
      <c r="M11" s="73">
        <f>-K11/J11*H11+I11</f>
        <v>1.2519015659955262</v>
      </c>
      <c r="N11" s="28"/>
      <c r="O11" s="28"/>
      <c r="P11" s="31"/>
      <c r="Q11" s="31"/>
      <c r="R11" s="31"/>
      <c r="S11" s="31"/>
      <c r="T11" s="160">
        <f t="shared" si="0"/>
        <v>1.4344756150679423</v>
      </c>
      <c r="U11" s="160">
        <f t="shared" si="0"/>
        <v>0.74266442468844129</v>
      </c>
      <c r="V11" s="152"/>
    </row>
    <row r="12" spans="1:56">
      <c r="A12" s="20">
        <f>A11-$F$6</f>
        <v>1.3166172793204678</v>
      </c>
      <c r="B12" s="23">
        <f t="shared" si="1"/>
        <v>0.25145091809507575</v>
      </c>
      <c r="C12" s="23">
        <f t="shared" si="2"/>
        <v>1.0316043579645113</v>
      </c>
      <c r="D12" s="23">
        <f t="shared" si="3"/>
        <v>0.81834681468023529</v>
      </c>
      <c r="E12" s="23">
        <f t="shared" si="4"/>
        <v>0.96787005108596247</v>
      </c>
      <c r="F12" s="71">
        <f t="shared" si="5"/>
        <v>1.0282492900970628</v>
      </c>
      <c r="G12" s="71">
        <f t="shared" si="6"/>
        <v>0.18046812385305902</v>
      </c>
      <c r="H12" s="99">
        <f t="shared" si="7"/>
        <v>3.6075503297864682</v>
      </c>
      <c r="I12" s="99">
        <f t="shared" si="8"/>
        <v>1.9125859413057213</v>
      </c>
      <c r="J12" s="71">
        <f t="shared" si="9"/>
        <v>-2.1145511828617183</v>
      </c>
      <c r="K12" s="71">
        <f t="shared" si="10"/>
        <v>-0.54935663697107562</v>
      </c>
      <c r="L12" s="42">
        <f t="shared" si="11"/>
        <v>2.1847469921082538</v>
      </c>
      <c r="M12" s="45"/>
      <c r="N12" s="28"/>
      <c r="O12" s="28"/>
      <c r="P12" s="31"/>
      <c r="Q12" s="31"/>
      <c r="R12" s="31"/>
      <c r="S12" s="31"/>
      <c r="T12" s="160">
        <f t="shared" si="0"/>
        <v>1.1669178745313404</v>
      </c>
      <c r="U12" s="160">
        <f t="shared" si="0"/>
        <v>0.48105516777173363</v>
      </c>
      <c r="V12" s="152"/>
    </row>
    <row r="13" spans="1:56">
      <c r="A13" s="23">
        <f t="shared" ref="A13:A31" si="12">A12-$F$6</f>
        <v>1.2473268961983379</v>
      </c>
      <c r="B13" s="23">
        <f t="shared" si="1"/>
        <v>0.31785796720318904</v>
      </c>
      <c r="C13" s="23">
        <f t="shared" si="2"/>
        <v>1.0980114070726246</v>
      </c>
      <c r="D13" s="23">
        <f t="shared" si="3"/>
        <v>0.7734646653763424</v>
      </c>
      <c r="E13" s="23">
        <f t="shared" si="4"/>
        <v>0.94813834047856982</v>
      </c>
      <c r="F13" s="71">
        <f t="shared" si="5"/>
        <v>1.0559431253685128</v>
      </c>
      <c r="G13" s="71">
        <f t="shared" si="6"/>
        <v>0.35738777303935482</v>
      </c>
      <c r="H13" s="99">
        <f t="shared" si="7"/>
        <v>3.2437387731996652</v>
      </c>
      <c r="I13" s="99">
        <f t="shared" si="8"/>
        <v>1.8046022930605927</v>
      </c>
      <c r="J13" s="77">
        <f t="shared" si="9"/>
        <v>-1.9985788344668556</v>
      </c>
      <c r="K13" s="77">
        <f t="shared" si="10"/>
        <v>-0.67001214748715465</v>
      </c>
      <c r="L13" s="42">
        <f t="shared" si="11"/>
        <v>2.107897918628709</v>
      </c>
      <c r="M13" s="45"/>
      <c r="N13" s="28"/>
      <c r="O13" s="28"/>
      <c r="P13" s="31"/>
      <c r="Q13" s="31"/>
      <c r="R13" s="31"/>
      <c r="S13" s="31"/>
      <c r="T13" s="160">
        <f t="shared" si="0"/>
        <v>0.90238844033527954</v>
      </c>
      <c r="U13" s="160">
        <f t="shared" si="0"/>
        <v>0.1838171580705863</v>
      </c>
      <c r="V13" s="152"/>
    </row>
    <row r="14" spans="1:56">
      <c r="A14" s="23">
        <f t="shared" si="12"/>
        <v>1.178036513076208</v>
      </c>
      <c r="B14" s="23">
        <f t="shared" si="1"/>
        <v>0.38273954072952787</v>
      </c>
      <c r="C14" s="23">
        <f t="shared" si="2"/>
        <v>1.1628929805989634</v>
      </c>
      <c r="D14" s="23">
        <f t="shared" si="3"/>
        <v>0.73007432674465111</v>
      </c>
      <c r="E14" s="23">
        <f t="shared" si="4"/>
        <v>0.92385628966963806</v>
      </c>
      <c r="F14" s="71">
        <f t="shared" si="5"/>
        <v>1.0833463174052453</v>
      </c>
      <c r="G14" s="71">
        <f t="shared" si="6"/>
        <v>0.53245067329143636</v>
      </c>
      <c r="H14" s="99">
        <f t="shared" si="7"/>
        <v>2.9037180059568239</v>
      </c>
      <c r="I14" s="99">
        <f t="shared" si="8"/>
        <v>1.6774331643175364</v>
      </c>
      <c r="J14" s="71">
        <f t="shared" si="9"/>
        <v>-1.8864612209654641</v>
      </c>
      <c r="K14" s="71">
        <f t="shared" si="10"/>
        <v>-0.78153205145637383</v>
      </c>
      <c r="L14" s="42">
        <f t="shared" si="11"/>
        <v>2.0419422826466271</v>
      </c>
      <c r="M14" s="45"/>
      <c r="N14" s="28"/>
      <c r="O14" s="28"/>
      <c r="P14" s="31"/>
      <c r="Q14" s="31"/>
      <c r="R14" s="31"/>
      <c r="S14" s="31"/>
      <c r="T14" s="160">
        <f t="shared" si="0"/>
        <v>0.63846305168572393</v>
      </c>
      <c r="U14" s="160">
        <f t="shared" si="0"/>
        <v>-0.15777729331134616</v>
      </c>
      <c r="V14" s="152"/>
    </row>
    <row r="15" spans="1:56">
      <c r="A15" s="23">
        <f t="shared" si="12"/>
        <v>1.1087461299540782</v>
      </c>
      <c r="B15" s="23">
        <f t="shared" si="1"/>
        <v>0.44578425665339788</v>
      </c>
      <c r="C15" s="23">
        <f t="shared" si="2"/>
        <v>1.2259376965228335</v>
      </c>
      <c r="D15" s="23">
        <f t="shared" si="3"/>
        <v>0.68795882344820813</v>
      </c>
      <c r="E15" s="23">
        <f t="shared" si="4"/>
        <v>0.8951404339655189</v>
      </c>
      <c r="F15" s="71">
        <f t="shared" si="5"/>
        <v>1.1107199570128545</v>
      </c>
      <c r="G15" s="71">
        <f t="shared" si="6"/>
        <v>0.70732478042974845</v>
      </c>
      <c r="H15" s="99">
        <f t="shared" si="7"/>
        <v>2.5833900579625277</v>
      </c>
      <c r="I15" s="99">
        <f t="shared" si="8"/>
        <v>1.5315828035609187</v>
      </c>
      <c r="J15" s="71">
        <f t="shared" si="9"/>
        <v>-1.7776376931961186</v>
      </c>
      <c r="K15" s="71">
        <f t="shared" si="10"/>
        <v>-0.88527215126449965</v>
      </c>
      <c r="L15" s="42">
        <f t="shared" si="11"/>
        <v>1.985875764008437</v>
      </c>
      <c r="M15" s="45"/>
      <c r="N15" s="28"/>
      <c r="O15" s="28"/>
      <c r="P15" s="89"/>
      <c r="Q15" s="31"/>
      <c r="R15" s="31"/>
      <c r="S15" s="31"/>
      <c r="T15" s="160">
        <f t="shared" si="0"/>
        <v>0.37252750293255632</v>
      </c>
      <c r="U15" s="160">
        <f t="shared" si="0"/>
        <v>-0.55634214925130898</v>
      </c>
      <c r="V15" s="152"/>
    </row>
    <row r="16" spans="1:56">
      <c r="A16" s="23">
        <f t="shared" si="12"/>
        <v>1.0394557468319483</v>
      </c>
      <c r="B16" s="23">
        <f t="shared" si="1"/>
        <v>0.50668954846829306</v>
      </c>
      <c r="C16" s="23">
        <f t="shared" si="2"/>
        <v>1.2868429883377286</v>
      </c>
      <c r="D16" s="23">
        <f t="shared" si="3"/>
        <v>0.64691980840266716</v>
      </c>
      <c r="E16" s="23">
        <f t="shared" si="4"/>
        <v>0.86212858755118271</v>
      </c>
      <c r="F16" s="71">
        <f t="shared" si="5"/>
        <v>1.1383318021275775</v>
      </c>
      <c r="G16" s="71">
        <f t="shared" si="6"/>
        <v>0.88372064265686379</v>
      </c>
      <c r="H16" s="99">
        <f t="shared" si="7"/>
        <v>2.2792333700578284</v>
      </c>
      <c r="I16" s="99">
        <f t="shared" si="8"/>
        <v>1.3667473933911698</v>
      </c>
      <c r="J16" s="71">
        <f t="shared" si="9"/>
        <v>-1.6715957361049349</v>
      </c>
      <c r="K16" s="71">
        <f t="shared" si="10"/>
        <v>-0.98242895662968599</v>
      </c>
      <c r="L16" s="42">
        <f t="shared" si="11"/>
        <v>1.938916955361599</v>
      </c>
      <c r="M16" s="45"/>
      <c r="N16" s="28"/>
      <c r="O16" s="28"/>
      <c r="P16" s="28"/>
      <c r="Q16" s="89"/>
      <c r="R16" s="89"/>
      <c r="S16" s="89"/>
      <c r="T16" s="160">
        <f t="shared" si="0"/>
        <v>0.10160078064896805</v>
      </c>
      <c r="U16" s="160">
        <f t="shared" si="0"/>
        <v>-1.0306956135892542</v>
      </c>
      <c r="V16" s="152"/>
    </row>
    <row r="17" spans="1:22">
      <c r="A17" s="23">
        <f t="shared" si="12"/>
        <v>0.97016536370981843</v>
      </c>
      <c r="B17" s="23">
        <f t="shared" si="1"/>
        <v>0.56516311727014001</v>
      </c>
      <c r="C17" s="23">
        <f t="shared" si="2"/>
        <v>1.3453165571395755</v>
      </c>
      <c r="D17" s="23">
        <f t="shared" si="3"/>
        <v>0.60677316494726963</v>
      </c>
      <c r="E17" s="23">
        <f t="shared" si="4"/>
        <v>0.82497918208734089</v>
      </c>
      <c r="F17" s="71">
        <f t="shared" si="5"/>
        <v>1.1664678376643103</v>
      </c>
      <c r="G17" s="71">
        <f t="shared" si="6"/>
        <v>1.0634652496374519</v>
      </c>
      <c r="H17" s="99">
        <f t="shared" si="7"/>
        <v>1.988164489977402</v>
      </c>
      <c r="I17" s="99">
        <f t="shared" si="8"/>
        <v>1.1818161980010995</v>
      </c>
      <c r="J17" s="71">
        <f t="shared" si="9"/>
        <v>-1.5678596050616316</v>
      </c>
      <c r="K17" s="71">
        <f t="shared" si="10"/>
        <v>-1.0740833721362328</v>
      </c>
      <c r="L17" s="42">
        <f t="shared" si="11"/>
        <v>1.9004838414160634</v>
      </c>
      <c r="M17" s="45"/>
      <c r="N17" s="28"/>
      <c r="O17" s="28"/>
      <c r="P17" s="28"/>
      <c r="Q17" s="28"/>
      <c r="R17" s="28"/>
      <c r="S17" s="28"/>
      <c r="T17" s="160">
        <f t="shared" si="0"/>
        <v>-0.17793662439631852</v>
      </c>
      <c r="U17" s="160">
        <f t="shared" si="0"/>
        <v>-1.6102146258425525</v>
      </c>
      <c r="V17" s="152"/>
    </row>
    <row r="18" spans="1:22">
      <c r="A18" s="23">
        <f t="shared" si="12"/>
        <v>0.90087498058768856</v>
      </c>
      <c r="B18" s="23">
        <f t="shared" si="1"/>
        <v>0.6209243345688894</v>
      </c>
      <c r="C18" s="23">
        <f t="shared" si="2"/>
        <v>1.4010777744383249</v>
      </c>
      <c r="D18" s="23">
        <f t="shared" si="3"/>
        <v>0.56734498558448831</v>
      </c>
      <c r="E18" s="23">
        <f t="shared" si="4"/>
        <v>0.78387050635942535</v>
      </c>
      <c r="F18" s="71">
        <f t="shared" si="5"/>
        <v>1.195446227905544</v>
      </c>
      <c r="G18" s="71">
        <f t="shared" si="6"/>
        <v>1.2485911661170663</v>
      </c>
      <c r="H18" s="99">
        <f t="shared" si="7"/>
        <v>1.7074236583612059</v>
      </c>
      <c r="I18" s="99">
        <f t="shared" si="8"/>
        <v>0.97479902005517216</v>
      </c>
      <c r="J18" s="71">
        <f t="shared" si="9"/>
        <v>-1.465979935202794</v>
      </c>
      <c r="K18" s="71">
        <f t="shared" si="10"/>
        <v>-1.1612410575118117</v>
      </c>
      <c r="L18" s="42">
        <f t="shared" si="11"/>
        <v>1.8701812650297669</v>
      </c>
      <c r="M18" s="45"/>
      <c r="N18" s="28"/>
      <c r="O18" s="28"/>
      <c r="P18" s="28"/>
      <c r="Q18" s="28"/>
      <c r="R18" s="28"/>
      <c r="S18" s="28"/>
      <c r="T18" s="160">
        <f t="shared" si="0"/>
        <v>-0.47080490665812125</v>
      </c>
      <c r="U18" s="160">
        <f t="shared" si="0"/>
        <v>-2.3437247132704808</v>
      </c>
      <c r="V18" s="152"/>
    </row>
    <row r="19" spans="1:22">
      <c r="A19" s="23">
        <f t="shared" si="12"/>
        <v>0.83158459746555868</v>
      </c>
      <c r="B19" s="23">
        <f t="shared" si="1"/>
        <v>0.67370558909102896</v>
      </c>
      <c r="C19" s="23">
        <f t="shared" si="2"/>
        <v>1.4538590289604645</v>
      </c>
      <c r="D19" s="23">
        <f t="shared" si="3"/>
        <v>0.52846769620085343</v>
      </c>
      <c r="E19" s="23">
        <f t="shared" si="4"/>
        <v>0.73899985062752871</v>
      </c>
      <c r="F19" s="71">
        <f t="shared" si="5"/>
        <v>1.2256354052893312</v>
      </c>
      <c r="G19" s="71">
        <f t="shared" si="6"/>
        <v>1.4414520905650672</v>
      </c>
      <c r="H19" s="99">
        <f t="shared" si="7"/>
        <v>1.4344756150679423</v>
      </c>
      <c r="I19" s="99">
        <f t="shared" si="8"/>
        <v>0.74266442468844129</v>
      </c>
      <c r="J19" s="71">
        <f t="shared" si="9"/>
        <v>-1.3655237266883824</v>
      </c>
      <c r="K19" s="71">
        <f t="shared" si="10"/>
        <v>-1.244873007653764</v>
      </c>
      <c r="L19" s="42">
        <f t="shared" si="11"/>
        <v>1.847799733015961</v>
      </c>
      <c r="M19" s="45"/>
      <c r="N19" s="28"/>
      <c r="O19" s="28"/>
      <c r="P19" s="28"/>
      <c r="Q19" s="28"/>
      <c r="R19" s="28"/>
      <c r="S19" s="28"/>
      <c r="T19" s="160">
        <f t="shared" si="0"/>
        <v>-0.78370392906091091</v>
      </c>
      <c r="U19" s="160">
        <f t="shared" si="0"/>
        <v>-3.3198229849614176</v>
      </c>
      <c r="V19" s="152"/>
    </row>
    <row r="20" spans="1:22">
      <c r="A20" s="23">
        <f t="shared" si="12"/>
        <v>0.76229421434342881</v>
      </c>
      <c r="B20" s="23">
        <f t="shared" si="1"/>
        <v>0.72325357110939514</v>
      </c>
      <c r="C20" s="23">
        <f t="shared" si="2"/>
        <v>1.5034070109788307</v>
      </c>
      <c r="D20" s="23">
        <f t="shared" si="3"/>
        <v>0.4899760709469379</v>
      </c>
      <c r="E20" s="23">
        <f t="shared" si="4"/>
        <v>0.69058255978377203</v>
      </c>
      <c r="F20" s="71">
        <f t="shared" si="5"/>
        <v>1.2574790006143552</v>
      </c>
      <c r="G20" s="71">
        <f t="shared" si="6"/>
        <v>1.6448821196135013</v>
      </c>
      <c r="H20" s="99">
        <f t="shared" si="7"/>
        <v>1.1669178745313404</v>
      </c>
      <c r="I20" s="99">
        <f t="shared" si="8"/>
        <v>0.48105516777173363</v>
      </c>
      <c r="J20" s="71">
        <f t="shared" si="9"/>
        <v>-1.2660640474291176</v>
      </c>
      <c r="K20" s="71">
        <f t="shared" si="10"/>
        <v>-1.3259607132897098</v>
      </c>
      <c r="L20" s="42">
        <f t="shared" si="11"/>
        <v>1.8333275717613464</v>
      </c>
      <c r="M20" s="45"/>
      <c r="N20" s="103"/>
      <c r="O20" s="161"/>
      <c r="P20" s="28"/>
      <c r="Q20" s="28"/>
      <c r="R20" s="28"/>
      <c r="S20" s="28"/>
      <c r="T20" s="160">
        <f t="shared" ref="T20:U23" si="13">H28</f>
        <v>-1.1272346408720733</v>
      </c>
      <c r="U20" s="160">
        <f t="shared" si="13"/>
        <v>-4.7214785558989494</v>
      </c>
      <c r="V20" s="152"/>
    </row>
    <row r="21" spans="1:22">
      <c r="A21" s="23">
        <f t="shared" si="12"/>
        <v>0.69300383122129894</v>
      </c>
      <c r="B21" s="23">
        <f t="shared" si="1"/>
        <v>0.76933048813648086</v>
      </c>
      <c r="C21" s="23">
        <f t="shared" si="2"/>
        <v>1.5494839280059165</v>
      </c>
      <c r="D21" s="23">
        <f t="shared" si="3"/>
        <v>0.45170281657967382</v>
      </c>
      <c r="E21" s="23">
        <f t="shared" si="4"/>
        <v>0.63885099986122273</v>
      </c>
      <c r="F21" s="71">
        <f t="shared" si="5"/>
        <v>1.2915320896117646</v>
      </c>
      <c r="G21" s="71">
        <f t="shared" si="6"/>
        <v>1.8624273061172387</v>
      </c>
      <c r="H21" s="99">
        <f t="shared" si="7"/>
        <v>0.90238844033527954</v>
      </c>
      <c r="I21" s="99">
        <f t="shared" si="8"/>
        <v>0.1838171580705863</v>
      </c>
      <c r="J21" s="71">
        <f t="shared" si="9"/>
        <v>-1.1671686233345195</v>
      </c>
      <c r="K21" s="71">
        <f t="shared" si="10"/>
        <v>-1.405552166189908</v>
      </c>
      <c r="L21" s="42">
        <f t="shared" si="11"/>
        <v>1.8269809761400748</v>
      </c>
      <c r="M21" s="45"/>
      <c r="N21" s="103"/>
      <c r="O21" s="161"/>
      <c r="P21" s="28"/>
      <c r="Q21" s="28"/>
      <c r="R21" s="28"/>
      <c r="S21" s="28"/>
      <c r="T21" s="160">
        <f t="shared" si="13"/>
        <v>-1.5210374993109124</v>
      </c>
      <c r="U21" s="160">
        <f t="shared" si="13"/>
        <v>-7.0148623594231623</v>
      </c>
      <c r="V21" s="152"/>
    </row>
    <row r="22" spans="1:22">
      <c r="A22" s="23">
        <f t="shared" si="12"/>
        <v>0.62371344809916907</v>
      </c>
      <c r="B22" s="23">
        <f t="shared" si="1"/>
        <v>0.81171520614683856</v>
      </c>
      <c r="C22" s="23">
        <f t="shared" si="2"/>
        <v>1.5918686460162741</v>
      </c>
      <c r="D22" s="23">
        <f t="shared" si="3"/>
        <v>0.41347326846036547</v>
      </c>
      <c r="E22" s="23">
        <f t="shared" si="4"/>
        <v>0.58405344285432936</v>
      </c>
      <c r="F22" s="71">
        <f t="shared" si="5"/>
        <v>1.3285165933144234</v>
      </c>
      <c r="G22" s="71">
        <f t="shared" si="6"/>
        <v>2.0986995795769294</v>
      </c>
      <c r="H22" s="99">
        <f t="shared" si="7"/>
        <v>0.63846305168572393</v>
      </c>
      <c r="I22" s="99">
        <f t="shared" si="8"/>
        <v>-0.15777729331134616</v>
      </c>
      <c r="J22" s="71">
        <f t="shared" si="9"/>
        <v>-1.0683861331411171</v>
      </c>
      <c r="K22" s="71">
        <f t="shared" si="10"/>
        <v>-1.4848388977365605</v>
      </c>
      <c r="L22" s="42">
        <f t="shared" si="11"/>
        <v>1.82926091132997</v>
      </c>
      <c r="M22" s="45"/>
      <c r="N22" s="28"/>
      <c r="O22" s="28"/>
      <c r="P22" s="28"/>
      <c r="Q22" s="28"/>
      <c r="R22" s="28"/>
      <c r="S22" s="28"/>
      <c r="T22" s="160">
        <f t="shared" si="13"/>
        <v>-2.013437331220949</v>
      </c>
      <c r="U22" s="160">
        <f t="shared" si="13"/>
        <v>-12.003620596808455</v>
      </c>
      <c r="V22" s="152"/>
    </row>
    <row r="23" spans="1:22">
      <c r="A23" s="23">
        <f t="shared" si="12"/>
        <v>0.55442306497703919</v>
      </c>
      <c r="B23" s="23">
        <f t="shared" si="1"/>
        <v>0.85020431085158266</v>
      </c>
      <c r="C23" s="23">
        <f t="shared" si="2"/>
        <v>1.6303577507210183</v>
      </c>
      <c r="D23" s="23">
        <f t="shared" si="3"/>
        <v>0.37509847436089205</v>
      </c>
      <c r="E23" s="23">
        <f t="shared" si="4"/>
        <v>0.52645287520288597</v>
      </c>
      <c r="F23" s="71">
        <f t="shared" si="5"/>
        <v>1.3694103748865525</v>
      </c>
      <c r="G23" s="71">
        <f t="shared" si="6"/>
        <v>2.3599459334577397</v>
      </c>
      <c r="H23" s="99">
        <f t="shared" si="7"/>
        <v>0.37252750293255632</v>
      </c>
      <c r="I23" s="99">
        <f t="shared" si="8"/>
        <v>-0.55634214925130898</v>
      </c>
      <c r="J23" s="71">
        <f t="shared" si="9"/>
        <v>-0.96922833744929471</v>
      </c>
      <c r="K23" s="71">
        <f t="shared" si="10"/>
        <v>-1.5652723149841876</v>
      </c>
      <c r="L23" s="42">
        <f t="shared" si="11"/>
        <v>1.8410543148344869</v>
      </c>
      <c r="M23" s="45"/>
      <c r="N23" s="28"/>
      <c r="O23" s="28"/>
      <c r="P23" s="28"/>
      <c r="Q23" s="28"/>
      <c r="R23" s="28"/>
      <c r="S23" s="28"/>
      <c r="T23" s="160">
        <f t="shared" si="13"/>
        <v>-3.0211204094538484</v>
      </c>
      <c r="U23" s="160">
        <f t="shared" si="13"/>
        <v>-330.03245801354836</v>
      </c>
      <c r="V23" s="152"/>
    </row>
    <row r="24" spans="1:22">
      <c r="A24" s="23">
        <f t="shared" si="12"/>
        <v>0.48513268185490932</v>
      </c>
      <c r="B24" s="23">
        <f t="shared" si="1"/>
        <v>0.88461308393168514</v>
      </c>
      <c r="C24" s="23">
        <f t="shared" si="2"/>
        <v>1.6647665238011207</v>
      </c>
      <c r="D24" s="23">
        <f t="shared" si="3"/>
        <v>0.33636541529039532</v>
      </c>
      <c r="E24" s="23">
        <f t="shared" si="4"/>
        <v>0.46632573565789126</v>
      </c>
      <c r="F24" s="71">
        <f t="shared" si="5"/>
        <v>1.4155988185085144</v>
      </c>
      <c r="G24" s="71">
        <f t="shared" si="6"/>
        <v>2.6550167736632058</v>
      </c>
      <c r="H24" s="99">
        <f t="shared" si="7"/>
        <v>0.10160078064896805</v>
      </c>
      <c r="I24" s="99">
        <f t="shared" si="8"/>
        <v>-1.0306956135892542</v>
      </c>
      <c r="J24" s="71">
        <f t="shared" si="9"/>
        <v>-0.86914481002043198</v>
      </c>
      <c r="K24" s="71">
        <f t="shared" si="10"/>
        <v>-1.6487549624313389</v>
      </c>
      <c r="L24" s="42">
        <f t="shared" si="11"/>
        <v>1.8638148048900725</v>
      </c>
      <c r="M24" s="45"/>
      <c r="N24" s="28"/>
      <c r="O24" s="28"/>
      <c r="P24" s="28"/>
      <c r="Q24" s="28"/>
      <c r="R24" s="28"/>
      <c r="S24" s="28"/>
      <c r="T24" s="28"/>
      <c r="U24" s="28"/>
      <c r="V24" s="152"/>
    </row>
    <row r="25" spans="1:22">
      <c r="A25" s="23">
        <f t="shared" si="12"/>
        <v>0.41584229873277945</v>
      </c>
      <c r="B25" s="23">
        <f t="shared" si="1"/>
        <v>0.91477638954488794</v>
      </c>
      <c r="C25" s="23">
        <f t="shared" si="2"/>
        <v>1.6949298294143236</v>
      </c>
      <c r="D25" s="23">
        <f t="shared" si="3"/>
        <v>0.29702201223825364</v>
      </c>
      <c r="E25" s="23">
        <f t="shared" si="4"/>
        <v>0.40396058858658401</v>
      </c>
      <c r="F25" s="71">
        <f t="shared" si="5"/>
        <v>1.469150435550663</v>
      </c>
      <c r="G25" s="71">
        <f t="shared" si="6"/>
        <v>2.9971266045187042</v>
      </c>
      <c r="H25" s="99">
        <f t="shared" si="7"/>
        <v>-0.17793662439631852</v>
      </c>
      <c r="I25" s="99">
        <f t="shared" si="8"/>
        <v>-1.6102146258425525</v>
      </c>
      <c r="J25" s="71">
        <f t="shared" si="9"/>
        <v>-0.76748419624481778</v>
      </c>
      <c r="K25" s="71">
        <f t="shared" si="10"/>
        <v>-1.7379824713348568</v>
      </c>
      <c r="L25" s="42">
        <f t="shared" si="11"/>
        <v>1.89989869786596</v>
      </c>
      <c r="M25" s="45"/>
      <c r="N25" s="28"/>
      <c r="O25" s="28"/>
      <c r="P25" s="28"/>
      <c r="Q25" s="28"/>
      <c r="R25" s="28"/>
      <c r="S25" s="28"/>
      <c r="T25" s="28"/>
      <c r="U25" s="28"/>
      <c r="V25" s="152"/>
    </row>
    <row r="26" spans="1:22">
      <c r="A26" s="23">
        <f t="shared" si="12"/>
        <v>0.34655191561064957</v>
      </c>
      <c r="B26" s="23">
        <f t="shared" si="1"/>
        <v>0.94054946685167728</v>
      </c>
      <c r="C26" s="23">
        <f t="shared" si="2"/>
        <v>1.7207029067211128</v>
      </c>
      <c r="D26" s="23">
        <f t="shared" si="3"/>
        <v>0.25675207829702612</v>
      </c>
      <c r="E26" s="23">
        <f t="shared" si="4"/>
        <v>0.33965673908377803</v>
      </c>
      <c r="F26" s="71">
        <f t="shared" si="5"/>
        <v>1.5333614121577086</v>
      </c>
      <c r="G26" s="71">
        <f t="shared" si="6"/>
        <v>3.4073328234796203</v>
      </c>
      <c r="H26" s="99">
        <f t="shared" si="7"/>
        <v>-0.47080490665812125</v>
      </c>
      <c r="I26" s="99">
        <f t="shared" si="8"/>
        <v>-2.3437247132704808</v>
      </c>
      <c r="J26" s="71">
        <f t="shared" si="9"/>
        <v>-0.66342949117156713</v>
      </c>
      <c r="K26" s="71">
        <f t="shared" si="10"/>
        <v>-1.8371143051608561</v>
      </c>
      <c r="L26" s="42">
        <f t="shared" si="11"/>
        <v>1.9532351778479773</v>
      </c>
      <c r="M26" s="45"/>
      <c r="N26" s="28"/>
      <c r="O26" s="28"/>
      <c r="P26" s="28"/>
      <c r="Q26" s="28"/>
      <c r="R26" s="28"/>
      <c r="S26" s="28"/>
      <c r="T26" s="28"/>
      <c r="U26" s="28"/>
      <c r="V26" s="152"/>
    </row>
    <row r="27" spans="1:22">
      <c r="A27" s="23">
        <f t="shared" si="12"/>
        <v>0.2772615324885197</v>
      </c>
      <c r="B27" s="23">
        <f t="shared" si="1"/>
        <v>0.96180862475679862</v>
      </c>
      <c r="C27" s="23">
        <f t="shared" si="2"/>
        <v>1.7419620646262342</v>
      </c>
      <c r="D27" s="23">
        <f t="shared" si="3"/>
        <v>0.21512908616216755</v>
      </c>
      <c r="E27" s="23">
        <f t="shared" si="4"/>
        <v>0.27372279653590381</v>
      </c>
      <c r="F27" s="71">
        <f t="shared" si="5"/>
        <v>1.6139562668863372</v>
      </c>
      <c r="G27" s="71">
        <f t="shared" si="6"/>
        <v>3.9222060176416833</v>
      </c>
      <c r="H27" s="99">
        <f t="shared" si="7"/>
        <v>-0.78370392906091091</v>
      </c>
      <c r="I27" s="99">
        <f t="shared" si="8"/>
        <v>-3.3198229849614176</v>
      </c>
      <c r="J27" s="71">
        <f t="shared" si="9"/>
        <v>-0.55587857794732465</v>
      </c>
      <c r="K27" s="71">
        <f t="shared" si="10"/>
        <v>-1.9532491168200974</v>
      </c>
      <c r="L27" s="42">
        <f t="shared" si="11"/>
        <v>2.0308084857463125</v>
      </c>
      <c r="M27" s="45"/>
      <c r="N27" s="28"/>
      <c r="O27" s="28"/>
      <c r="P27" s="28"/>
      <c r="Q27" s="28"/>
      <c r="R27" s="28"/>
      <c r="S27" s="28"/>
      <c r="T27" s="28"/>
      <c r="U27" s="28"/>
      <c r="V27" s="152"/>
    </row>
    <row r="28" spans="1:22">
      <c r="A28" s="23">
        <f t="shared" si="12"/>
        <v>0.20797114936638983</v>
      </c>
      <c r="B28" s="23">
        <f t="shared" si="1"/>
        <v>0.97845183553208548</v>
      </c>
      <c r="C28" s="23">
        <f t="shared" si="2"/>
        <v>1.7586052754015209</v>
      </c>
      <c r="D28" s="23">
        <f t="shared" si="3"/>
        <v>0.17151909524275574</v>
      </c>
      <c r="E28" s="23">
        <f t="shared" si="4"/>
        <v>0.20647519353155405</v>
      </c>
      <c r="F28" s="71">
        <f t="shared" si="5"/>
        <v>1.72217734729328</v>
      </c>
      <c r="G28" s="71">
        <f t="shared" si="6"/>
        <v>4.6135669430060586</v>
      </c>
      <c r="H28" s="99">
        <f t="shared" si="7"/>
        <v>-1.1272346408720733</v>
      </c>
      <c r="I28" s="99">
        <f t="shared" si="8"/>
        <v>-4.7214785558989494</v>
      </c>
      <c r="J28" s="71">
        <f t="shared" si="9"/>
        <v>-0.44319339823013615</v>
      </c>
      <c r="K28" s="71">
        <f t="shared" si="10"/>
        <v>-2.1002203052915838</v>
      </c>
      <c r="L28" s="42">
        <f t="shared" si="11"/>
        <v>2.1464728554057815</v>
      </c>
      <c r="M28" s="45"/>
      <c r="N28" s="28"/>
      <c r="O28" s="28"/>
      <c r="P28" s="28"/>
      <c r="Q28" s="28"/>
      <c r="R28" s="28"/>
      <c r="S28" s="28"/>
      <c r="T28" s="28"/>
      <c r="U28" s="28"/>
      <c r="V28" s="152"/>
    </row>
    <row r="29" spans="1:22">
      <c r="A29" s="23">
        <f t="shared" si="12"/>
        <v>0.13868076624425996</v>
      </c>
      <c r="B29" s="23">
        <f t="shared" si="1"/>
        <v>0.99039922447166406</v>
      </c>
      <c r="C29" s="23">
        <f t="shared" si="2"/>
        <v>1.7705526643410996</v>
      </c>
      <c r="D29" s="23">
        <f t="shared" si="3"/>
        <v>0.12483462343948828</v>
      </c>
      <c r="E29" s="23">
        <f t="shared" si="4"/>
        <v>0.13823666722663086</v>
      </c>
      <c r="F29" s="71">
        <f t="shared" si="5"/>
        <v>1.8848880259899077</v>
      </c>
      <c r="G29" s="71">
        <f t="shared" si="6"/>
        <v>5.6530299105477253</v>
      </c>
      <c r="H29" s="99">
        <f t="shared" si="7"/>
        <v>-1.5210374993109124</v>
      </c>
      <c r="I29" s="99">
        <f t="shared" si="8"/>
        <v>-7.0148623594231623</v>
      </c>
      <c r="J29" s="71">
        <f t="shared" si="9"/>
        <v>-0.32256397400313924</v>
      </c>
      <c r="K29" s="71">
        <f t="shared" si="10"/>
        <v>-2.3110157102634687</v>
      </c>
      <c r="L29" s="42">
        <f t="shared" si="11"/>
        <v>2.3334183359203431</v>
      </c>
      <c r="M29" s="45"/>
      <c r="N29" s="28"/>
      <c r="O29" s="28"/>
      <c r="P29" s="28"/>
      <c r="Q29" s="28"/>
      <c r="R29" s="28"/>
      <c r="S29" s="28"/>
      <c r="T29" s="28"/>
      <c r="U29" s="28"/>
      <c r="V29" s="152"/>
    </row>
    <row r="30" spans="1:22">
      <c r="A30" s="23">
        <f t="shared" si="12"/>
        <v>6.939038312213007E-2</v>
      </c>
      <c r="B30" s="23">
        <f t="shared" si="1"/>
        <v>0.99759345322956294</v>
      </c>
      <c r="C30" s="23">
        <f t="shared" si="2"/>
        <v>1.7777468930989984</v>
      </c>
      <c r="D30" s="23">
        <f t="shared" si="3"/>
        <v>7.266446059461501E-2</v>
      </c>
      <c r="E30" s="23">
        <f t="shared" si="4"/>
        <v>6.9334710452383277E-2</v>
      </c>
      <c r="F30" s="71">
        <f t="shared" si="5"/>
        <v>2.1963734316796262</v>
      </c>
      <c r="G30" s="71">
        <f t="shared" si="6"/>
        <v>7.6429272346676402</v>
      </c>
      <c r="H30" s="99">
        <f t="shared" si="7"/>
        <v>-2.013437331220949</v>
      </c>
      <c r="I30" s="99">
        <f t="shared" si="8"/>
        <v>-12.003620596808455</v>
      </c>
      <c r="J30" s="71">
        <f t="shared" si="9"/>
        <v>-0.18775990612536433</v>
      </c>
      <c r="K30" s="71">
        <f t="shared" si="10"/>
        <v>-2.7015048005183147</v>
      </c>
      <c r="L30" s="42">
        <f t="shared" si="11"/>
        <v>2.7080217815910759</v>
      </c>
      <c r="M30" s="45"/>
      <c r="N30" s="28"/>
      <c r="O30" s="28"/>
      <c r="P30" s="28"/>
      <c r="Q30" s="28"/>
      <c r="R30" s="28"/>
      <c r="S30" s="28"/>
      <c r="T30" s="28"/>
      <c r="U30" s="28"/>
      <c r="V30" s="152"/>
    </row>
    <row r="31" spans="1:22">
      <c r="A31" s="23">
        <f t="shared" si="12"/>
        <v>1.0000000000018328E-4</v>
      </c>
      <c r="B31" s="23">
        <f t="shared" si="1"/>
        <v>0.99999999500000003</v>
      </c>
      <c r="C31" s="23">
        <f t="shared" si="2"/>
        <v>1.7801534348694354</v>
      </c>
      <c r="D31" s="23">
        <f t="shared" si="3"/>
        <v>4.410995900814347E-4</v>
      </c>
      <c r="E31" s="23">
        <f t="shared" si="4"/>
        <v>9.9999999833516614E-5</v>
      </c>
      <c r="F31" s="71">
        <f t="shared" si="5"/>
        <v>9.2567598536800872</v>
      </c>
      <c r="G31" s="71">
        <f t="shared" si="6"/>
        <v>52.747589577616836</v>
      </c>
      <c r="H31" s="99">
        <f t="shared" si="7"/>
        <v>-3.0211204094538484</v>
      </c>
      <c r="I31" s="99">
        <f t="shared" si="8"/>
        <v>-330.03245801354836</v>
      </c>
      <c r="J31" s="71">
        <f t="shared" si="9"/>
        <v>-1.1397706244277073E-3</v>
      </c>
      <c r="K31" s="71">
        <f t="shared" si="10"/>
        <v>-11.397706206263827</v>
      </c>
      <c r="L31" s="42">
        <f t="shared" si="11"/>
        <v>11.397706263252358</v>
      </c>
      <c r="M31" s="45"/>
      <c r="N31" s="28"/>
      <c r="O31" s="28"/>
      <c r="P31" s="28"/>
      <c r="Q31" s="28"/>
      <c r="R31" s="28"/>
      <c r="S31" s="28"/>
      <c r="T31" s="28"/>
      <c r="U31" s="28"/>
      <c r="V31" s="152"/>
    </row>
    <row r="32" spans="1:22">
      <c r="A32" s="28"/>
      <c r="B32" s="28"/>
      <c r="C32" s="28"/>
      <c r="D32" s="28"/>
      <c r="E32" s="28"/>
      <c r="F32" s="28"/>
      <c r="G32" s="79" t="s">
        <v>67</v>
      </c>
      <c r="H32" s="364">
        <f>SQRT(H31*H31+POWER((I31-$M$3),2))</f>
        <v>328.04636970851971</v>
      </c>
      <c r="I32" s="364"/>
      <c r="J32" s="28"/>
      <c r="K32" s="28"/>
      <c r="L32" s="28"/>
      <c r="M32" s="45"/>
      <c r="N32" s="28"/>
      <c r="O32" s="28"/>
      <c r="P32" s="28"/>
      <c r="Q32" s="28"/>
      <c r="R32" s="28"/>
      <c r="S32" s="28"/>
      <c r="T32" s="28"/>
      <c r="U32" s="28"/>
      <c r="V32" s="152"/>
    </row>
    <row r="33" spans="1:60">
      <c r="A33" s="142"/>
      <c r="B33" s="142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28"/>
      <c r="R33" s="28"/>
      <c r="S33" s="28"/>
      <c r="T33" s="28"/>
      <c r="U33" s="28"/>
      <c r="V33" s="152"/>
    </row>
    <row r="34" spans="1:60">
      <c r="A34" s="162"/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AU34" s="79" t="s">
        <v>65</v>
      </c>
      <c r="AV34" s="79" t="s">
        <v>66</v>
      </c>
      <c r="AW34" s="79" t="s">
        <v>67</v>
      </c>
    </row>
    <row r="35" spans="1:60">
      <c r="A35" s="88" t="s">
        <v>92</v>
      </c>
      <c r="B35" s="88"/>
      <c r="C35" s="28"/>
      <c r="E35" s="28"/>
      <c r="F35" s="28"/>
      <c r="G35" s="28"/>
      <c r="H35" s="28"/>
      <c r="I35" s="28"/>
      <c r="J35" s="28"/>
      <c r="K35" s="28"/>
      <c r="L35" s="28"/>
      <c r="AU35" s="78">
        <f>H31</f>
        <v>-3.0211204094538484</v>
      </c>
      <c r="AV35" s="78">
        <f>I31</f>
        <v>-330.03245801354836</v>
      </c>
      <c r="AW35" s="79">
        <f>SQRT(POWER(AU35,2)+(POWER(AV35-$M$3,2)))</f>
        <v>328.04636970851971</v>
      </c>
    </row>
    <row r="36" spans="1:60">
      <c r="A36" s="28" t="s">
        <v>93</v>
      </c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AU36" s="219" t="s">
        <v>107</v>
      </c>
      <c r="AV36" s="218"/>
      <c r="AW36" s="42" t="s">
        <v>109</v>
      </c>
    </row>
    <row r="37" spans="1:60">
      <c r="A37" s="23" t="s">
        <v>26</v>
      </c>
      <c r="B37" s="23" t="s">
        <v>57</v>
      </c>
      <c r="C37" s="23" t="s">
        <v>51</v>
      </c>
      <c r="D37" s="23" t="s">
        <v>58</v>
      </c>
      <c r="E37" s="23" t="s">
        <v>59</v>
      </c>
      <c r="F37" s="23" t="s">
        <v>95</v>
      </c>
      <c r="G37" s="28"/>
      <c r="I37" s="23" t="s">
        <v>26</v>
      </c>
      <c r="J37" s="23" t="s">
        <v>57</v>
      </c>
      <c r="K37" s="23" t="s">
        <v>51</v>
      </c>
      <c r="L37" s="23" t="s">
        <v>58</v>
      </c>
      <c r="M37" s="23" t="s">
        <v>59</v>
      </c>
      <c r="N37" s="23" t="s">
        <v>95</v>
      </c>
      <c r="AU37" s="219" t="s">
        <v>108</v>
      </c>
      <c r="AV37" s="218"/>
      <c r="AW37" s="42">
        <v>1.38</v>
      </c>
    </row>
    <row r="38" spans="1:60">
      <c r="A38" s="23">
        <v>0.1</v>
      </c>
      <c r="B38" s="23">
        <v>2</v>
      </c>
      <c r="C38" s="23">
        <v>2</v>
      </c>
      <c r="D38" s="23">
        <v>-1.2925</v>
      </c>
      <c r="E38" s="23">
        <v>-1.1328</v>
      </c>
      <c r="F38" s="23">
        <v>-2</v>
      </c>
      <c r="G38" s="28"/>
      <c r="I38" s="23">
        <v>0.2</v>
      </c>
      <c r="J38" s="23">
        <v>2</v>
      </c>
      <c r="K38" s="23">
        <v>2</v>
      </c>
      <c r="L38" s="26">
        <v>-1.3320000000000001</v>
      </c>
      <c r="M38" s="26">
        <v>-0.9</v>
      </c>
      <c r="N38" s="23">
        <v>-3</v>
      </c>
    </row>
    <row r="39" spans="1:60">
      <c r="A39" s="28"/>
      <c r="B39" s="27" t="s">
        <v>71</v>
      </c>
      <c r="C39" s="23" t="s">
        <v>65</v>
      </c>
      <c r="D39" s="23" t="s">
        <v>66</v>
      </c>
      <c r="E39" s="23" t="s">
        <v>67</v>
      </c>
      <c r="F39" s="205"/>
      <c r="G39" s="28"/>
      <c r="I39" s="28"/>
      <c r="J39" s="27" t="s">
        <v>71</v>
      </c>
      <c r="K39" s="23" t="s">
        <v>65</v>
      </c>
      <c r="L39" s="23" t="s">
        <v>66</v>
      </c>
      <c r="M39" s="23" t="s">
        <v>67</v>
      </c>
      <c r="N39" s="205"/>
    </row>
    <row r="40" spans="1:60">
      <c r="A40" s="28"/>
      <c r="B40" s="26">
        <v>1</v>
      </c>
      <c r="C40" s="19">
        <v>-0.18365993687712079</v>
      </c>
      <c r="D40" s="19">
        <v>-2.0726942560367165</v>
      </c>
      <c r="E40" s="19"/>
      <c r="F40" s="26"/>
      <c r="G40" s="28"/>
      <c r="I40" s="28"/>
      <c r="J40" s="23">
        <v>1</v>
      </c>
      <c r="K40" s="20">
        <v>-0.4</v>
      </c>
      <c r="L40" s="20">
        <v>-3</v>
      </c>
      <c r="M40" s="20"/>
      <c r="N40" s="206" t="s">
        <v>94</v>
      </c>
      <c r="O40" s="20"/>
      <c r="Q40" s="28"/>
      <c r="R40" s="28"/>
    </row>
    <row r="41" spans="1:60">
      <c r="A41" s="28"/>
      <c r="B41" s="26">
        <v>3</v>
      </c>
      <c r="C41" s="19">
        <v>0.27670084994320332</v>
      </c>
      <c r="D41" s="19">
        <v>-2.1977758153668212</v>
      </c>
      <c r="E41" s="19"/>
      <c r="F41" s="26"/>
      <c r="G41" s="37"/>
      <c r="I41" s="28"/>
      <c r="J41" s="26">
        <v>3</v>
      </c>
      <c r="K41" s="19">
        <v>0.75</v>
      </c>
      <c r="L41" s="19">
        <v>-3</v>
      </c>
      <c r="M41" s="19"/>
      <c r="N41" s="26"/>
      <c r="O41" s="19"/>
    </row>
    <row r="42" spans="1:60">
      <c r="A42" s="28"/>
      <c r="B42" s="26">
        <v>5</v>
      </c>
      <c r="C42" s="19">
        <v>4.6135318597792602E-2</v>
      </c>
      <c r="D42" s="19">
        <v>-1.9937851150140209</v>
      </c>
      <c r="E42" s="19"/>
      <c r="F42" s="26"/>
      <c r="G42" s="28"/>
      <c r="I42" s="28"/>
      <c r="J42" s="26">
        <v>5</v>
      </c>
      <c r="K42" s="19">
        <v>0.26</v>
      </c>
      <c r="L42" s="19">
        <v>-3</v>
      </c>
      <c r="M42" s="19"/>
      <c r="N42" s="26"/>
      <c r="O42" s="19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</row>
    <row r="43" spans="1:60">
      <c r="A43" s="28"/>
      <c r="B43" s="26">
        <v>9</v>
      </c>
      <c r="C43" s="19">
        <v>7.6409568185377558E-3</v>
      </c>
      <c r="D43" s="19">
        <v>-1.9986154794109572</v>
      </c>
      <c r="E43" s="19"/>
      <c r="F43" s="26"/>
      <c r="G43" s="28"/>
      <c r="H43" s="28"/>
      <c r="I43" s="28"/>
      <c r="J43" s="26">
        <v>9</v>
      </c>
      <c r="K43" s="19">
        <v>0.03</v>
      </c>
      <c r="L43" s="19">
        <v>-3</v>
      </c>
      <c r="M43" s="19"/>
      <c r="N43" s="26"/>
      <c r="O43" s="19"/>
      <c r="AR43" s="28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</row>
    <row r="44" spans="1:60">
      <c r="A44" s="28"/>
      <c r="B44" s="117">
        <v>17</v>
      </c>
      <c r="C44" s="156">
        <v>3.8461107937917682E-4</v>
      </c>
      <c r="D44" s="156">
        <v>-2.0002005060089862</v>
      </c>
      <c r="E44" s="19"/>
      <c r="F44" s="26"/>
      <c r="G44" s="28"/>
      <c r="H44" s="28"/>
      <c r="I44" s="28"/>
      <c r="J44" s="26">
        <v>17</v>
      </c>
      <c r="K44" s="19">
        <v>0</v>
      </c>
      <c r="L44" s="19">
        <v>-3</v>
      </c>
      <c r="M44" s="19"/>
      <c r="N44" s="26"/>
      <c r="O44" s="19"/>
      <c r="AF44" s="7"/>
      <c r="AG44" s="7"/>
      <c r="AH44" s="7"/>
      <c r="AI44" s="7"/>
      <c r="AJ44" s="7"/>
      <c r="AK44" s="7"/>
      <c r="AL44" s="7"/>
      <c r="AM44" s="7"/>
      <c r="AN44" s="7"/>
      <c r="AR44" s="28"/>
      <c r="AS44" s="14"/>
      <c r="AT44" s="144"/>
      <c r="AU44" s="144"/>
      <c r="AV44" s="144"/>
      <c r="AW44" s="144"/>
      <c r="AX44" s="144"/>
      <c r="AY44" s="144"/>
      <c r="AZ44" s="7"/>
      <c r="BA44" s="7"/>
      <c r="BB44" s="7"/>
      <c r="BC44" s="7"/>
      <c r="BD44" s="7"/>
      <c r="BE44" s="7"/>
      <c r="BF44" s="7"/>
      <c r="BG44" s="7"/>
      <c r="BH44" s="7"/>
    </row>
    <row r="45" spans="1:60">
      <c r="A45" s="28"/>
      <c r="B45" s="23"/>
      <c r="C45" s="20"/>
      <c r="D45" s="20"/>
      <c r="E45" s="20"/>
      <c r="F45" s="23"/>
      <c r="G45" s="28"/>
      <c r="H45" s="28"/>
      <c r="I45" s="28"/>
      <c r="J45" s="23"/>
      <c r="K45" s="20"/>
      <c r="L45" s="20"/>
      <c r="M45" s="20"/>
      <c r="N45" s="23"/>
      <c r="O45" s="19"/>
      <c r="AF45" s="7"/>
      <c r="AG45" s="7"/>
      <c r="AH45" s="7"/>
      <c r="AI45" s="7"/>
      <c r="AJ45" s="7"/>
      <c r="AK45" s="7"/>
      <c r="AL45" s="7"/>
      <c r="AM45" s="7"/>
      <c r="AN45" s="7"/>
      <c r="AR45" s="28"/>
      <c r="AS45" s="7"/>
      <c r="AT45" s="144"/>
      <c r="AU45" s="144"/>
      <c r="AV45" s="144"/>
      <c r="AW45" s="144"/>
      <c r="AX45" s="144"/>
      <c r="AY45" s="144"/>
      <c r="AZ45" s="7"/>
      <c r="BA45" s="7"/>
      <c r="BB45" s="15"/>
      <c r="BC45" s="15"/>
      <c r="BD45" s="15"/>
      <c r="BE45" s="15"/>
      <c r="BF45" s="15"/>
      <c r="BG45" s="15"/>
      <c r="BH45" s="7"/>
    </row>
    <row r="46" spans="1:60">
      <c r="A46" s="28"/>
      <c r="B46" s="28" t="s">
        <v>110</v>
      </c>
      <c r="C46" s="28"/>
      <c r="D46" s="28"/>
      <c r="E46" s="28"/>
      <c r="F46" s="28"/>
      <c r="G46" s="28"/>
      <c r="H46" s="28"/>
      <c r="I46" s="28"/>
      <c r="J46" s="28"/>
      <c r="K46" s="28"/>
      <c r="L46" s="28"/>
      <c r="AF46" s="7"/>
      <c r="AG46" s="7"/>
      <c r="AH46" s="7"/>
      <c r="AI46" s="7"/>
      <c r="AJ46" s="7"/>
      <c r="AK46" s="7"/>
      <c r="AL46" s="7"/>
      <c r="AM46" s="7"/>
      <c r="AN46" s="7"/>
      <c r="AR46" s="28"/>
      <c r="AS46" s="7"/>
      <c r="AT46" s="144"/>
      <c r="AU46" s="144"/>
      <c r="AV46" s="144"/>
      <c r="AW46" s="144"/>
      <c r="AX46" s="144"/>
      <c r="AY46" s="144"/>
      <c r="AZ46" s="7"/>
      <c r="BA46" s="7"/>
      <c r="BB46" s="16"/>
      <c r="BC46" s="16"/>
      <c r="BD46" s="16"/>
      <c r="BE46" s="16"/>
      <c r="BF46" s="16"/>
      <c r="BG46" s="16"/>
      <c r="BH46" s="7"/>
    </row>
    <row r="47" spans="1:60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AF47" s="17"/>
      <c r="AG47" s="7"/>
      <c r="AH47" s="7"/>
      <c r="AI47" s="7"/>
      <c r="AJ47" s="7"/>
      <c r="AK47" s="7"/>
      <c r="AL47" s="7"/>
      <c r="AM47" s="7"/>
      <c r="AN47" s="7"/>
      <c r="AR47" s="28"/>
    </row>
    <row r="48" spans="1:60">
      <c r="A48" s="23" t="s">
        <v>26</v>
      </c>
      <c r="B48" s="23" t="s">
        <v>57</v>
      </c>
      <c r="C48" s="23" t="s">
        <v>51</v>
      </c>
      <c r="D48" s="23" t="s">
        <v>58</v>
      </c>
      <c r="E48" s="23" t="s">
        <v>59</v>
      </c>
      <c r="F48" s="23" t="s">
        <v>95</v>
      </c>
      <c r="G48" s="28"/>
      <c r="H48" s="28"/>
      <c r="I48" s="28"/>
      <c r="J48" s="28"/>
      <c r="K48" s="28"/>
      <c r="L48" s="28"/>
      <c r="AF48" s="7"/>
      <c r="AG48" s="7"/>
      <c r="AH48" s="7"/>
      <c r="AI48" s="7"/>
      <c r="AJ48" s="7"/>
      <c r="AK48" s="7"/>
      <c r="AL48" s="7"/>
      <c r="AM48" s="7"/>
      <c r="AN48" s="7"/>
      <c r="AR48" s="28"/>
    </row>
    <row r="49" spans="1:44">
      <c r="A49" s="23">
        <v>0.1</v>
      </c>
      <c r="B49" s="23">
        <v>2</v>
      </c>
      <c r="C49" s="23">
        <v>2</v>
      </c>
      <c r="D49" s="23">
        <v>-1.1975</v>
      </c>
      <c r="E49" s="23">
        <v>-1.3975</v>
      </c>
      <c r="F49" s="23">
        <v>-2</v>
      </c>
      <c r="G49" s="28"/>
      <c r="H49" s="28"/>
      <c r="I49" s="28"/>
      <c r="J49" s="28"/>
      <c r="K49" s="28"/>
      <c r="L49" s="28"/>
      <c r="AF49" s="7"/>
      <c r="AG49" s="7"/>
      <c r="AH49" s="7"/>
      <c r="AI49" s="7"/>
      <c r="AJ49" s="7"/>
      <c r="AK49" s="7"/>
      <c r="AL49" s="7"/>
      <c r="AM49" s="7"/>
      <c r="AN49" s="7"/>
      <c r="AR49" s="28"/>
    </row>
    <row r="50" spans="1:44">
      <c r="A50" s="28"/>
      <c r="B50" s="27" t="s">
        <v>71</v>
      </c>
      <c r="C50" s="23" t="s">
        <v>65</v>
      </c>
      <c r="D50" s="23" t="s">
        <v>66</v>
      </c>
      <c r="E50" s="23" t="s">
        <v>67</v>
      </c>
      <c r="F50" s="205"/>
      <c r="AI50" s="9"/>
      <c r="AJ50" s="8"/>
      <c r="AK50" s="8"/>
      <c r="AL50" s="8"/>
      <c r="AM50" s="8"/>
      <c r="AN50" s="8"/>
      <c r="AO50" s="8"/>
      <c r="AP50" s="7"/>
      <c r="AQ50" s="7"/>
    </row>
    <row r="51" spans="1:44">
      <c r="A51" s="28"/>
      <c r="B51" s="26">
        <v>1</v>
      </c>
      <c r="C51" s="19">
        <v>-7.0000000000000007E-2</v>
      </c>
      <c r="D51" s="19">
        <v>0</v>
      </c>
      <c r="E51" s="19"/>
      <c r="F51" s="26"/>
      <c r="G51" t="s">
        <v>112</v>
      </c>
      <c r="AI51" s="9"/>
      <c r="AJ51" s="8"/>
      <c r="AK51" s="8"/>
      <c r="AL51" s="8"/>
      <c r="AM51" s="8"/>
      <c r="AN51" s="8"/>
      <c r="AO51" s="8"/>
      <c r="AP51" s="7"/>
      <c r="AQ51" s="7"/>
    </row>
    <row r="52" spans="1:44">
      <c r="A52" s="28"/>
      <c r="B52" s="26">
        <v>3</v>
      </c>
      <c r="C52" s="19">
        <v>-0.21</v>
      </c>
      <c r="D52" s="19">
        <v>0</v>
      </c>
      <c r="E52" s="19"/>
      <c r="F52" s="26"/>
      <c r="G52" t="s">
        <v>113</v>
      </c>
      <c r="AI52" s="9"/>
      <c r="AJ52" s="8"/>
      <c r="AK52" s="8"/>
      <c r="AL52" s="8"/>
      <c r="AM52" s="8"/>
      <c r="AN52" s="8"/>
      <c r="AO52" s="8"/>
      <c r="AP52" s="7"/>
      <c r="AQ52" s="7"/>
    </row>
    <row r="53" spans="1:44">
      <c r="A53" s="28"/>
      <c r="B53" s="26">
        <v>5</v>
      </c>
      <c r="C53" s="19">
        <v>-9.6461883650101166E-2</v>
      </c>
      <c r="D53" s="19">
        <v>-2.4839391301200608</v>
      </c>
      <c r="E53" s="19">
        <v>0.4934591945223909</v>
      </c>
      <c r="F53" s="26"/>
      <c r="AI53" s="9"/>
      <c r="AJ53" s="8"/>
      <c r="AK53" s="8"/>
      <c r="AL53" s="8"/>
      <c r="AM53" s="8"/>
      <c r="AN53" s="8"/>
      <c r="AO53" s="8"/>
      <c r="AP53" s="7"/>
      <c r="AQ53" s="7"/>
    </row>
    <row r="54" spans="1:44">
      <c r="A54" s="28"/>
      <c r="B54" s="26">
        <v>9</v>
      </c>
      <c r="C54" s="19">
        <v>-0.10772477289358981</v>
      </c>
      <c r="D54" s="19">
        <v>-2.4856398006820646</v>
      </c>
      <c r="E54" s="19">
        <v>0.49744411012845546</v>
      </c>
      <c r="F54" s="26"/>
      <c r="AI54" s="9"/>
      <c r="AJ54" s="8"/>
      <c r="AK54" s="8"/>
      <c r="AL54" s="8"/>
      <c r="AM54" s="8"/>
      <c r="AN54" s="8"/>
      <c r="AO54" s="8"/>
      <c r="AP54" s="7"/>
      <c r="AQ54" s="7"/>
    </row>
    <row r="55" spans="1:44">
      <c r="A55" s="28"/>
      <c r="B55" s="117">
        <v>17</v>
      </c>
      <c r="C55" s="156">
        <v>-0.11061666297615025</v>
      </c>
      <c r="D55" s="156">
        <v>-2.4861380610622561</v>
      </c>
      <c r="E55" s="19">
        <v>0.49856419901688592</v>
      </c>
      <c r="F55" s="26"/>
      <c r="AI55" s="9"/>
      <c r="AJ55" s="8"/>
      <c r="AK55" s="8"/>
      <c r="AL55" s="8"/>
      <c r="AM55" s="8"/>
      <c r="AN55" s="8"/>
      <c r="AO55" s="8"/>
      <c r="AP55" s="7"/>
      <c r="AQ55" s="7"/>
    </row>
    <row r="56" spans="1:44">
      <c r="A56" s="28"/>
      <c r="B56" s="23"/>
      <c r="C56" s="20"/>
      <c r="D56" s="20"/>
      <c r="E56" s="20"/>
      <c r="F56" s="23"/>
      <c r="AI56" s="9"/>
      <c r="AJ56" s="8"/>
      <c r="AK56" s="8"/>
      <c r="AL56" s="8"/>
      <c r="AM56" s="8"/>
      <c r="AN56" s="8"/>
      <c r="AO56" s="8"/>
      <c r="AP56" s="7"/>
      <c r="AQ56" s="144"/>
    </row>
    <row r="57" spans="1:44">
      <c r="B57" s="28" t="s">
        <v>111</v>
      </c>
      <c r="AI57" s="9"/>
      <c r="AJ57" s="8"/>
      <c r="AK57" s="8"/>
      <c r="AL57" s="8"/>
      <c r="AM57" s="8"/>
      <c r="AN57" s="8"/>
      <c r="AO57" s="8"/>
      <c r="AP57" s="7"/>
      <c r="AQ57" s="7"/>
    </row>
    <row r="58" spans="1:44">
      <c r="AI58" s="7"/>
      <c r="AJ58" s="7"/>
      <c r="AK58" s="7"/>
      <c r="AL58" s="7"/>
      <c r="AM58" s="7"/>
      <c r="AN58" s="7"/>
      <c r="AO58" s="7"/>
      <c r="AP58" s="7"/>
      <c r="AQ58" s="7"/>
    </row>
    <row r="59" spans="1:44">
      <c r="B59" t="s">
        <v>114</v>
      </c>
      <c r="AI59" s="7"/>
      <c r="AJ59" s="7"/>
      <c r="AK59" s="7"/>
      <c r="AL59" s="7"/>
      <c r="AM59" s="7"/>
      <c r="AN59" s="7"/>
      <c r="AO59" s="7"/>
      <c r="AP59" s="7"/>
      <c r="AQ59" s="7"/>
    </row>
    <row r="60" spans="1:44">
      <c r="AI60" s="14"/>
      <c r="AJ60" s="8"/>
      <c r="AK60" s="8"/>
      <c r="AL60" s="8"/>
      <c r="AM60" s="8"/>
      <c r="AN60" s="8"/>
      <c r="AO60" s="8"/>
      <c r="AP60" s="7"/>
      <c r="AQ60" s="7"/>
    </row>
    <row r="61" spans="1:44">
      <c r="AI61" s="9"/>
      <c r="AJ61" s="10"/>
      <c r="AK61" s="10"/>
      <c r="AL61" s="10"/>
      <c r="AM61" s="10"/>
      <c r="AN61" s="10"/>
      <c r="AO61" s="10"/>
      <c r="AP61" s="7"/>
      <c r="AQ61" s="7"/>
    </row>
    <row r="62" spans="1:44">
      <c r="AI62" s="9"/>
      <c r="AJ62" s="10"/>
      <c r="AK62" s="10"/>
      <c r="AL62" s="10"/>
      <c r="AM62" s="10"/>
      <c r="AN62" s="10"/>
      <c r="AO62" s="10"/>
      <c r="AP62" s="7"/>
      <c r="AQ62" s="7"/>
    </row>
    <row r="63" spans="1:44">
      <c r="AI63" s="9"/>
      <c r="AJ63" s="10"/>
      <c r="AK63" s="10"/>
      <c r="AL63" s="10"/>
      <c r="AM63" s="10"/>
      <c r="AN63" s="10"/>
      <c r="AO63" s="10"/>
      <c r="AP63" s="7"/>
      <c r="AQ63" s="7"/>
    </row>
    <row r="64" spans="1:44">
      <c r="AI64" s="9"/>
      <c r="AJ64" s="11"/>
      <c r="AK64" s="12"/>
      <c r="AL64" s="12"/>
      <c r="AM64" s="12"/>
      <c r="AN64" s="11"/>
      <c r="AO64" s="10"/>
      <c r="AP64" s="7"/>
      <c r="AQ64" s="7"/>
    </row>
    <row r="65" spans="35:43">
      <c r="AI65" s="9"/>
      <c r="AJ65" s="11"/>
      <c r="AK65" s="12"/>
      <c r="AL65" s="12"/>
      <c r="AM65" s="12"/>
      <c r="AN65" s="11"/>
      <c r="AO65" s="10"/>
      <c r="AP65" s="7"/>
      <c r="AQ65" s="7"/>
    </row>
    <row r="66" spans="35:43">
      <c r="AI66" s="9"/>
      <c r="AJ66" s="11"/>
      <c r="AK66" s="12"/>
      <c r="AL66" s="12"/>
      <c r="AM66" s="12"/>
      <c r="AN66" s="11"/>
      <c r="AO66" s="10"/>
      <c r="AP66" s="7"/>
      <c r="AQ66" s="13"/>
    </row>
    <row r="67" spans="35:43">
      <c r="AI67" s="9"/>
      <c r="AJ67" s="11"/>
      <c r="AK67" s="12"/>
      <c r="AL67" s="12"/>
      <c r="AM67" s="12"/>
      <c r="AN67" s="11"/>
      <c r="AO67" s="10"/>
      <c r="AP67" s="7"/>
      <c r="AQ67" s="7"/>
    </row>
    <row r="68" spans="35:43">
      <c r="AI68" s="9"/>
      <c r="AJ68" s="11"/>
      <c r="AK68" s="12"/>
      <c r="AL68" s="12"/>
      <c r="AM68" s="12"/>
      <c r="AN68" s="11"/>
      <c r="AO68" s="10"/>
      <c r="AP68" s="7"/>
      <c r="AQ68" s="7"/>
    </row>
    <row r="69" spans="35:43">
      <c r="AI69" s="9"/>
      <c r="AJ69" s="10"/>
      <c r="AK69" s="10"/>
      <c r="AL69" s="10"/>
      <c r="AM69" s="10"/>
      <c r="AN69" s="10"/>
      <c r="AO69" s="10"/>
      <c r="AP69" s="7"/>
      <c r="AQ69" s="7"/>
    </row>
    <row r="70" spans="35:43">
      <c r="AI70" s="9"/>
      <c r="AJ70" s="10"/>
      <c r="AK70" s="10"/>
      <c r="AL70" s="10"/>
      <c r="AM70" s="10"/>
      <c r="AN70" s="10"/>
      <c r="AO70" s="10"/>
      <c r="AP70" s="7"/>
      <c r="AQ70" s="7"/>
    </row>
    <row r="71" spans="35:43">
      <c r="AI71" s="7"/>
      <c r="AJ71" s="7"/>
      <c r="AK71" s="7"/>
      <c r="AL71" s="7"/>
      <c r="AM71" s="7"/>
      <c r="AN71" s="7"/>
      <c r="AO71" s="7"/>
      <c r="AP71" s="7"/>
      <c r="AQ71" s="7"/>
    </row>
    <row r="72" spans="35:43">
      <c r="AI72" s="7"/>
      <c r="AJ72" s="7"/>
      <c r="AK72" s="7"/>
      <c r="AL72" s="7"/>
      <c r="AM72" s="7"/>
      <c r="AN72" s="7"/>
      <c r="AO72" s="7"/>
      <c r="AP72" s="7"/>
      <c r="AQ72" s="7"/>
    </row>
    <row r="73" spans="35:43">
      <c r="AI73" s="7"/>
      <c r="AJ73" s="7"/>
      <c r="AK73" s="7"/>
      <c r="AL73" s="7"/>
      <c r="AM73" s="7"/>
      <c r="AN73" s="7"/>
      <c r="AO73" s="7"/>
      <c r="AP73" s="7"/>
      <c r="AQ73" s="7"/>
    </row>
    <row r="74" spans="35:43">
      <c r="AI74" s="7"/>
      <c r="AJ74" s="7"/>
      <c r="AK74" s="7"/>
      <c r="AL74" s="7"/>
      <c r="AM74" s="7"/>
      <c r="AN74" s="7"/>
      <c r="AO74" s="7"/>
      <c r="AP74" s="7"/>
      <c r="AQ74" s="7"/>
    </row>
    <row r="75" spans="35:43">
      <c r="AI75" s="7"/>
      <c r="AJ75" s="7"/>
      <c r="AK75" s="7"/>
      <c r="AL75" s="7"/>
      <c r="AM75" s="7"/>
      <c r="AN75" s="7"/>
      <c r="AO75" s="7"/>
      <c r="AP75" s="7"/>
      <c r="AQ75" s="7"/>
    </row>
    <row r="76" spans="35:43">
      <c r="AI76" s="7"/>
      <c r="AJ76" s="7"/>
      <c r="AK76" s="7"/>
      <c r="AL76" s="7"/>
      <c r="AM76" s="7"/>
      <c r="AN76" s="7"/>
      <c r="AO76" s="7"/>
      <c r="AP76" s="7"/>
      <c r="AQ76" s="7"/>
    </row>
  </sheetData>
  <mergeCells count="2">
    <mergeCell ref="A1:C1"/>
    <mergeCell ref="H32:I3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H97"/>
  <sheetViews>
    <sheetView workbookViewId="0">
      <selection sqref="A1:C1"/>
    </sheetView>
  </sheetViews>
  <sheetFormatPr baseColWidth="10" defaultRowHeight="15"/>
  <cols>
    <col min="1" max="56" width="5.7109375" customWidth="1"/>
    <col min="57" max="57" width="11.42578125" customWidth="1"/>
  </cols>
  <sheetData>
    <row r="1" spans="1:56">
      <c r="A1" s="363" t="s">
        <v>6</v>
      </c>
      <c r="B1" s="363"/>
      <c r="C1" s="363"/>
      <c r="D1" s="142" t="s">
        <v>72</v>
      </c>
      <c r="E1" s="142"/>
      <c r="F1" s="143">
        <f>Stufengrün!J46</f>
        <v>3</v>
      </c>
      <c r="G1" s="142" t="s">
        <v>71</v>
      </c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6"/>
      <c r="AV1" s="6"/>
      <c r="AW1" s="6"/>
      <c r="AX1" s="6"/>
      <c r="AY1" s="6"/>
      <c r="AZ1" s="6"/>
      <c r="BA1" s="6"/>
      <c r="BB1" s="6"/>
      <c r="BC1" s="6"/>
      <c r="BD1" s="6"/>
    </row>
    <row r="2" spans="1:56">
      <c r="A2" s="88" t="s">
        <v>73</v>
      </c>
      <c r="B2" s="88"/>
      <c r="C2" s="23" t="str">
        <f>CONCATENATE("m",Stufengrün!J49)</f>
        <v>m1</v>
      </c>
      <c r="D2" s="23" t="s">
        <v>30</v>
      </c>
      <c r="E2" s="28"/>
      <c r="F2" s="28"/>
      <c r="G2" s="28"/>
      <c r="H2" s="36" t="s">
        <v>57</v>
      </c>
      <c r="I2" s="36" t="s">
        <v>51</v>
      </c>
      <c r="J2" s="36" t="s">
        <v>58</v>
      </c>
      <c r="K2" s="36" t="s">
        <v>59</v>
      </c>
      <c r="L2" s="28"/>
      <c r="M2" s="185" t="s">
        <v>95</v>
      </c>
      <c r="N2" s="28"/>
      <c r="O2" s="28"/>
      <c r="P2" s="28"/>
      <c r="R2" s="88" t="s">
        <v>74</v>
      </c>
      <c r="S2" s="88"/>
      <c r="T2" s="26" t="s">
        <v>65</v>
      </c>
      <c r="U2" s="26" t="s">
        <v>66</v>
      </c>
      <c r="V2" s="28"/>
    </row>
    <row r="3" spans="1:56">
      <c r="A3" s="88" t="s">
        <v>69</v>
      </c>
      <c r="B3" s="88"/>
      <c r="C3" s="90">
        <f>Stufengrün!K47</f>
        <v>1.0323563876231049E-2</v>
      </c>
      <c r="D3" s="26">
        <f>Stufengrün!M48</f>
        <v>0.42600891691731474</v>
      </c>
      <c r="E3" s="28"/>
      <c r="F3" s="28"/>
      <c r="G3" s="28"/>
      <c r="H3" s="79">
        <v>4</v>
      </c>
      <c r="I3" s="186">
        <v>2</v>
      </c>
      <c r="J3" s="79">
        <f>'Do-17'!J3</f>
        <v>-2.2349999999999999</v>
      </c>
      <c r="K3" s="79">
        <f>'Do-17'!K3</f>
        <v>-0.41799999999999998</v>
      </c>
      <c r="L3" s="28"/>
      <c r="M3" s="185">
        <v>-2</v>
      </c>
      <c r="N3" s="37" t="s">
        <v>88</v>
      </c>
      <c r="O3" s="28"/>
      <c r="P3" s="28"/>
      <c r="R3" s="28"/>
      <c r="S3" s="28"/>
      <c r="T3" s="160">
        <f>H22</f>
        <v>4</v>
      </c>
      <c r="U3" s="160">
        <f>I22</f>
        <v>2.0000000000000004</v>
      </c>
      <c r="V3" s="28"/>
    </row>
    <row r="4" spans="1:56">
      <c r="A4" s="28"/>
      <c r="B4" s="28"/>
      <c r="C4" s="28"/>
      <c r="D4" s="28"/>
      <c r="E4" s="28"/>
      <c r="F4" s="28"/>
      <c r="G4" s="28"/>
      <c r="H4" s="37" t="s">
        <v>8</v>
      </c>
      <c r="I4" s="37" t="s">
        <v>8</v>
      </c>
      <c r="J4" s="37" t="s">
        <v>9</v>
      </c>
      <c r="K4" s="37" t="s">
        <v>9</v>
      </c>
      <c r="L4" s="28"/>
      <c r="M4" s="28"/>
      <c r="N4" s="28"/>
      <c r="O4" s="28"/>
      <c r="P4" s="28"/>
      <c r="R4" s="28"/>
      <c r="S4" s="28"/>
      <c r="T4" s="160">
        <f t="shared" ref="T4:U8" si="0">H23</f>
        <v>3.9322876960778759</v>
      </c>
      <c r="U4" s="160">
        <f t="shared" si="0"/>
        <v>1.636575511233896</v>
      </c>
      <c r="V4" s="28"/>
    </row>
    <row r="5" spans="1:56">
      <c r="A5" s="88" t="s">
        <v>68</v>
      </c>
      <c r="B5" s="88"/>
      <c r="C5" s="26" t="s">
        <v>15</v>
      </c>
      <c r="D5" s="26" t="s">
        <v>55</v>
      </c>
      <c r="E5" s="46" t="s">
        <v>12</v>
      </c>
      <c r="F5" s="26" t="s">
        <v>10</v>
      </c>
      <c r="G5" s="26" t="s">
        <v>14</v>
      </c>
      <c r="H5" s="26" t="s">
        <v>21</v>
      </c>
      <c r="I5" s="26" t="s">
        <v>16</v>
      </c>
      <c r="J5" s="26" t="s">
        <v>17</v>
      </c>
      <c r="K5" s="26" t="s">
        <v>23</v>
      </c>
      <c r="L5" s="28"/>
      <c r="M5" s="28"/>
      <c r="N5" s="28"/>
      <c r="O5" s="28"/>
      <c r="P5" s="28"/>
      <c r="R5" s="28"/>
      <c r="S5" s="28"/>
      <c r="T5" s="160">
        <f t="shared" si="0"/>
        <v>3.8702805684627113</v>
      </c>
      <c r="U5" s="160">
        <f t="shared" si="0"/>
        <v>1.3011923067529438</v>
      </c>
      <c r="V5" s="28"/>
    </row>
    <row r="6" spans="1:56">
      <c r="A6" s="28"/>
      <c r="B6" s="28"/>
      <c r="C6" s="23">
        <f>Mü/TAN($C3)</f>
        <v>6.7803632591293521</v>
      </c>
      <c r="D6" s="42">
        <f>SQRT($J3*$J3+$K3*$K3)</f>
        <v>2.2737521852655798</v>
      </c>
      <c r="E6" s="20">
        <f>PI()+ATAN2($J3,$K3)</f>
        <v>0.18488866435229889</v>
      </c>
      <c r="F6" s="23">
        <f>($E6-A19-0.0001)/5</f>
        <v>1.3853290506114036E-3</v>
      </c>
      <c r="G6" s="23">
        <f>COS($E6)</f>
        <v>0.98295672434458659</v>
      </c>
      <c r="H6" s="23">
        <f>SIN($E6)</f>
        <v>0.18383709654408822</v>
      </c>
      <c r="I6" s="23">
        <f>$C6+$G6</f>
        <v>7.7633199834739388</v>
      </c>
      <c r="J6" s="23">
        <f>POWER(TAN($E6/2),$C6)</f>
        <v>9.9242529959237664E-8</v>
      </c>
      <c r="K6" s="23">
        <f>-$D6*$D6*SIN($E6)*SIN($E6)/(2*9.81*SIN($C3)*POWER(TAN($E6/2),2*$C6))</f>
        <v>-87586257839328.703</v>
      </c>
      <c r="L6" s="28"/>
      <c r="M6" s="28"/>
      <c r="N6" s="28"/>
      <c r="O6" s="28"/>
      <c r="P6" s="28"/>
      <c r="R6" s="28"/>
      <c r="S6" s="28"/>
      <c r="T6" s="160">
        <f t="shared" si="0"/>
        <v>3.8135352785743288</v>
      </c>
      <c r="U6" s="160">
        <f t="shared" si="0"/>
        <v>0.99187304535741694</v>
      </c>
      <c r="V6" s="28"/>
    </row>
    <row r="7" spans="1:56">
      <c r="A7" s="88" t="s">
        <v>70</v>
      </c>
      <c r="B7" s="88"/>
      <c r="C7" s="28"/>
      <c r="D7" s="28"/>
      <c r="E7" s="28"/>
      <c r="F7" s="28"/>
      <c r="G7" s="28"/>
      <c r="H7" s="28"/>
      <c r="I7" s="28"/>
      <c r="J7" s="28"/>
      <c r="K7" s="28"/>
      <c r="L7" s="28"/>
      <c r="M7" s="45"/>
      <c r="N7" s="28"/>
      <c r="O7" s="28"/>
      <c r="P7" s="28"/>
      <c r="R7" s="28"/>
      <c r="S7" s="28"/>
      <c r="T7" s="160">
        <f t="shared" si="0"/>
        <v>3.7616400071941443</v>
      </c>
      <c r="U7" s="160">
        <f t="shared" si="0"/>
        <v>0.70676654772401215</v>
      </c>
      <c r="V7" s="28"/>
    </row>
    <row r="8" spans="1:56">
      <c r="A8" s="26" t="s">
        <v>11</v>
      </c>
      <c r="B8" s="26" t="s">
        <v>13</v>
      </c>
      <c r="C8" s="26" t="s">
        <v>22</v>
      </c>
      <c r="D8" s="26" t="s">
        <v>18</v>
      </c>
      <c r="E8" s="26" t="s">
        <v>19</v>
      </c>
      <c r="F8" s="26" t="s">
        <v>20</v>
      </c>
      <c r="G8" s="26" t="s">
        <v>2</v>
      </c>
      <c r="H8" s="26" t="s">
        <v>65</v>
      </c>
      <c r="I8" s="26" t="s">
        <v>66</v>
      </c>
      <c r="J8" s="76" t="s">
        <v>3</v>
      </c>
      <c r="K8" s="76" t="s">
        <v>4</v>
      </c>
      <c r="L8" s="44" t="s">
        <v>7</v>
      </c>
      <c r="M8" s="26" t="s">
        <v>64</v>
      </c>
      <c r="N8" s="26" t="s">
        <v>61</v>
      </c>
      <c r="O8" s="26" t="s">
        <v>62</v>
      </c>
      <c r="P8" s="26" t="s">
        <v>63</v>
      </c>
      <c r="R8" s="28"/>
      <c r="S8" s="28"/>
      <c r="T8" s="160">
        <f t="shared" si="0"/>
        <v>3.7142124236837315</v>
      </c>
      <c r="U8" s="160">
        <f t="shared" si="0"/>
        <v>0.44414060065588701</v>
      </c>
      <c r="V8" s="28"/>
    </row>
    <row r="9" spans="1:56">
      <c r="A9" s="20">
        <f>$E6</f>
        <v>0.18488866435229889</v>
      </c>
      <c r="B9" s="23">
        <f>COS(A9)</f>
        <v>0.98295672434458659</v>
      </c>
      <c r="C9" s="23">
        <f>($C$6+B9)</f>
        <v>7.7633199834739388</v>
      </c>
      <c r="D9" s="23">
        <f>POWER(TAN(A9/2),$C$6)</f>
        <v>9.9242529959237664E-8</v>
      </c>
      <c r="E9" s="23">
        <f>SIN(A9)</f>
        <v>0.18383709654408822</v>
      </c>
      <c r="F9" s="71">
        <f>(C9*$H$6*D9/E9/$I$6/$J$6)</f>
        <v>1</v>
      </c>
      <c r="G9" s="71">
        <f t="shared" ref="G9:G19" si="1">$D$6*($C$6+$G$6)/9.81/SIN($C$3)/(1-$C$6*$C$6)*(F9-1)</f>
        <v>0</v>
      </c>
      <c r="H9" s="75">
        <f t="shared" ref="H9:H19" si="2">-(-$H$3+$K$6*((POWER(TAN(A9/2),2*$C$6-1)/(2*$C$6-1))+(POWER(TAN(A9/2),2*$C$6+1)/(2*$C$6+1))-(POWER(TAN($E$6/2),2*$C$6-1)/(2*$C$6-1))-(POWER(TAN($E$6/2),2*$C$6+1)/(2*$C$6+1))))</f>
        <v>4</v>
      </c>
      <c r="I9" s="75">
        <f t="shared" ref="I9:I19" si="3">-(-$I$3+0.5*$K$6*((POWER(TAN(A9/2),2*$C$6-2)/(2*$C$6-2))-(POWER(TAN(A9/2),2*$C$6+2)/(2*$C$6+2))-(POWER(TAN($E$6/2),2*$C$6-2)/(2*$C$6-2))+(POWER(TAN($E$6/2),2*$C$6+2)/(2*$C$6+2))))</f>
        <v>2.0000000000000004</v>
      </c>
      <c r="J9" s="71">
        <f t="shared" ref="J9:J19" si="4">-$D$6*SIN(A9)*($C$6+$G$6)/($C$6+B9)*F9</f>
        <v>-0.41799999999999998</v>
      </c>
      <c r="K9" s="71">
        <f t="shared" ref="K9:K19" si="5">-$D$6*COS(A9)*($C$6+$G$6)/($C$6+B9)*F9</f>
        <v>-2.2349999999999999</v>
      </c>
      <c r="L9" s="42">
        <f>SQRT(J9*J9+K9*K9)</f>
        <v>2.2737521852655798</v>
      </c>
      <c r="M9" s="23">
        <v>1E-3</v>
      </c>
      <c r="N9" s="75">
        <f t="shared" ref="N9:N19" si="6">-(-$I$3+0.5*$K$6*((POWER(TAN(A9/2),2*$C$6-2)/(2*$C$6-2))-(POWER(TAN(A9/2),2*$C$6+2)/(2*$C$6+2))-(POWER(TAN($E$6/2),2*$C$6-2)/(2*$C$6-2))+(POWER(TAN($E$6/2),2*$C$6+2)/(2*$C$6+2))))-$D$3</f>
        <v>1.5739910830826858</v>
      </c>
      <c r="O9" s="75">
        <f>-(-$I$3+0.5*$K$6*((POWER(TAN((A9+$M$9)/2),2*$C$6-2)/(2*$C$6-2))-(POWER(TAN((A9+$M$9)/2),2*$C$6+2)/(2*$C$6+2))-(POWER(TAN($E$6/2),2*$C$6-2)/(2*$C$6-2))+(POWER(TAN($E$6/2),2*$C$6+2)/(2*$C$6+2))))-$D$3</f>
        <v>1.8549404497470852</v>
      </c>
      <c r="P9" s="109">
        <f>IF(A9-N9/(O9-N9)*$M$9&lt;0,A9*0.5,A9-N9/(O9-N9)*$M$9)</f>
        <v>0.17928626310195953</v>
      </c>
      <c r="R9" s="28"/>
      <c r="S9" s="28"/>
      <c r="T9" s="163">
        <f>H49</f>
        <v>3.7109521062179875</v>
      </c>
      <c r="U9" s="163">
        <f>I49</f>
        <v>0.42600891691732817</v>
      </c>
      <c r="V9" s="28"/>
    </row>
    <row r="10" spans="1:56">
      <c r="A10" s="20">
        <f t="shared" ref="A10:A19" si="7">P9</f>
        <v>0.17928626310195953</v>
      </c>
      <c r="B10" s="23">
        <f t="shared" ref="B10:B19" si="8">COS(A10)</f>
        <v>0.9839712221946737</v>
      </c>
      <c r="C10" s="23">
        <f t="shared" ref="C10:C19" si="9">($C$6+B10)</f>
        <v>7.7643344813240258</v>
      </c>
      <c r="D10" s="23">
        <f t="shared" ref="D10:D19" si="10">POWER(TAN(A10/2),$C$6)</f>
        <v>8.0461366161667421E-8</v>
      </c>
      <c r="E10" s="23">
        <f t="shared" ref="E10:E19" si="11">SIN(A10)</f>
        <v>0.17832732233934362</v>
      </c>
      <c r="F10" s="71">
        <f t="shared" ref="F10:F19" si="12">(C10*$H$6*D10/E10/$I$6/$J$6)</f>
        <v>0.83591397925334199</v>
      </c>
      <c r="G10" s="71">
        <f t="shared" si="1"/>
        <v>0.63594015859286968</v>
      </c>
      <c r="H10" s="75">
        <f t="shared" si="2"/>
        <v>3.7594572652025207</v>
      </c>
      <c r="I10" s="75">
        <f t="shared" si="3"/>
        <v>0.69472475137680068</v>
      </c>
      <c r="J10" s="71">
        <f t="shared" si="4"/>
        <v>-0.33889554276166828</v>
      </c>
      <c r="K10" s="71">
        <f t="shared" si="5"/>
        <v>-1.8699515981794976</v>
      </c>
      <c r="L10" s="42">
        <f t="shared" ref="L10:L19" si="13">SQRT(J10*J10+K10*K10)</f>
        <v>1.9004128941989904</v>
      </c>
      <c r="M10" s="28"/>
      <c r="N10" s="75">
        <f t="shared" si="6"/>
        <v>0.26871583445948594</v>
      </c>
      <c r="O10" s="75">
        <f t="shared" ref="O10:O19" si="14">-(-$I$3+0.5*$K$6*((POWER(TAN((A10+$M$9)/2),2*$C$6-2)/(2*$C$6-2))-(POWER(TAN((A10+$M$9)/2),2*$C$6+2)/(2*$C$6+2))-(POWER(TAN($E$6/2),2*$C$6-2)/(2*$C$6-2))+(POWER(TAN($E$6/2),2*$C$6+2)/(2*$C$6+2))))-$D$3</f>
        <v>0.47143188462725888</v>
      </c>
      <c r="P10" s="109">
        <f t="shared" ref="P10:P19" si="15">IF(A10-N10/(O10-N10)*$M$9&lt;0,A10*0.5,A10-N10/(O10-N10)*$M$9)</f>
        <v>0.17796068560458284</v>
      </c>
      <c r="R10" s="28"/>
      <c r="S10" s="28"/>
      <c r="T10" s="163">
        <f t="shared" ref="T10:U14" si="16">H50</f>
        <v>3.6959115239565388</v>
      </c>
      <c r="U10" s="163">
        <f t="shared" si="16"/>
        <v>0.33828062637021156</v>
      </c>
      <c r="V10" s="28"/>
    </row>
    <row r="11" spans="1:56">
      <c r="A11" s="20">
        <f t="shared" si="7"/>
        <v>0.17796068560458284</v>
      </c>
      <c r="B11" s="23">
        <f t="shared" si="8"/>
        <v>0.98420674431591104</v>
      </c>
      <c r="C11" s="23">
        <f t="shared" si="9"/>
        <v>7.7645700034452627</v>
      </c>
      <c r="D11" s="23">
        <f t="shared" si="10"/>
        <v>7.6492353603344021E-8</v>
      </c>
      <c r="E11" s="23">
        <f t="shared" si="11"/>
        <v>0.17702283593670862</v>
      </c>
      <c r="F11" s="71">
        <f t="shared" si="12"/>
        <v>0.80056016831312904</v>
      </c>
      <c r="G11" s="71">
        <f t="shared" si="1"/>
        <v>0.77295919308389449</v>
      </c>
      <c r="H11" s="75">
        <f t="shared" si="2"/>
        <v>3.7141688068967866</v>
      </c>
      <c r="I11" s="75">
        <f t="shared" si="3"/>
        <v>0.44389810215919523</v>
      </c>
      <c r="J11" s="71">
        <f t="shared" si="4"/>
        <v>-0.32217844324737133</v>
      </c>
      <c r="K11" s="71">
        <f t="shared" si="5"/>
        <v>-1.7912389384081147</v>
      </c>
      <c r="L11" s="42">
        <f t="shared" si="13"/>
        <v>1.8199823855638628</v>
      </c>
      <c r="M11" s="28"/>
      <c r="N11" s="75">
        <f t="shared" si="6"/>
        <v>1.788918524188049E-2</v>
      </c>
      <c r="O11" s="75">
        <f t="shared" si="14"/>
        <v>0.20526533239346628</v>
      </c>
      <c r="P11" s="109">
        <f t="shared" si="15"/>
        <v>0.1778652135527031</v>
      </c>
      <c r="R11" s="28"/>
      <c r="S11" s="28"/>
      <c r="T11" s="163">
        <f t="shared" si="16"/>
        <v>3.6783235801292298</v>
      </c>
      <c r="U11" s="163">
        <f t="shared" si="16"/>
        <v>0.22516071059162635</v>
      </c>
      <c r="V11" s="28"/>
    </row>
    <row r="12" spans="1:56">
      <c r="A12" s="20">
        <f t="shared" si="7"/>
        <v>0.1778652135527031</v>
      </c>
      <c r="B12" s="23">
        <f t="shared" si="8"/>
        <v>0.98422364056378253</v>
      </c>
      <c r="C12" s="26">
        <f t="shared" si="9"/>
        <v>7.7645868996931346</v>
      </c>
      <c r="D12" s="26">
        <f t="shared" si="10"/>
        <v>7.6213074007971718E-8</v>
      </c>
      <c r="E12" s="26">
        <f t="shared" si="11"/>
        <v>0.1769288708927238</v>
      </c>
      <c r="F12" s="77">
        <f t="shared" si="12"/>
        <v>0.79806261352657815</v>
      </c>
      <c r="G12" s="77">
        <f t="shared" si="1"/>
        <v>0.78263884391475858</v>
      </c>
      <c r="H12" s="75">
        <f t="shared" si="2"/>
        <v>3.7110559256456357</v>
      </c>
      <c r="I12" s="75">
        <f t="shared" si="3"/>
        <v>0.4265864511079609</v>
      </c>
      <c r="J12" s="77">
        <f t="shared" si="4"/>
        <v>-0.32100214442756514</v>
      </c>
      <c r="K12" s="77">
        <f t="shared" si="5"/>
        <v>-1.7856774737958967</v>
      </c>
      <c r="L12" s="91">
        <f t="shared" si="13"/>
        <v>1.8143005310998481</v>
      </c>
      <c r="M12" s="92"/>
      <c r="N12" s="75">
        <f t="shared" si="6"/>
        <v>5.7753419064615619E-4</v>
      </c>
      <c r="O12" s="75">
        <f t="shared" si="14"/>
        <v>0.18689061457735784</v>
      </c>
      <c r="P12" s="109">
        <f t="shared" si="15"/>
        <v>0.17786211374785071</v>
      </c>
      <c r="R12" s="28"/>
      <c r="S12" s="28"/>
      <c r="T12" s="163">
        <f t="shared" si="16"/>
        <v>3.6574039412155779</v>
      </c>
      <c r="U12" s="163">
        <f t="shared" si="16"/>
        <v>7.5291366668722548E-2</v>
      </c>
      <c r="V12" s="28"/>
    </row>
    <row r="13" spans="1:56">
      <c r="A13" s="20">
        <f t="shared" si="7"/>
        <v>0.17786211374785071</v>
      </c>
      <c r="B13" s="23">
        <f t="shared" si="8"/>
        <v>0.98422418900402653</v>
      </c>
      <c r="C13" s="23">
        <f t="shared" si="9"/>
        <v>7.764587448133379</v>
      </c>
      <c r="D13" s="23">
        <f t="shared" si="10"/>
        <v>7.6204020934651814E-8</v>
      </c>
      <c r="E13" s="23">
        <f t="shared" si="11"/>
        <v>0.17692581999065693</v>
      </c>
      <c r="F13" s="71">
        <f t="shared" si="12"/>
        <v>0.79798163106778697</v>
      </c>
      <c r="G13" s="71">
        <f t="shared" si="1"/>
        <v>0.78295270366620207</v>
      </c>
      <c r="H13" s="75">
        <f t="shared" si="2"/>
        <v>3.7109551819762299</v>
      </c>
      <c r="I13" s="75">
        <f t="shared" si="3"/>
        <v>0.42602602711913407</v>
      </c>
      <c r="J13" s="71">
        <f t="shared" si="4"/>
        <v>-0.32096401375264921</v>
      </c>
      <c r="K13" s="71">
        <f t="shared" si="5"/>
        <v>-1.7854971431069833</v>
      </c>
      <c r="L13" s="42">
        <f t="shared" si="13"/>
        <v>1.8141162989641568</v>
      </c>
      <c r="M13" s="28"/>
      <c r="N13" s="75">
        <f t="shared" si="6"/>
        <v>1.7110201819325876E-5</v>
      </c>
      <c r="O13" s="75">
        <f t="shared" si="14"/>
        <v>0.18629576663088815</v>
      </c>
      <c r="P13" s="109">
        <f t="shared" si="15"/>
        <v>0.17786202189512776</v>
      </c>
      <c r="R13" s="28"/>
      <c r="S13" s="28"/>
      <c r="T13" s="163">
        <f t="shared" si="16"/>
        <v>3.6319924430946959</v>
      </c>
      <c r="U13" s="163">
        <f t="shared" si="16"/>
        <v>-0.13005367825319369</v>
      </c>
      <c r="V13" s="28"/>
    </row>
    <row r="14" spans="1:56">
      <c r="A14" s="20">
        <f t="shared" si="7"/>
        <v>0.17786202189512776</v>
      </c>
      <c r="B14" s="23">
        <f t="shared" si="8"/>
        <v>0.98422420525514065</v>
      </c>
      <c r="C14" s="23">
        <f t="shared" si="9"/>
        <v>7.7645874643844923</v>
      </c>
      <c r="D14" s="23">
        <f t="shared" si="10"/>
        <v>7.6203752690035482E-8</v>
      </c>
      <c r="E14" s="23">
        <f t="shared" si="11"/>
        <v>0.17692572958698441</v>
      </c>
      <c r="F14" s="71">
        <f t="shared" si="12"/>
        <v>0.79797923151785854</v>
      </c>
      <c r="G14" s="71">
        <f t="shared" si="1"/>
        <v>0.78296200348440159</v>
      </c>
      <c r="H14" s="75">
        <f t="shared" si="2"/>
        <v>3.7109521970745054</v>
      </c>
      <c r="I14" s="75">
        <f t="shared" si="3"/>
        <v>0.42600942234514627</v>
      </c>
      <c r="J14" s="71">
        <f t="shared" si="4"/>
        <v>-0.32096288393210076</v>
      </c>
      <c r="K14" s="71">
        <f t="shared" si="5"/>
        <v>-1.7854917998185218</v>
      </c>
      <c r="L14" s="42">
        <f t="shared" si="13"/>
        <v>1.8141108400759849</v>
      </c>
      <c r="M14" s="28"/>
      <c r="N14" s="75">
        <f t="shared" si="6"/>
        <v>5.0542783153195714E-7</v>
      </c>
      <c r="O14" s="75">
        <f t="shared" si="14"/>
        <v>0.18627814190194319</v>
      </c>
      <c r="P14" s="109">
        <f t="shared" si="15"/>
        <v>0.1778620191818239</v>
      </c>
      <c r="R14" s="28"/>
      <c r="S14" s="28"/>
      <c r="T14" s="163">
        <f t="shared" si="16"/>
        <v>3.6002889075472408</v>
      </c>
      <c r="U14" s="163">
        <f t="shared" si="16"/>
        <v>-0.42370952550773633</v>
      </c>
      <c r="V14" s="28"/>
    </row>
    <row r="15" spans="1:56">
      <c r="A15" s="20">
        <f t="shared" si="7"/>
        <v>0.1778620191818239</v>
      </c>
      <c r="B15" s="23">
        <f t="shared" si="8"/>
        <v>0.98422420573519398</v>
      </c>
      <c r="C15" s="23">
        <f t="shared" si="9"/>
        <v>7.7645874648645457</v>
      </c>
      <c r="D15" s="23">
        <f t="shared" si="10"/>
        <v>7.6203744766176409E-8</v>
      </c>
      <c r="E15" s="23">
        <f t="shared" si="11"/>
        <v>0.17692572691648509</v>
      </c>
      <c r="F15" s="71">
        <f t="shared" si="12"/>
        <v>0.79797916063591201</v>
      </c>
      <c r="G15" s="71">
        <f t="shared" si="1"/>
        <v>0.78296227819809217</v>
      </c>
      <c r="H15" s="75">
        <f t="shared" si="2"/>
        <v>3.7109521089016138</v>
      </c>
      <c r="I15" s="75">
        <f t="shared" si="3"/>
        <v>0.42600893184613842</v>
      </c>
      <c r="J15" s="71">
        <f t="shared" si="4"/>
        <v>-0.32096285055756768</v>
      </c>
      <c r="K15" s="71">
        <f t="shared" si="5"/>
        <v>-1.7854916419794677</v>
      </c>
      <c r="L15" s="42">
        <f t="shared" si="13"/>
        <v>1.8141106788221537</v>
      </c>
      <c r="M15" s="28"/>
      <c r="N15" s="75">
        <f t="shared" si="6"/>
        <v>1.492882367726267E-8</v>
      </c>
      <c r="O15" s="75">
        <f t="shared" si="14"/>
        <v>0.18627762127380926</v>
      </c>
      <c r="P15" s="109">
        <f t="shared" si="15"/>
        <v>0.17786201910168101</v>
      </c>
      <c r="R15" s="28"/>
      <c r="S15" s="28"/>
      <c r="T15" s="164">
        <f>H65</f>
        <v>3.6000586468282729</v>
      </c>
      <c r="U15" s="164">
        <f>I65</f>
        <v>-0.4259992235025617</v>
      </c>
      <c r="V15" s="28"/>
    </row>
    <row r="16" spans="1:56">
      <c r="A16" s="20">
        <f t="shared" si="7"/>
        <v>0.17786201910168101</v>
      </c>
      <c r="B16" s="23">
        <f t="shared" si="8"/>
        <v>0.9842242057493733</v>
      </c>
      <c r="C16" s="23">
        <f t="shared" si="9"/>
        <v>7.7645874648787254</v>
      </c>
      <c r="D16" s="23">
        <f t="shared" si="10"/>
        <v>7.6203744532129162E-8</v>
      </c>
      <c r="E16" s="23">
        <f t="shared" si="11"/>
        <v>0.17692572683760652</v>
      </c>
      <c r="F16" s="71">
        <f t="shared" si="12"/>
        <v>0.79797915854226997</v>
      </c>
      <c r="G16" s="71">
        <f t="shared" si="1"/>
        <v>0.78296228631231812</v>
      </c>
      <c r="H16" s="75">
        <f t="shared" si="2"/>
        <v>3.7109521062972486</v>
      </c>
      <c r="I16" s="75">
        <f t="shared" si="3"/>
        <v>0.4260089173582533</v>
      </c>
      <c r="J16" s="71">
        <f t="shared" si="4"/>
        <v>-0.32096284957178328</v>
      </c>
      <c r="K16" s="71">
        <f t="shared" si="5"/>
        <v>-1.7854916373173708</v>
      </c>
      <c r="L16" s="42">
        <f t="shared" si="13"/>
        <v>1.8141106740591946</v>
      </c>
      <c r="M16" s="28"/>
      <c r="N16" s="75">
        <f t="shared" si="6"/>
        <v>4.4093856343963012E-10</v>
      </c>
      <c r="O16" s="75">
        <f t="shared" si="14"/>
        <v>0.18627760589601311</v>
      </c>
      <c r="P16" s="109">
        <f t="shared" si="15"/>
        <v>0.1778620190993139</v>
      </c>
      <c r="R16" s="28"/>
      <c r="S16" s="28"/>
      <c r="T16" s="164">
        <f t="shared" ref="T16:U31" si="17">H66</f>
        <v>3.4514978075029772</v>
      </c>
      <c r="U16" s="164">
        <f t="shared" si="17"/>
        <v>-1.9184953013998225</v>
      </c>
      <c r="V16" s="28"/>
    </row>
    <row r="17" spans="1:22">
      <c r="A17" s="20">
        <f t="shared" si="7"/>
        <v>0.1778620190993139</v>
      </c>
      <c r="B17" s="23">
        <f t="shared" si="8"/>
        <v>0.98422420574979208</v>
      </c>
      <c r="C17" s="23">
        <f t="shared" si="9"/>
        <v>7.7645874648791438</v>
      </c>
      <c r="D17" s="23">
        <f t="shared" si="10"/>
        <v>7.6203744525216341E-8</v>
      </c>
      <c r="E17" s="23">
        <f t="shared" si="11"/>
        <v>0.17692572683527674</v>
      </c>
      <c r="F17" s="71">
        <f t="shared" si="12"/>
        <v>0.79797915848043188</v>
      </c>
      <c r="G17" s="71">
        <f t="shared" si="1"/>
        <v>0.78296228655198097</v>
      </c>
      <c r="H17" s="75">
        <f t="shared" si="2"/>
        <v>3.7109521062203261</v>
      </c>
      <c r="I17" s="75">
        <f t="shared" si="3"/>
        <v>0.42600891693034137</v>
      </c>
      <c r="J17" s="71">
        <f t="shared" si="4"/>
        <v>-0.32096284954266702</v>
      </c>
      <c r="K17" s="71">
        <f t="shared" si="5"/>
        <v>-1.7854916371796705</v>
      </c>
      <c r="L17" s="42">
        <f t="shared" si="13"/>
        <v>1.8141106739185151</v>
      </c>
      <c r="M17" s="28"/>
      <c r="N17" s="75">
        <f t="shared" si="6"/>
        <v>1.302663532598558E-11</v>
      </c>
      <c r="O17" s="75">
        <f t="shared" si="14"/>
        <v>0.18627760544181865</v>
      </c>
      <c r="P17" s="109">
        <f t="shared" si="15"/>
        <v>0.17786201909924396</v>
      </c>
      <c r="R17" s="28"/>
      <c r="S17" s="28"/>
      <c r="T17" s="164">
        <f t="shared" si="17"/>
        <v>3.3341896911632611</v>
      </c>
      <c r="U17" s="164">
        <f t="shared" si="17"/>
        <v>-3.1214299448873719</v>
      </c>
      <c r="V17" s="28"/>
    </row>
    <row r="18" spans="1:22">
      <c r="A18" s="20">
        <f t="shared" si="7"/>
        <v>0.17786201909924396</v>
      </c>
      <c r="B18" s="23">
        <f t="shared" si="8"/>
        <v>0.9842242057498044</v>
      </c>
      <c r="C18" s="23">
        <f t="shared" si="9"/>
        <v>7.7645874648791562</v>
      </c>
      <c r="D18" s="23">
        <f t="shared" si="10"/>
        <v>7.6203744525012219E-8</v>
      </c>
      <c r="E18" s="23">
        <f t="shared" si="11"/>
        <v>0.17692572683520791</v>
      </c>
      <c r="F18" s="71">
        <f t="shared" si="12"/>
        <v>0.79797915847860623</v>
      </c>
      <c r="G18" s="71">
        <f t="shared" si="1"/>
        <v>0.78296228655905653</v>
      </c>
      <c r="H18" s="75">
        <f t="shared" si="2"/>
        <v>3.7109521062180546</v>
      </c>
      <c r="I18" s="75">
        <f t="shared" si="3"/>
        <v>0.42600891691770126</v>
      </c>
      <c r="J18" s="71">
        <f t="shared" si="4"/>
        <v>-0.32096284954180732</v>
      </c>
      <c r="K18" s="71">
        <f t="shared" si="5"/>
        <v>-1.7854916371756051</v>
      </c>
      <c r="L18" s="42">
        <f t="shared" si="13"/>
        <v>1.8141106739143618</v>
      </c>
      <c r="M18" s="28"/>
      <c r="N18" s="75">
        <f t="shared" si="6"/>
        <v>3.8652414602324825E-13</v>
      </c>
      <c r="O18" s="75">
        <f t="shared" si="14"/>
        <v>0.18627760542839072</v>
      </c>
      <c r="P18" s="109">
        <f t="shared" si="15"/>
        <v>0.17786201909924187</v>
      </c>
      <c r="R18" s="31"/>
      <c r="S18" s="31"/>
      <c r="T18" s="164">
        <f t="shared" si="17"/>
        <v>3.2420113779169299</v>
      </c>
      <c r="U18" s="164">
        <f t="shared" si="17"/>
        <v>-4.0866593562559439</v>
      </c>
      <c r="V18" s="28"/>
    </row>
    <row r="19" spans="1:22">
      <c r="A19" s="20">
        <f t="shared" si="7"/>
        <v>0.17786201909924187</v>
      </c>
      <c r="B19" s="23">
        <f t="shared" si="8"/>
        <v>0.98422420574980485</v>
      </c>
      <c r="C19" s="23">
        <f t="shared" si="9"/>
        <v>7.7645874648791571</v>
      </c>
      <c r="D19" s="23">
        <f t="shared" si="10"/>
        <v>7.6203744525006264E-8</v>
      </c>
      <c r="E19" s="23">
        <f t="shared" si="11"/>
        <v>0.17692572683520585</v>
      </c>
      <c r="F19" s="71">
        <f t="shared" si="12"/>
        <v>0.79797915847855327</v>
      </c>
      <c r="G19" s="71">
        <f t="shared" si="1"/>
        <v>0.78296228655926181</v>
      </c>
      <c r="H19" s="81">
        <f t="shared" si="2"/>
        <v>3.7109521062179875</v>
      </c>
      <c r="I19" s="81">
        <f t="shared" si="3"/>
        <v>0.42600891691732823</v>
      </c>
      <c r="J19" s="80">
        <f t="shared" si="4"/>
        <v>-0.32096284954178228</v>
      </c>
      <c r="K19" s="80">
        <f t="shared" si="5"/>
        <v>-1.7854916371754876</v>
      </c>
      <c r="L19" s="42">
        <f t="shared" si="13"/>
        <v>1.8141106739142416</v>
      </c>
      <c r="M19" s="28"/>
      <c r="N19" s="75">
        <f t="shared" si="6"/>
        <v>1.3489209749195652E-14</v>
      </c>
      <c r="O19" s="75">
        <f t="shared" si="14"/>
        <v>0.18627760542800281</v>
      </c>
      <c r="P19" s="109">
        <f t="shared" si="15"/>
        <v>0.17786201909924179</v>
      </c>
      <c r="R19" s="31"/>
      <c r="S19" s="31"/>
      <c r="T19" s="164">
        <f t="shared" si="17"/>
        <v>3.1699477597553987</v>
      </c>
      <c r="U19" s="164">
        <f t="shared" si="17"/>
        <v>-4.8575560330846201</v>
      </c>
      <c r="V19" s="28"/>
    </row>
    <row r="20" spans="1:22">
      <c r="A20" s="88" t="s">
        <v>60</v>
      </c>
      <c r="B20" s="8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R20" s="31"/>
      <c r="S20" s="31"/>
      <c r="T20" s="164">
        <f t="shared" si="17"/>
        <v>3.1139083264895344</v>
      </c>
      <c r="U20" s="164">
        <f t="shared" si="17"/>
        <v>-5.4702603954150675</v>
      </c>
      <c r="V20" s="28"/>
    </row>
    <row r="21" spans="1:22">
      <c r="A21" s="26" t="s">
        <v>11</v>
      </c>
      <c r="B21" s="26" t="s">
        <v>13</v>
      </c>
      <c r="C21" s="26" t="s">
        <v>22</v>
      </c>
      <c r="D21" s="26" t="s">
        <v>18</v>
      </c>
      <c r="E21" s="26" t="s">
        <v>19</v>
      </c>
      <c r="F21" s="26" t="s">
        <v>20</v>
      </c>
      <c r="G21" s="26" t="s">
        <v>2</v>
      </c>
      <c r="H21" s="26" t="s">
        <v>1</v>
      </c>
      <c r="I21" s="26" t="s">
        <v>0</v>
      </c>
      <c r="J21" s="76" t="s">
        <v>3</v>
      </c>
      <c r="K21" s="76" t="s">
        <v>4</v>
      </c>
      <c r="L21" s="44" t="s">
        <v>7</v>
      </c>
      <c r="M21" s="44" t="s">
        <v>24</v>
      </c>
      <c r="N21" s="28"/>
      <c r="O21" s="28"/>
      <c r="P21" s="31"/>
      <c r="Q21" s="84"/>
      <c r="R21" s="31"/>
      <c r="S21" s="31"/>
      <c r="T21" s="164">
        <f t="shared" si="17"/>
        <v>3.0705712984933982</v>
      </c>
      <c r="U21" s="164">
        <f t="shared" si="17"/>
        <v>-5.9547686215358047</v>
      </c>
      <c r="V21" s="28"/>
    </row>
    <row r="22" spans="1:22">
      <c r="A22" s="20">
        <f>$E$6</f>
        <v>0.18488866435229889</v>
      </c>
      <c r="B22" s="23">
        <f t="shared" ref="B22:B27" si="18">COS(A22)</f>
        <v>0.98295672434458659</v>
      </c>
      <c r="C22" s="23">
        <f t="shared" ref="C22:C27" si="19">($C$6+B22)</f>
        <v>7.7633199834739388</v>
      </c>
      <c r="D22" s="23">
        <f t="shared" ref="D22:D27" si="20">POWER(TAN(A22/2),$C$6)</f>
        <v>9.9242529959237664E-8</v>
      </c>
      <c r="E22" s="23">
        <f t="shared" ref="E22:E27" si="21">SIN(A22)</f>
        <v>0.18383709654408822</v>
      </c>
      <c r="F22" s="71">
        <f t="shared" ref="F22:F27" si="22">(C22*$H$6*D22/E22/$I$6/$J$6)</f>
        <v>1</v>
      </c>
      <c r="G22" s="71">
        <f t="shared" ref="G22:G27" si="23">$D$6*($C$6+$G$6)/9.81/SIN($C$3)/(1-$C$6*$C$6)*(F22-1)</f>
        <v>0</v>
      </c>
      <c r="H22" s="98">
        <f t="shared" ref="H22:H27" si="24">-(-$H$3+$K$6*((POWER(TAN(A22/2),2*$C$6-1)/(2*$C$6-1))+(POWER(TAN(A22/2),2*$C$6+1)/(2*$C$6+1))-(POWER(TAN($E$6/2),2*$C$6-1)/(2*$C$6-1))-(POWER(TAN($E$6/2),2*$C$6+1)/(2*$C$6+1))))</f>
        <v>4</v>
      </c>
      <c r="I22" s="98">
        <f t="shared" ref="I22:I27" si="25">-(-$I$3+0.5*$K$6*((POWER(TAN(A22/2),2*$C$6-2)/(2*$C$6-2))-(POWER(TAN(A22/2),2*$C$6+2)/(2*$C$6+2))-(POWER(TAN($E$6/2),2*$C$6-2)/(2*$C$6-2))+(POWER(TAN($E$6/2),2*$C$6+2)/(2*$C$6+2))))</f>
        <v>2.0000000000000004</v>
      </c>
      <c r="J22" s="71">
        <f t="shared" ref="J22:J27" si="26">-$D$6*SIN(A22)*($C$6+$G$6)/($C$6+B22)*F22</f>
        <v>-0.41799999999999998</v>
      </c>
      <c r="K22" s="71">
        <f t="shared" ref="K22:K27" si="27">-$D$6*COS(A22)*($C$6+$G$6)/($C$6+B22)*F22</f>
        <v>-2.2349999999999999</v>
      </c>
      <c r="L22" s="72">
        <f t="shared" ref="L22:L27" si="28">SQRT(J22*J22+K22*K22)</f>
        <v>2.2737521852655798</v>
      </c>
      <c r="M22" s="73">
        <f>-K22/J22*H22+I22</f>
        <v>-19.387559808612441</v>
      </c>
      <c r="N22" s="28"/>
      <c r="O22" s="28"/>
      <c r="P22" s="31"/>
      <c r="Q22" s="84"/>
      <c r="R22" s="31"/>
      <c r="S22" s="31"/>
      <c r="T22" s="164">
        <f t="shared" si="17"/>
        <v>3.0372514814526692</v>
      </c>
      <c r="U22" s="164">
        <f t="shared" si="17"/>
        <v>-6.3358752957284832</v>
      </c>
      <c r="V22" s="28"/>
    </row>
    <row r="23" spans="1:22">
      <c r="A23" s="20">
        <f>A22-$F$6</f>
        <v>0.1835033353016875</v>
      </c>
      <c r="B23" s="23">
        <f t="shared" si="18"/>
        <v>0.98321045591959833</v>
      </c>
      <c r="C23" s="23">
        <f t="shared" si="19"/>
        <v>7.7635737150489508</v>
      </c>
      <c r="D23" s="23">
        <f t="shared" si="20"/>
        <v>9.4281230321033014E-8</v>
      </c>
      <c r="E23" s="23">
        <f t="shared" si="21"/>
        <v>0.18247520206969375</v>
      </c>
      <c r="F23" s="71">
        <f t="shared" si="22"/>
        <v>0.95712995223787201</v>
      </c>
      <c r="G23" s="71">
        <f t="shared" si="23"/>
        <v>0.16614934562173447</v>
      </c>
      <c r="H23" s="99">
        <f t="shared" si="24"/>
        <v>3.9322876960778759</v>
      </c>
      <c r="I23" s="99">
        <f t="shared" si="25"/>
        <v>1.636575511233896</v>
      </c>
      <c r="J23" s="71">
        <f t="shared" si="26"/>
        <v>-0.39710348265384471</v>
      </c>
      <c r="K23" s="71">
        <f t="shared" si="27"/>
        <v>-2.1396677016870793</v>
      </c>
      <c r="L23" s="42">
        <f t="shared" si="28"/>
        <v>2.1762051947320318</v>
      </c>
      <c r="M23" s="45"/>
      <c r="N23" s="28"/>
      <c r="O23" s="28"/>
      <c r="P23" s="31"/>
      <c r="Q23" s="84"/>
      <c r="R23" s="31"/>
      <c r="S23" s="31"/>
      <c r="T23" s="164">
        <f t="shared" si="17"/>
        <v>3.011788636076675</v>
      </c>
      <c r="U23" s="164">
        <f t="shared" si="17"/>
        <v>-6.6339876910456175</v>
      </c>
      <c r="V23" s="28"/>
    </row>
    <row r="24" spans="1:22">
      <c r="A24" s="20">
        <f>A23-$F$6</f>
        <v>0.1821180062510761</v>
      </c>
      <c r="B24" s="23">
        <f t="shared" si="18"/>
        <v>0.98346230057976158</v>
      </c>
      <c r="C24" s="23">
        <f t="shared" si="19"/>
        <v>7.7638255597091135</v>
      </c>
      <c r="D24" s="23">
        <f t="shared" si="20"/>
        <v>8.9533544754854415E-8</v>
      </c>
      <c r="E24" s="23">
        <f t="shared" si="21"/>
        <v>0.18111295740052036</v>
      </c>
      <c r="F24" s="71">
        <f t="shared" si="22"/>
        <v>0.91579836552312133</v>
      </c>
      <c r="G24" s="71">
        <f t="shared" si="23"/>
        <v>0.32633615306985669</v>
      </c>
      <c r="H24" s="99">
        <f t="shared" si="24"/>
        <v>3.8702805684627113</v>
      </c>
      <c r="I24" s="99">
        <f t="shared" si="25"/>
        <v>1.3011923067529438</v>
      </c>
      <c r="J24" s="71">
        <f t="shared" si="26"/>
        <v>-0.37710668725294377</v>
      </c>
      <c r="K24" s="71">
        <f t="shared" si="27"/>
        <v>-2.0477287518950713</v>
      </c>
      <c r="L24" s="42">
        <f t="shared" si="28"/>
        <v>2.0821629366859442</v>
      </c>
      <c r="M24" s="45"/>
      <c r="N24" s="28"/>
      <c r="O24" s="28"/>
      <c r="P24" s="28"/>
      <c r="Q24" s="84"/>
      <c r="R24" s="89"/>
      <c r="S24" s="89"/>
      <c r="T24" s="164">
        <f t="shared" si="17"/>
        <v>2.9924535328027302</v>
      </c>
      <c r="U24" s="164">
        <f t="shared" si="17"/>
        <v>-6.8658268674965734</v>
      </c>
      <c r="V24" s="28"/>
    </row>
    <row r="25" spans="1:22">
      <c r="A25" s="20">
        <f>A24-$F$6</f>
        <v>0.18073267720046471</v>
      </c>
      <c r="B25" s="23">
        <f t="shared" si="18"/>
        <v>0.98371225784175209</v>
      </c>
      <c r="C25" s="23">
        <f t="shared" si="19"/>
        <v>7.7640755169711042</v>
      </c>
      <c r="D25" s="23">
        <f t="shared" si="20"/>
        <v>8.4991770763642207E-8</v>
      </c>
      <c r="E25" s="23">
        <f t="shared" si="21"/>
        <v>0.17975036515090115</v>
      </c>
      <c r="F25" s="71">
        <f t="shared" si="22"/>
        <v>0.87596082809095099</v>
      </c>
      <c r="G25" s="71">
        <f t="shared" si="23"/>
        <v>0.48073254684723321</v>
      </c>
      <c r="H25" s="99">
        <f t="shared" si="24"/>
        <v>3.8135352785743288</v>
      </c>
      <c r="I25" s="99">
        <f t="shared" si="25"/>
        <v>0.99187304535741694</v>
      </c>
      <c r="J25" s="71">
        <f t="shared" si="26"/>
        <v>-0.3579771716198128</v>
      </c>
      <c r="K25" s="71">
        <f t="shared" si="27"/>
        <v>-1.9590866002096965</v>
      </c>
      <c r="L25" s="42">
        <f t="shared" si="28"/>
        <v>1.9915240301141506</v>
      </c>
      <c r="M25" s="45"/>
      <c r="N25" s="28"/>
      <c r="O25" s="28"/>
      <c r="P25" s="28"/>
      <c r="Q25" s="84"/>
      <c r="R25" s="28"/>
      <c r="S25" s="28"/>
      <c r="T25" s="164">
        <f t="shared" si="17"/>
        <v>2.9778692011191898</v>
      </c>
      <c r="U25" s="164">
        <f t="shared" si="17"/>
        <v>-7.0450292528550511</v>
      </c>
      <c r="V25" s="28"/>
    </row>
    <row r="26" spans="1:22">
      <c r="A26" s="20">
        <f>A25-$F$6</f>
        <v>0.17934734814985331</v>
      </c>
      <c r="B26" s="23">
        <f t="shared" si="18"/>
        <v>0.98396032722586779</v>
      </c>
      <c r="C26" s="23">
        <f t="shared" si="19"/>
        <v>7.7643235863552196</v>
      </c>
      <c r="D26" s="23">
        <f t="shared" si="20"/>
        <v>8.0648429451626152E-8</v>
      </c>
      <c r="E26" s="23">
        <f t="shared" si="21"/>
        <v>0.17838742793583634</v>
      </c>
      <c r="F26" s="71">
        <f t="shared" si="22"/>
        <v>0.83757390002009802</v>
      </c>
      <c r="G26" s="71">
        <f t="shared" si="23"/>
        <v>0.6295068849303177</v>
      </c>
      <c r="H26" s="99">
        <f t="shared" si="24"/>
        <v>3.7616400071941443</v>
      </c>
      <c r="I26" s="99">
        <f t="shared" si="25"/>
        <v>0.70676654772401215</v>
      </c>
      <c r="J26" s="71">
        <f t="shared" si="26"/>
        <v>-0.33968343536411277</v>
      </c>
      <c r="K26" s="71">
        <f t="shared" si="27"/>
        <v>-1.8736467478767576</v>
      </c>
      <c r="L26" s="42">
        <f t="shared" si="28"/>
        <v>1.9041893214935104</v>
      </c>
      <c r="M26" s="45"/>
      <c r="N26" s="28"/>
      <c r="O26" s="28"/>
      <c r="P26" s="28"/>
      <c r="Q26" s="84"/>
      <c r="R26" s="28"/>
      <c r="S26" s="28"/>
      <c r="T26" s="164">
        <f t="shared" si="17"/>
        <v>2.9669451882836464</v>
      </c>
      <c r="U26" s="164">
        <f t="shared" si="17"/>
        <v>-7.1826609819366993</v>
      </c>
      <c r="V26" s="28"/>
    </row>
    <row r="27" spans="1:22">
      <c r="A27" s="20">
        <f>A26-$F$6</f>
        <v>0.17796201909924192</v>
      </c>
      <c r="B27" s="23">
        <f t="shared" si="18"/>
        <v>0.98420650825602973</v>
      </c>
      <c r="C27" s="23">
        <f t="shared" si="19"/>
        <v>7.7645697673853817</v>
      </c>
      <c r="D27" s="23">
        <f t="shared" si="20"/>
        <v>7.6496260594729218E-8</v>
      </c>
      <c r="E27" s="23">
        <f t="shared" si="21"/>
        <v>0.1770241483709882</v>
      </c>
      <c r="F27" s="71">
        <f t="shared" si="22"/>
        <v>0.8005950985420901</v>
      </c>
      <c r="G27" s="71">
        <f t="shared" si="23"/>
        <v>0.77282381570534575</v>
      </c>
      <c r="H27" s="99">
        <f t="shared" si="24"/>
        <v>3.7142124236837315</v>
      </c>
      <c r="I27" s="99">
        <f t="shared" si="25"/>
        <v>0.44414060065588701</v>
      </c>
      <c r="J27" s="71">
        <f t="shared" si="26"/>
        <v>-0.32219489911966387</v>
      </c>
      <c r="K27" s="71">
        <f t="shared" si="27"/>
        <v>-1.7913167189818127</v>
      </c>
      <c r="L27" s="42">
        <f t="shared" si="28"/>
        <v>1.8200618507958726</v>
      </c>
      <c r="M27" s="45"/>
      <c r="N27" s="28"/>
      <c r="O27" s="28"/>
      <c r="P27" s="28"/>
      <c r="Q27" s="85"/>
      <c r="R27" s="28"/>
      <c r="S27" s="28"/>
      <c r="T27" s="164">
        <f t="shared" si="17"/>
        <v>2.9588229157523425</v>
      </c>
      <c r="U27" s="164">
        <f t="shared" si="17"/>
        <v>-7.2876559932100387</v>
      </c>
      <c r="V27" s="28"/>
    </row>
    <row r="28" spans="1:22">
      <c r="A28" s="142"/>
      <c r="B28" s="142"/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R28" s="28"/>
      <c r="S28" s="28"/>
      <c r="T28" s="164">
        <f t="shared" si="17"/>
        <v>2.9528304662243707</v>
      </c>
      <c r="U28" s="164">
        <f t="shared" si="17"/>
        <v>-7.3671877118890272</v>
      </c>
      <c r="V28" s="28"/>
    </row>
    <row r="29" spans="1:22">
      <c r="A29" s="88" t="s">
        <v>73</v>
      </c>
      <c r="B29" s="88"/>
      <c r="C29" s="23" t="str">
        <f>CONCATENATE("m",Stufengrün!J48)</f>
        <v>m0</v>
      </c>
      <c r="D29" s="23" t="s">
        <v>30</v>
      </c>
      <c r="E29" s="28"/>
      <c r="F29" s="28"/>
      <c r="G29" s="28"/>
      <c r="H29" s="36" t="s">
        <v>57</v>
      </c>
      <c r="I29" s="36" t="s">
        <v>51</v>
      </c>
      <c r="J29" s="36" t="s">
        <v>58</v>
      </c>
      <c r="K29" s="36" t="s">
        <v>59</v>
      </c>
      <c r="L29" s="28"/>
      <c r="M29" s="28"/>
      <c r="N29" s="28"/>
      <c r="O29" s="28"/>
      <c r="P29" s="28"/>
      <c r="R29" s="28"/>
      <c r="S29" s="28"/>
      <c r="T29" s="164">
        <f t="shared" si="17"/>
        <v>2.9484453523268033</v>
      </c>
      <c r="U29" s="164">
        <f t="shared" si="17"/>
        <v>-7.4269830794025857</v>
      </c>
      <c r="V29" s="28"/>
    </row>
    <row r="30" spans="1:22">
      <c r="A30" s="88" t="s">
        <v>69</v>
      </c>
      <c r="B30" s="88"/>
      <c r="C30" s="36">
        <f>Stufengrün!K48</f>
        <v>0.38197186342054879</v>
      </c>
      <c r="D30" s="26">
        <f>Stufengrün!M47</f>
        <v>-0.42600891691731474</v>
      </c>
      <c r="E30" s="28"/>
      <c r="F30" s="28"/>
      <c r="G30" s="28"/>
      <c r="H30" s="78">
        <f>H19</f>
        <v>3.7109521062179875</v>
      </c>
      <c r="I30" s="78">
        <f>I19</f>
        <v>0.42600891691732823</v>
      </c>
      <c r="J30" s="78">
        <f>J19</f>
        <v>-0.32096284954178228</v>
      </c>
      <c r="K30" s="78">
        <f>K19</f>
        <v>-1.7854916371754876</v>
      </c>
      <c r="L30" s="28"/>
      <c r="M30" s="28"/>
      <c r="N30" s="28"/>
      <c r="O30" s="28"/>
      <c r="P30" s="28"/>
      <c r="R30" s="28"/>
      <c r="S30" s="28"/>
      <c r="T30" s="164">
        <f t="shared" si="17"/>
        <v>2.9452640119483737</v>
      </c>
      <c r="U30" s="164">
        <f t="shared" si="17"/>
        <v>-7.4715867138292902</v>
      </c>
      <c r="V30" s="28"/>
    </row>
    <row r="31" spans="1:22">
      <c r="A31" s="95"/>
      <c r="B31" s="95"/>
      <c r="C31" s="28"/>
      <c r="D31" s="28"/>
      <c r="E31" s="28"/>
      <c r="F31" s="28"/>
      <c r="G31" s="28"/>
      <c r="H31" s="37" t="s">
        <v>8</v>
      </c>
      <c r="I31" s="37" t="s">
        <v>8</v>
      </c>
      <c r="J31" s="37" t="s">
        <v>9</v>
      </c>
      <c r="K31" s="37" t="s">
        <v>9</v>
      </c>
      <c r="L31" s="28"/>
      <c r="M31" s="28"/>
      <c r="N31" s="28"/>
      <c r="O31" s="28"/>
      <c r="P31" s="28"/>
      <c r="R31" s="28"/>
      <c r="S31" s="28"/>
      <c r="T31" s="164">
        <f t="shared" si="17"/>
        <v>2.9429769472378582</v>
      </c>
      <c r="U31" s="164">
        <f t="shared" si="17"/>
        <v>-7.504582098294196</v>
      </c>
      <c r="V31" s="28"/>
    </row>
    <row r="32" spans="1:22">
      <c r="A32" s="88" t="s">
        <v>68</v>
      </c>
      <c r="B32" s="88"/>
      <c r="C32" s="26" t="s">
        <v>15</v>
      </c>
      <c r="D32" s="26" t="s">
        <v>55</v>
      </c>
      <c r="E32" s="46" t="s">
        <v>12</v>
      </c>
      <c r="F32" s="26" t="s">
        <v>10</v>
      </c>
      <c r="G32" s="26" t="s">
        <v>14</v>
      </c>
      <c r="H32" s="26" t="s">
        <v>21</v>
      </c>
      <c r="I32" s="26" t="s">
        <v>16</v>
      </c>
      <c r="J32" s="26" t="s">
        <v>17</v>
      </c>
      <c r="K32" s="26" t="s">
        <v>23</v>
      </c>
      <c r="L32" s="28"/>
      <c r="M32" s="28"/>
      <c r="N32" s="28"/>
      <c r="O32" s="28"/>
      <c r="P32" s="28"/>
      <c r="R32" s="28"/>
      <c r="S32" s="28"/>
      <c r="T32" s="164">
        <f t="shared" ref="T32:U34" si="29">H82</f>
        <v>2.9413485763383838</v>
      </c>
      <c r="U32" s="164">
        <f t="shared" si="29"/>
        <v>-7.5287758884981502</v>
      </c>
      <c r="V32" s="28"/>
    </row>
    <row r="33" spans="1:49">
      <c r="A33" s="28"/>
      <c r="B33" s="28"/>
      <c r="C33" s="23">
        <f>Mü/TAN($C30)</f>
        <v>0.17425898005457305</v>
      </c>
      <c r="D33" s="42">
        <f>SQRT($J30*$J30+$K30*$K30)</f>
        <v>1.8141106739142416</v>
      </c>
      <c r="E33" s="20">
        <f>ATAN($J30/$K30)</f>
        <v>0.17786201909924185</v>
      </c>
      <c r="F33" s="23">
        <f>($E33-A46-0.0001)/5</f>
        <v>1.5517032667996825E-2</v>
      </c>
      <c r="G33" s="23">
        <f>COS($E33)</f>
        <v>0.98422420574980485</v>
      </c>
      <c r="H33" s="23">
        <f>SIN($E33)</f>
        <v>0.17692572683520583</v>
      </c>
      <c r="I33" s="23">
        <f>$C33+$G33</f>
        <v>1.1584831858043778</v>
      </c>
      <c r="J33" s="23">
        <f>POWER(TAN($E33/2),$C33)</f>
        <v>0.6562404033066227</v>
      </c>
      <c r="K33" s="23">
        <f>-$D33*$D33*SIN($E33)*SIN($E33)/(2*9.81*SIN($C30)*POWER(TAN($E33/2),2*$C33))</f>
        <v>-3.2708892900761989E-2</v>
      </c>
      <c r="L33" s="28"/>
      <c r="M33" s="28"/>
      <c r="N33" s="28"/>
      <c r="O33" s="28"/>
      <c r="P33" s="28"/>
      <c r="R33" s="28"/>
      <c r="S33" s="28"/>
      <c r="T33" s="164">
        <f t="shared" si="29"/>
        <v>2.9402010009086945</v>
      </c>
      <c r="U33" s="164">
        <f t="shared" si="29"/>
        <v>-7.5463507008080155</v>
      </c>
      <c r="V33" s="28"/>
    </row>
    <row r="34" spans="1:49">
      <c r="A34" s="88" t="s">
        <v>70</v>
      </c>
      <c r="B34" s="8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45"/>
      <c r="N34" s="28"/>
      <c r="O34" s="28"/>
      <c r="P34" s="28"/>
      <c r="R34" s="28"/>
      <c r="S34" s="28"/>
      <c r="T34" s="164">
        <f t="shared" si="29"/>
        <v>2.9394010101303856</v>
      </c>
      <c r="U34" s="164">
        <f t="shared" si="29"/>
        <v>-7.558991083263793</v>
      </c>
      <c r="V34" s="28"/>
      <c r="AU34" s="79" t="s">
        <v>65</v>
      </c>
      <c r="AV34" s="79" t="s">
        <v>66</v>
      </c>
      <c r="AW34" s="79" t="s">
        <v>67</v>
      </c>
    </row>
    <row r="35" spans="1:49">
      <c r="A35" s="26" t="s">
        <v>11</v>
      </c>
      <c r="B35" s="26" t="s">
        <v>13</v>
      </c>
      <c r="C35" s="26" t="s">
        <v>22</v>
      </c>
      <c r="D35" s="26" t="s">
        <v>18</v>
      </c>
      <c r="E35" s="26" t="s">
        <v>19</v>
      </c>
      <c r="F35" s="26" t="s">
        <v>20</v>
      </c>
      <c r="G35" s="26" t="s">
        <v>2</v>
      </c>
      <c r="H35" s="26" t="s">
        <v>65</v>
      </c>
      <c r="I35" s="26" t="s">
        <v>66</v>
      </c>
      <c r="J35" s="76" t="s">
        <v>3</v>
      </c>
      <c r="K35" s="76" t="s">
        <v>4</v>
      </c>
      <c r="L35" s="44" t="s">
        <v>7</v>
      </c>
      <c r="M35" s="93"/>
      <c r="N35" s="26" t="s">
        <v>61</v>
      </c>
      <c r="O35" s="26" t="s">
        <v>62</v>
      </c>
      <c r="P35" s="23" t="s">
        <v>63</v>
      </c>
      <c r="R35" s="28"/>
      <c r="S35" s="28"/>
      <c r="T35" s="149">
        <f>H95</f>
        <v>2.9377735782104457</v>
      </c>
      <c r="U35" s="149">
        <f>I95</f>
        <v>-7.5873455623466013</v>
      </c>
      <c r="V35" s="28"/>
      <c r="W35" s="54" t="s">
        <v>87</v>
      </c>
      <c r="X35" s="28"/>
      <c r="Y35" s="28"/>
      <c r="Z35" s="28"/>
      <c r="AA35" s="183" t="s">
        <v>73</v>
      </c>
      <c r="AB35" s="23" t="str">
        <f>C2</f>
        <v>m1</v>
      </c>
      <c r="AC35" s="26" t="str">
        <f>C29</f>
        <v>m0</v>
      </c>
      <c r="AD35" s="23" t="str">
        <f>C56</f>
        <v>m1</v>
      </c>
      <c r="AU35" s="78">
        <f>H95</f>
        <v>2.9377735782104457</v>
      </c>
      <c r="AV35" s="78">
        <f>I95</f>
        <v>-7.5873455623466013</v>
      </c>
      <c r="AW35" s="79">
        <f>SQRT(POWER(AU35,2)+(POWER(AV35-$M$3,2)))</f>
        <v>6.3126020015446613</v>
      </c>
    </row>
    <row r="36" spans="1:49">
      <c r="A36" s="19">
        <f>$E33</f>
        <v>0.17786201909924185</v>
      </c>
      <c r="B36" s="26">
        <f>COS(A36)</f>
        <v>0.98422420574980485</v>
      </c>
      <c r="C36" s="26">
        <f>($C$33+B36)</f>
        <v>1.1584831858043778</v>
      </c>
      <c r="D36" s="26">
        <f>POWER(TAN(A36/2),$C$33)</f>
        <v>0.6562404033066227</v>
      </c>
      <c r="E36" s="26">
        <f>SIN(A36)</f>
        <v>0.17692572683520583</v>
      </c>
      <c r="F36" s="77">
        <f>(C36*$H$33*D36/E36/$I$33/$J$33)</f>
        <v>1.0000000000000002</v>
      </c>
      <c r="G36" s="77">
        <f>$D$33*($C$33+$G$33)/9.81/SIN($C$30)/(1-$C$33*$C$33)*(F36-1)</f>
        <v>1.3161282971636505E-16</v>
      </c>
      <c r="H36" s="75">
        <f>-(-$H$30+$K$33*((POWER(TAN(A36/2),2*$C$33-1)/(2*$C$33-1))+(POWER(TAN(A36/2),2*$C$33+1)/(2*$C$33+1))-(POWER(TAN($E$33/2),2*$C$33-1)/(2*$C$33-1))-(POWER(TAN($E$33/2),2*$C$33+1)/(2*$C$33+1))))</f>
        <v>3.7109521062179875</v>
      </c>
      <c r="I36" s="75">
        <f>-(-$I$30+0.5*$K$33*((POWER(TAN(A36/2),2*$C$33-2)/(2*$C$33-2))-(POWER(TAN(A36/2),2*$C$33+2)/(2*$C$33+2))-(POWER(TAN($E$33/2),2*$C$33-2)/(2*$C$33-2))+(POWER(TAN($E$33/2),2*$C$33+2)/(2*$C$33+2))))</f>
        <v>0.42600891691732817</v>
      </c>
      <c r="J36" s="77">
        <f>-$D$33*SIN(A36)*($C$33+$G$33)/($C$33+B36)*F36</f>
        <v>-0.32096284954178234</v>
      </c>
      <c r="K36" s="77">
        <f>-$D$33*COS(A36)*($C$33+$G$33)/($C$33+B36)*F36</f>
        <v>-1.7854916371754879</v>
      </c>
      <c r="L36" s="91">
        <f>SQRT(J36*J36+K36*K36)</f>
        <v>1.8141106739142419</v>
      </c>
      <c r="M36" s="93"/>
      <c r="N36" s="75">
        <f>-(-$I$30+0.5*$K$33*((POWER(TAN(A36/2),2*$C$33-2)/(2*$C$33-2))-(POWER(TAN(A36/2),2*$C$33+2)/(2*$C$33+2))-(POWER(TAN($E$33/2),2*$C$33-2)/(2*$C$33-2))+(POWER(TAN($E$33/2),2*$C$33+2)/(2*$C$33+2))))-$D$30</f>
        <v>0.85201783383464291</v>
      </c>
      <c r="O36" s="75">
        <f>-(-$I$30+0.5*$K$33*((POWER(TAN((A36+$M$9)/2),2*$C$33-2)/(2*$C$33-2))-(POWER(TAN((A36+$M$9)/2),2*$C$33+2)/(2*$C$33+2))-(POWER(TAN($E$33/2),2*$C$33-2)/(2*$C$33-2))+(POWER(TAN($E$33/2),2*$C$33+2)/(2*$C$33+2))))-$D$30</f>
        <v>0.85698739096586618</v>
      </c>
      <c r="P36" s="109">
        <f>IF(A36-N36/(O36-N36)*$M$9&lt;0,A36*0.5,A36-N36/(O36-N36)*$M$9)</f>
        <v>6.4145819661633741E-3</v>
      </c>
      <c r="Q36" t="s">
        <v>106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0">
        <f>N19</f>
        <v>1.3489209749195652E-14</v>
      </c>
      <c r="AC36" s="20">
        <f>N46</f>
        <v>9.6934147530425285E-6</v>
      </c>
      <c r="AD36" s="20"/>
      <c r="AU36" s="219" t="s">
        <v>107</v>
      </c>
      <c r="AV36" s="218"/>
      <c r="AW36" s="42">
        <v>5.1100000000000003</v>
      </c>
    </row>
    <row r="37" spans="1:49">
      <c r="A37" s="19">
        <f t="shared" ref="A37:A46" si="30">P36</f>
        <v>6.4145819661633741E-3</v>
      </c>
      <c r="B37" s="26">
        <f t="shared" ref="B37:B46" si="31">COS(A37)</f>
        <v>0.9999794266396439</v>
      </c>
      <c r="C37" s="26">
        <f t="shared" ref="C37:C46" si="32">($C$33+B37)</f>
        <v>1.1742384066942169</v>
      </c>
      <c r="D37" s="26">
        <f t="shared" ref="D37:D46" si="33">POWER(TAN(A37/2),$C$33)</f>
        <v>0.36763976031487228</v>
      </c>
      <c r="E37" s="26">
        <f t="shared" ref="E37:E46" si="34">SIN(A37)</f>
        <v>6.4145379762675977E-3</v>
      </c>
      <c r="F37" s="77">
        <f t="shared" ref="F37:F46" si="35">(C37*$H$33*D37/E37/$I$33/$J$33)</f>
        <v>15.66216023699516</v>
      </c>
      <c r="G37" s="77">
        <f t="shared" ref="G37:G46" si="36">$D$33*($C$33+$G$33)/9.81/SIN($C$30)/(1-$C$33*$C$33)*(F37-1)</f>
        <v>8.690724096616691</v>
      </c>
      <c r="H37" s="75">
        <f t="shared" ref="H37:H46" si="37">-(-$H$30+$K$33*((POWER(TAN(A37/2),2*$C$33-1)/(2*$C$33-1))+(POWER(TAN(A37/2),2*$C$33+1)/(2*$C$33+1))-(POWER(TAN($E$33/2),2*$C$33-1)/(2*$C$33-1))-(POWER(TAN($E$33/2),2*$C$33+1)/(2*$C$33+1))))</f>
        <v>1.8367483829387359</v>
      </c>
      <c r="I37" s="75">
        <f t="shared" ref="I37:I46" si="38">-(-$I$30+0.5*$K$33*((POWER(TAN(A37/2),2*$C$33-2)/(2*$C$33-2))-(POWER(TAN(A37/2),2*$C$33+2)/(2*$C$33+2))-(POWER(TAN($E$33/2),2*$C$33-2)/(2*$C$33-2))+(POWER(TAN($E$33/2),2*$C$33+2)/(2*$C$33+2))))</f>
        <v>-129.15253045689062</v>
      </c>
      <c r="J37" s="77">
        <f t="shared" ref="J37:J46" si="39">-$D$33*SIN(A37)*($C$33+$G$33)/($C$33+B37)*F37</f>
        <v>-0.17981018005132696</v>
      </c>
      <c r="K37" s="77">
        <f t="shared" ref="K37:K46" si="40">-$D$33*COS(A37)*($C$33+$G$33)/($C$33+B37)*F37</f>
        <v>-28.031088352262021</v>
      </c>
      <c r="L37" s="91">
        <f t="shared" ref="L37:L46" si="41">SQRT(J37*J37+K37*K37)</f>
        <v>28.031665057808638</v>
      </c>
      <c r="M37" s="93"/>
      <c r="N37" s="75">
        <f t="shared" ref="N37:N46" si="42">-(-$I$30+0.5*$K$33*((POWER(TAN(A37/2),2*$C$33-2)/(2*$C$33-2))-(POWER(TAN(A37/2),2*$C$33+2)/(2*$C$33+2))-(POWER(TAN($E$33/2),2*$C$33-2)/(2*$C$33-2))+(POWER(TAN($E$33/2),2*$C$33+2)/(2*$C$33+2))))-$D$30</f>
        <v>-128.72652153997331</v>
      </c>
      <c r="O37" s="75">
        <f t="shared" ref="O37:O46" si="43">-(-$I$30+0.5*$K$33*((POWER(TAN((A37+$M$9)/2),2*$C$33-2)/(2*$C$33-2))-(POWER(TAN((A37+$M$9)/2),2*$C$33+2)/(2*$C$33+2))-(POWER(TAN($E$33/2),2*$C$33-2)/(2*$C$33-2))+(POWER(TAN($E$33/2),2*$C$33+2)/(2*$C$33+2))))-$D$30</f>
        <v>-101.03938470749482</v>
      </c>
      <c r="P37" s="109">
        <f t="shared" ref="P37:P46" si="44">IF(A37-N37/(O37-N37)*$M$9&lt;0,A37*0.5,A37-N37/(O37-N37)*$M$9)</f>
        <v>1.1063907836109242E-2</v>
      </c>
      <c r="AU37" s="219" t="s">
        <v>108</v>
      </c>
      <c r="AV37" s="218"/>
      <c r="AW37" s="42">
        <v>1.56</v>
      </c>
    </row>
    <row r="38" spans="1:49">
      <c r="A38" s="19">
        <f t="shared" si="30"/>
        <v>1.1063907836109242E-2</v>
      </c>
      <c r="B38" s="26">
        <f t="shared" si="31"/>
        <v>0.99993879559603704</v>
      </c>
      <c r="C38" s="26">
        <f t="shared" si="32"/>
        <v>1.1741977756506101</v>
      </c>
      <c r="D38" s="26">
        <f t="shared" si="33"/>
        <v>0.40427519094847497</v>
      </c>
      <c r="E38" s="26">
        <f t="shared" si="34"/>
        <v>1.1063682115226688E-2</v>
      </c>
      <c r="F38" s="77">
        <f t="shared" si="35"/>
        <v>9.9852040309248071</v>
      </c>
      <c r="G38" s="77">
        <f t="shared" si="36"/>
        <v>5.325813381001411</v>
      </c>
      <c r="H38" s="75">
        <f t="shared" si="37"/>
        <v>2.4692108650816058</v>
      </c>
      <c r="I38" s="75">
        <f t="shared" si="38"/>
        <v>-51.924724260572567</v>
      </c>
      <c r="J38" s="77">
        <f t="shared" si="39"/>
        <v>-0.19772832735085755</v>
      </c>
      <c r="K38" s="77">
        <f t="shared" si="40"/>
        <v>-17.870743523471557</v>
      </c>
      <c r="L38" s="91">
        <f t="shared" si="41"/>
        <v>17.871837358624813</v>
      </c>
      <c r="M38" s="93"/>
      <c r="N38" s="75">
        <f t="shared" si="42"/>
        <v>-51.498715343655256</v>
      </c>
      <c r="O38" s="75">
        <f t="shared" si="43"/>
        <v>-44.456036772408055</v>
      </c>
      <c r="P38" s="109">
        <f t="shared" si="44"/>
        <v>1.8376284060960188E-2</v>
      </c>
    </row>
    <row r="39" spans="1:49">
      <c r="A39" s="19">
        <f t="shared" si="30"/>
        <v>1.8376284060960188E-2</v>
      </c>
      <c r="B39" s="26">
        <f t="shared" si="31"/>
        <v>0.99983116084337953</v>
      </c>
      <c r="C39" s="26">
        <f t="shared" si="32"/>
        <v>1.1740901408979525</v>
      </c>
      <c r="D39" s="26">
        <f t="shared" si="33"/>
        <v>0.44164799798964977</v>
      </c>
      <c r="E39" s="26">
        <f t="shared" si="34"/>
        <v>1.8375249837217795E-2</v>
      </c>
      <c r="F39" s="77">
        <f t="shared" si="35"/>
        <v>6.5672378061456689</v>
      </c>
      <c r="G39" s="77">
        <f t="shared" si="36"/>
        <v>3.2998771648522922</v>
      </c>
      <c r="H39" s="75">
        <f t="shared" si="37"/>
        <v>2.8867508102687909</v>
      </c>
      <c r="I39" s="75">
        <f t="shared" si="38"/>
        <v>-21.916444941058614</v>
      </c>
      <c r="J39" s="77">
        <f t="shared" si="39"/>
        <v>-0.21600712058405316</v>
      </c>
      <c r="K39" s="77">
        <f t="shared" si="40"/>
        <v>-11.753344963318874</v>
      </c>
      <c r="L39" s="91">
        <f t="shared" si="41"/>
        <v>11.755329723275146</v>
      </c>
      <c r="M39" s="93"/>
      <c r="N39" s="75">
        <f t="shared" si="42"/>
        <v>-21.490436024141299</v>
      </c>
      <c r="O39" s="75">
        <f t="shared" si="43"/>
        <v>-19.573294104112652</v>
      </c>
      <c r="P39" s="109">
        <f t="shared" si="44"/>
        <v>2.9585905946344741E-2</v>
      </c>
    </row>
    <row r="40" spans="1:49">
      <c r="A40" s="19">
        <f t="shared" si="30"/>
        <v>2.9585905946344741E-2</v>
      </c>
      <c r="B40" s="26">
        <f t="shared" si="31"/>
        <v>0.99956236900854012</v>
      </c>
      <c r="C40" s="26">
        <f t="shared" si="32"/>
        <v>1.1738213490631131</v>
      </c>
      <c r="D40" s="26">
        <f t="shared" si="33"/>
        <v>0.47986729275983547</v>
      </c>
      <c r="E40" s="26">
        <f t="shared" si="34"/>
        <v>2.9581589917295908E-2</v>
      </c>
      <c r="F40" s="77">
        <f t="shared" si="35"/>
        <v>4.4313895563106627</v>
      </c>
      <c r="G40" s="77">
        <f t="shared" si="36"/>
        <v>2.0338926474602115</v>
      </c>
      <c r="H40" s="75">
        <f t="shared" si="37"/>
        <v>3.1711083972514378</v>
      </c>
      <c r="I40" s="75">
        <f t="shared" si="38"/>
        <v>-9.4566925790836187</v>
      </c>
      <c r="J40" s="77">
        <f t="shared" si="39"/>
        <v>-0.2346999253780068</v>
      </c>
      <c r="K40" s="77">
        <f t="shared" si="40"/>
        <v>-7.9305140147251727</v>
      </c>
      <c r="L40" s="91">
        <f t="shared" si="41"/>
        <v>7.9339861729602736</v>
      </c>
      <c r="M40" s="93"/>
      <c r="N40" s="75">
        <f t="shared" si="42"/>
        <v>-9.0306836621663038</v>
      </c>
      <c r="O40" s="75">
        <f t="shared" si="43"/>
        <v>-8.4740372925565808</v>
      </c>
      <c r="P40" s="109">
        <f t="shared" si="44"/>
        <v>4.5809282501370001E-2</v>
      </c>
      <c r="W40" s="217" t="s">
        <v>172</v>
      </c>
      <c r="X40" s="217"/>
      <c r="Y40" t="s">
        <v>173</v>
      </c>
    </row>
    <row r="41" spans="1:49">
      <c r="A41" s="19">
        <f t="shared" si="30"/>
        <v>4.5809282501370001E-2</v>
      </c>
      <c r="B41" s="26">
        <f t="shared" si="31"/>
        <v>0.99895093829142911</v>
      </c>
      <c r="C41" s="26">
        <f t="shared" si="32"/>
        <v>1.1732099183460021</v>
      </c>
      <c r="D41" s="26">
        <f t="shared" si="33"/>
        <v>0.51786335057766619</v>
      </c>
      <c r="E41" s="26">
        <f t="shared" si="34"/>
        <v>4.5793262459377843E-2</v>
      </c>
      <c r="F41" s="77">
        <f t="shared" si="35"/>
        <v>3.08764673416893</v>
      </c>
      <c r="G41" s="77">
        <f t="shared" si="36"/>
        <v>1.2374139611492398</v>
      </c>
      <c r="H41" s="75">
        <f t="shared" si="37"/>
        <v>3.3649048231314485</v>
      </c>
      <c r="I41" s="75">
        <f t="shared" si="38"/>
        <v>-4.0980700825975118</v>
      </c>
      <c r="J41" s="77">
        <f t="shared" si="39"/>
        <v>-0.25328354645210749</v>
      </c>
      <c r="K41" s="77">
        <f t="shared" si="40"/>
        <v>-5.5252197112306618</v>
      </c>
      <c r="L41" s="91">
        <f t="shared" si="41"/>
        <v>5.5310220947194919</v>
      </c>
      <c r="M41" s="93"/>
      <c r="N41" s="75">
        <f t="shared" si="42"/>
        <v>-3.6720611656801969</v>
      </c>
      <c r="O41" s="75">
        <f t="shared" si="43"/>
        <v>-3.4947045919266353</v>
      </c>
      <c r="P41" s="109">
        <f t="shared" si="44"/>
        <v>6.651368092295068E-2</v>
      </c>
      <c r="Y41" t="s">
        <v>176</v>
      </c>
    </row>
    <row r="42" spans="1:49">
      <c r="A42" s="19">
        <f t="shared" si="30"/>
        <v>6.651368092295068E-2</v>
      </c>
      <c r="B42" s="26">
        <f t="shared" si="31"/>
        <v>0.99778878052116737</v>
      </c>
      <c r="C42" s="26">
        <f t="shared" si="32"/>
        <v>1.1720477605757404</v>
      </c>
      <c r="D42" s="26">
        <f t="shared" si="33"/>
        <v>0.55265282790713621</v>
      </c>
      <c r="E42" s="26">
        <f t="shared" si="34"/>
        <v>6.6464648243119442E-2</v>
      </c>
      <c r="F42" s="77">
        <f t="shared" si="35"/>
        <v>2.2680116630380862</v>
      </c>
      <c r="G42" s="77">
        <f t="shared" si="36"/>
        <v>0.751590443470321</v>
      </c>
      <c r="H42" s="75">
        <f t="shared" si="37"/>
        <v>3.4918329324658126</v>
      </c>
      <c r="I42" s="75">
        <f t="shared" si="38"/>
        <v>-1.7702243581750583</v>
      </c>
      <c r="J42" s="77">
        <f t="shared" si="39"/>
        <v>-0.27029885017536609</v>
      </c>
      <c r="K42" s="77">
        <f t="shared" si="40"/>
        <v>-4.0578136982869291</v>
      </c>
      <c r="L42" s="91">
        <f t="shared" si="41"/>
        <v>4.0668062995932281</v>
      </c>
      <c r="M42" s="93"/>
      <c r="N42" s="75">
        <f t="shared" si="42"/>
        <v>-1.3442154412577436</v>
      </c>
      <c r="O42" s="75">
        <f t="shared" si="43"/>
        <v>-1.2776447553578667</v>
      </c>
      <c r="P42" s="109">
        <f t="shared" si="44"/>
        <v>8.6705983632276218E-2</v>
      </c>
      <c r="Y42" t="s">
        <v>175</v>
      </c>
    </row>
    <row r="43" spans="1:49">
      <c r="A43" s="19">
        <f t="shared" si="30"/>
        <v>8.6705983632276218E-2</v>
      </c>
      <c r="B43" s="26">
        <f t="shared" si="31"/>
        <v>0.99624339057924971</v>
      </c>
      <c r="C43" s="26">
        <f t="shared" si="32"/>
        <v>1.1705023706338227</v>
      </c>
      <c r="D43" s="26">
        <f t="shared" si="33"/>
        <v>0.57880965602396417</v>
      </c>
      <c r="E43" s="26">
        <f t="shared" si="34"/>
        <v>8.6597382911727916E-2</v>
      </c>
      <c r="F43" s="77">
        <f t="shared" si="35"/>
        <v>1.8207133900515582</v>
      </c>
      <c r="G43" s="77">
        <f t="shared" si="36"/>
        <v>0.48646267126042486</v>
      </c>
      <c r="H43" s="75">
        <f t="shared" si="37"/>
        <v>3.5651178426610137</v>
      </c>
      <c r="I43" s="75">
        <f t="shared" si="38"/>
        <v>-0.80056785885401061</v>
      </c>
      <c r="J43" s="77">
        <f t="shared" si="39"/>
        <v>-0.28309198215116288</v>
      </c>
      <c r="K43" s="77">
        <f t="shared" si="40"/>
        <v>-3.2567787462071185</v>
      </c>
      <c r="L43" s="91">
        <f t="shared" si="41"/>
        <v>3.2690593252654021</v>
      </c>
      <c r="M43" s="93"/>
      <c r="N43" s="75">
        <f t="shared" si="42"/>
        <v>-0.37455894193669587</v>
      </c>
      <c r="O43" s="75">
        <f t="shared" si="43"/>
        <v>-0.34144420586872076</v>
      </c>
      <c r="P43" s="109">
        <f t="shared" si="44"/>
        <v>9.8016928136494319E-2</v>
      </c>
    </row>
    <row r="44" spans="1:49">
      <c r="A44" s="19">
        <f t="shared" si="30"/>
        <v>9.8016928136494319E-2</v>
      </c>
      <c r="B44" s="26">
        <f t="shared" si="31"/>
        <v>0.9952001855247341</v>
      </c>
      <c r="C44" s="26">
        <f t="shared" si="32"/>
        <v>1.1694591655793072</v>
      </c>
      <c r="D44" s="26">
        <f t="shared" si="33"/>
        <v>0.5913282130083376</v>
      </c>
      <c r="E44" s="26">
        <f t="shared" si="34"/>
        <v>9.7860056874777723E-2</v>
      </c>
      <c r="F44" s="77">
        <f t="shared" si="35"/>
        <v>1.6445477448692067</v>
      </c>
      <c r="G44" s="77">
        <f t="shared" si="36"/>
        <v>0.38204374575180211</v>
      </c>
      <c r="H44" s="75">
        <f t="shared" si="37"/>
        <v>3.5949911553336125</v>
      </c>
      <c r="I44" s="75">
        <f t="shared" si="38"/>
        <v>-0.47697382277840283</v>
      </c>
      <c r="J44" s="77">
        <f t="shared" si="39"/>
        <v>-0.28921472573965584</v>
      </c>
      <c r="K44" s="77">
        <f t="shared" si="40"/>
        <v>-2.9412056144714391</v>
      </c>
      <c r="L44" s="91">
        <f t="shared" si="41"/>
        <v>2.9553909426982719</v>
      </c>
      <c r="M44" s="93"/>
      <c r="N44" s="75">
        <f t="shared" si="42"/>
        <v>-5.0964905861088095E-2</v>
      </c>
      <c r="O44" s="75">
        <f t="shared" si="43"/>
        <v>-2.6998265759133055E-2</v>
      </c>
      <c r="P44" s="109">
        <f t="shared" si="44"/>
        <v>0.10014342169772282</v>
      </c>
    </row>
    <row r="45" spans="1:49">
      <c r="A45" s="19">
        <f t="shared" si="30"/>
        <v>0.10014342169772282</v>
      </c>
      <c r="B45" s="26">
        <f t="shared" si="31"/>
        <v>0.9949898367664598</v>
      </c>
      <c r="C45" s="26">
        <f t="shared" si="32"/>
        <v>1.1692488168210329</v>
      </c>
      <c r="D45" s="26">
        <f t="shared" si="33"/>
        <v>0.59354764718764952</v>
      </c>
      <c r="E45" s="26">
        <f t="shared" si="34"/>
        <v>9.9976120806188493E-2</v>
      </c>
      <c r="F45" s="77">
        <f t="shared" si="35"/>
        <v>1.6154909649204181</v>
      </c>
      <c r="G45" s="77">
        <f t="shared" si="36"/>
        <v>0.3648208772529391</v>
      </c>
      <c r="H45" s="75">
        <f t="shared" si="37"/>
        <v>3.5999815769969188</v>
      </c>
      <c r="I45" s="75">
        <f t="shared" si="38"/>
        <v>-0.42676611479092219</v>
      </c>
      <c r="J45" s="77">
        <f t="shared" si="39"/>
        <v>-0.29030023634670321</v>
      </c>
      <c r="K45" s="77">
        <f t="shared" si="40"/>
        <v>-2.8891477529501368</v>
      </c>
      <c r="L45" s="91">
        <f t="shared" si="41"/>
        <v>2.9036957426011041</v>
      </c>
      <c r="M45" s="93"/>
      <c r="N45" s="75">
        <f t="shared" si="42"/>
        <v>-7.5719787360745139E-4</v>
      </c>
      <c r="O45" s="75">
        <f t="shared" si="43"/>
        <v>2.189030107942852E-2</v>
      </c>
      <c r="P45" s="109">
        <f t="shared" si="44"/>
        <v>0.10017685575925772</v>
      </c>
    </row>
    <row r="46" spans="1:49">
      <c r="A46" s="19">
        <f t="shared" si="30"/>
        <v>0.10017685575925772</v>
      </c>
      <c r="B46" s="26">
        <f t="shared" si="31"/>
        <v>0.99498649360256741</v>
      </c>
      <c r="C46" s="26">
        <f t="shared" si="32"/>
        <v>1.1692454736571405</v>
      </c>
      <c r="D46" s="26">
        <f t="shared" si="33"/>
        <v>0.59358223188816006</v>
      </c>
      <c r="E46" s="26">
        <f t="shared" si="34"/>
        <v>0.10000938730173287</v>
      </c>
      <c r="F46" s="77">
        <f t="shared" si="35"/>
        <v>1.6150430800767825</v>
      </c>
      <c r="G46" s="77">
        <f t="shared" si="36"/>
        <v>0.36455540180183393</v>
      </c>
      <c r="H46" s="75">
        <f t="shared" si="37"/>
        <v>3.6000586468282729</v>
      </c>
      <c r="I46" s="75">
        <f t="shared" si="38"/>
        <v>-0.4259992235025617</v>
      </c>
      <c r="J46" s="77">
        <f t="shared" si="39"/>
        <v>-0.29031715149543608</v>
      </c>
      <c r="K46" s="77">
        <f t="shared" si="40"/>
        <v>-2.8883453083021151</v>
      </c>
      <c r="L46" s="91">
        <f t="shared" si="41"/>
        <v>2.9028990110651911</v>
      </c>
      <c r="M46" s="93"/>
      <c r="N46" s="75">
        <f t="shared" si="42"/>
        <v>9.6934147530425285E-6</v>
      </c>
      <c r="O46" s="75">
        <f t="shared" si="43"/>
        <v>2.2637259472232885E-2</v>
      </c>
      <c r="P46" s="109">
        <f t="shared" si="44"/>
        <v>0.10017642736962322</v>
      </c>
    </row>
    <row r="47" spans="1:49">
      <c r="A47" s="88" t="s">
        <v>60</v>
      </c>
      <c r="B47" s="8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</row>
    <row r="48" spans="1:49">
      <c r="A48" s="26" t="s">
        <v>11</v>
      </c>
      <c r="B48" s="26" t="s">
        <v>13</v>
      </c>
      <c r="C48" s="26" t="s">
        <v>22</v>
      </c>
      <c r="D48" s="26" t="s">
        <v>18</v>
      </c>
      <c r="E48" s="26" t="s">
        <v>19</v>
      </c>
      <c r="F48" s="26" t="s">
        <v>20</v>
      </c>
      <c r="G48" s="26" t="s">
        <v>2</v>
      </c>
      <c r="H48" s="26" t="s">
        <v>1</v>
      </c>
      <c r="I48" s="26" t="s">
        <v>0</v>
      </c>
      <c r="J48" s="76" t="s">
        <v>3</v>
      </c>
      <c r="K48" s="76" t="s">
        <v>4</v>
      </c>
      <c r="L48" s="44" t="s">
        <v>7</v>
      </c>
      <c r="M48" s="28"/>
      <c r="N48" s="28"/>
      <c r="O48" s="28"/>
      <c r="P48" s="31"/>
    </row>
    <row r="49" spans="1:60">
      <c r="A49" s="19">
        <f>$E33</f>
        <v>0.17786201909924185</v>
      </c>
      <c r="B49" s="26">
        <f t="shared" ref="B49:B54" si="45">COS(A49)</f>
        <v>0.98422420574980485</v>
      </c>
      <c r="C49" s="26">
        <f t="shared" ref="C49:C54" si="46">($C$33+B49)</f>
        <v>1.1584831858043778</v>
      </c>
      <c r="D49" s="26">
        <f t="shared" ref="D49:D54" si="47">POWER(TAN(A49/2),$C$33)</f>
        <v>0.6562404033066227</v>
      </c>
      <c r="E49" s="26">
        <f t="shared" ref="E49:E54" si="48">SIN(A49)</f>
        <v>0.17692572683520583</v>
      </c>
      <c r="F49" s="77">
        <f t="shared" ref="F49:F54" si="49">(C49*$H$33*D49/E49/$I$33/$J$33)</f>
        <v>1.0000000000000002</v>
      </c>
      <c r="G49" s="77">
        <f t="shared" ref="G49:G54" si="50">$D$33*($C$33+$G$33)/9.81/SIN($C$30)/(1-$C$33*$C$33)*(F49-1)</f>
        <v>1.3161282971636505E-16</v>
      </c>
      <c r="H49" s="97">
        <f t="shared" ref="H49:H54" si="51">-(-$H$30+$K$33*((POWER(TAN(A49/2),2*$C$33-1)/(2*$C$33-1))+(POWER(TAN(A49/2),2*$C$33+1)/(2*$C$33+1))-(POWER(TAN($E$33/2),2*$C$33-1)/(2*$C$33-1))-(POWER(TAN($E$33/2),2*$C$33+1)/(2*$C$33+1))))</f>
        <v>3.7109521062179875</v>
      </c>
      <c r="I49" s="97">
        <f t="shared" ref="I49:I54" si="52">-(-$I$30+0.5*$K$33*((POWER(TAN(A49/2),2*$C$33-2)/(2*$C$33-2))-(POWER(TAN(A49/2),2*$C$33+2)/(2*$C$33+2))-(POWER(TAN($E$33/2),2*$C$33-2)/(2*$C$33-2))+(POWER(TAN($E$33/2),2*$C$33+2)/(2*$C$33+2))))</f>
        <v>0.42600891691732817</v>
      </c>
      <c r="J49" s="77">
        <f t="shared" ref="J49:J54" si="53">-$D$33*SIN(A49)*($C$33+$G$33)/($C$33+B49)*F49</f>
        <v>-0.32096284954178234</v>
      </c>
      <c r="K49" s="77">
        <f t="shared" ref="K49:K54" si="54">-$D$33*COS(A49)*($C$33+$G$33)/($C$33+B49)*F49</f>
        <v>-1.7854916371754879</v>
      </c>
      <c r="L49" s="91">
        <f t="shared" ref="L49:L54" si="55">SQRT(J49*J49+K49*K49)</f>
        <v>1.8141106739142419</v>
      </c>
      <c r="M49" s="28"/>
      <c r="N49" s="28"/>
      <c r="O49" s="28"/>
      <c r="P49" s="31"/>
      <c r="Q49" s="28"/>
    </row>
    <row r="50" spans="1:60">
      <c r="A50" s="20">
        <f>A49-$F$33</f>
        <v>0.16234498643124501</v>
      </c>
      <c r="B50" s="26">
        <f t="shared" si="45"/>
        <v>0.98685097032416735</v>
      </c>
      <c r="C50" s="26">
        <f t="shared" si="46"/>
        <v>1.1611099503787403</v>
      </c>
      <c r="D50" s="26">
        <f t="shared" si="47"/>
        <v>0.64583440628624067</v>
      </c>
      <c r="E50" s="26">
        <f t="shared" si="48"/>
        <v>0.16163280103447242</v>
      </c>
      <c r="F50" s="77">
        <f t="shared" si="49"/>
        <v>1.0797005281526153</v>
      </c>
      <c r="G50" s="77">
        <f t="shared" si="50"/>
        <v>4.7241012874850587E-2</v>
      </c>
      <c r="H50" s="97">
        <f t="shared" si="51"/>
        <v>3.6959115239565388</v>
      </c>
      <c r="I50" s="97">
        <f t="shared" si="52"/>
        <v>0.33828062637021156</v>
      </c>
      <c r="J50" s="77">
        <f t="shared" si="53"/>
        <v>-0.31587334508707932</v>
      </c>
      <c r="K50" s="77">
        <f t="shared" si="54"/>
        <v>-1.9285684285842597</v>
      </c>
      <c r="L50" s="91">
        <f t="shared" si="55"/>
        <v>1.9542651186234845</v>
      </c>
      <c r="M50" s="28"/>
      <c r="N50" s="28"/>
      <c r="O50" s="28"/>
      <c r="P50" s="31"/>
      <c r="R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</row>
    <row r="51" spans="1:60">
      <c r="A51" s="20">
        <f>A50-$F$33</f>
        <v>0.1468279537632482</v>
      </c>
      <c r="B51" s="26">
        <f t="shared" si="45"/>
        <v>0.98924012736437827</v>
      </c>
      <c r="C51" s="26">
        <f t="shared" si="46"/>
        <v>1.1634991074189514</v>
      </c>
      <c r="D51" s="26">
        <f t="shared" si="47"/>
        <v>0.63458221259465897</v>
      </c>
      <c r="E51" s="26">
        <f t="shared" si="48"/>
        <v>0.14630095834309728</v>
      </c>
      <c r="F51" s="77">
        <f t="shared" si="49"/>
        <v>1.174478487129063</v>
      </c>
      <c r="G51" s="77">
        <f t="shared" si="50"/>
        <v>0.10341889380036745</v>
      </c>
      <c r="H51" s="97">
        <f t="shared" si="51"/>
        <v>3.6783235801292298</v>
      </c>
      <c r="I51" s="97">
        <f t="shared" si="52"/>
        <v>0.22516071059162635</v>
      </c>
      <c r="J51" s="77">
        <f t="shared" si="53"/>
        <v>-0.31036997142607259</v>
      </c>
      <c r="K51" s="77">
        <f t="shared" si="54"/>
        <v>-2.0986221385069461</v>
      </c>
      <c r="L51" s="91">
        <f t="shared" si="55"/>
        <v>2.1214486558468693</v>
      </c>
      <c r="M51" s="45"/>
      <c r="N51" s="28"/>
      <c r="O51" s="28"/>
      <c r="P51" s="31"/>
      <c r="S51" s="28"/>
      <c r="T51" s="28"/>
      <c r="U51" s="28"/>
      <c r="V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</row>
    <row r="52" spans="1:60">
      <c r="A52" s="20">
        <f>A51-$F$33</f>
        <v>0.13131092109525139</v>
      </c>
      <c r="B52" s="26">
        <f t="shared" si="45"/>
        <v>0.9913911016248026</v>
      </c>
      <c r="C52" s="26">
        <f t="shared" si="46"/>
        <v>1.1656500816793756</v>
      </c>
      <c r="D52" s="26">
        <f t="shared" si="47"/>
        <v>0.62231128587230333</v>
      </c>
      <c r="E52" s="26">
        <f t="shared" si="48"/>
        <v>0.13093389026207239</v>
      </c>
      <c r="F52" s="77">
        <f t="shared" si="49"/>
        <v>1.2893240748334427</v>
      </c>
      <c r="G52" s="77">
        <f t="shared" si="50"/>
        <v>0.1714914902199729</v>
      </c>
      <c r="H52" s="97">
        <f t="shared" si="51"/>
        <v>3.6574039412155779</v>
      </c>
      <c r="I52" s="97">
        <f t="shared" si="52"/>
        <v>7.5291366668722548E-2</v>
      </c>
      <c r="J52" s="77">
        <f t="shared" si="53"/>
        <v>-0.30436834216417319</v>
      </c>
      <c r="K52" s="77">
        <f t="shared" si="54"/>
        <v>-2.3045833697745239</v>
      </c>
      <c r="L52" s="91">
        <f t="shared" si="55"/>
        <v>2.3245955768591378</v>
      </c>
      <c r="M52" s="45"/>
      <c r="N52" s="28"/>
      <c r="O52" s="28"/>
      <c r="P52" s="31"/>
      <c r="AF52" s="7"/>
      <c r="AG52" s="7"/>
      <c r="AR52" s="28"/>
      <c r="AS52" s="7"/>
      <c r="AT52" s="7"/>
      <c r="AU52" s="7"/>
      <c r="AV52" s="7"/>
      <c r="AW52" s="7"/>
      <c r="AX52" s="7"/>
      <c r="AY52" s="7"/>
      <c r="AZ52" s="7"/>
    </row>
    <row r="53" spans="1:60">
      <c r="A53" s="20">
        <f>A52-$F$33</f>
        <v>0.11579388842725456</v>
      </c>
      <c r="B53" s="26">
        <f t="shared" si="45"/>
        <v>0.99330337520790013</v>
      </c>
      <c r="C53" s="26">
        <f t="shared" si="46"/>
        <v>1.1675623552624732</v>
      </c>
      <c r="D53" s="26">
        <f t="shared" si="47"/>
        <v>0.60878824953001953</v>
      </c>
      <c r="E53" s="26">
        <f t="shared" si="48"/>
        <v>0.11553529677372903</v>
      </c>
      <c r="F53" s="77">
        <f t="shared" si="49"/>
        <v>1.4317590904387436</v>
      </c>
      <c r="G53" s="77">
        <f t="shared" si="50"/>
        <v>0.25591720937148099</v>
      </c>
      <c r="H53" s="97">
        <f t="shared" si="51"/>
        <v>3.6319924430946959</v>
      </c>
      <c r="I53" s="97">
        <f t="shared" si="52"/>
        <v>-0.13005367825319369</v>
      </c>
      <c r="J53" s="77">
        <f t="shared" si="53"/>
        <v>-0.29775431435209943</v>
      </c>
      <c r="K53" s="77">
        <f t="shared" si="54"/>
        <v>-2.5599134955951044</v>
      </c>
      <c r="L53" s="91">
        <f t="shared" si="55"/>
        <v>2.5771718484891988</v>
      </c>
      <c r="M53" s="45"/>
      <c r="N53" s="28"/>
      <c r="O53" s="28"/>
      <c r="P53" s="89"/>
      <c r="AF53" s="7"/>
      <c r="AG53" s="7"/>
      <c r="AH53" s="7"/>
      <c r="AI53" s="7"/>
      <c r="AJ53" s="7"/>
      <c r="AK53" s="7"/>
      <c r="AL53" s="7"/>
      <c r="AM53" s="7"/>
      <c r="AN53" s="7"/>
      <c r="AR53" s="28"/>
      <c r="AS53" s="14"/>
      <c r="AT53" s="144"/>
      <c r="AU53" s="144"/>
      <c r="AV53" s="144"/>
      <c r="AW53" s="144"/>
      <c r="AX53" s="144"/>
      <c r="AY53" s="144"/>
      <c r="AZ53" s="7"/>
    </row>
    <row r="54" spans="1:60">
      <c r="A54" s="20">
        <f>A53-$F$33</f>
        <v>0.10027685575925774</v>
      </c>
      <c r="B54" s="26">
        <f t="shared" si="45"/>
        <v>0.99497648768892144</v>
      </c>
      <c r="C54" s="26">
        <f t="shared" si="46"/>
        <v>1.1692354677434944</v>
      </c>
      <c r="D54" s="26">
        <f t="shared" si="47"/>
        <v>0.59368561680042775</v>
      </c>
      <c r="E54" s="26">
        <f t="shared" si="48"/>
        <v>0.10010888545088037</v>
      </c>
      <c r="F54" s="77">
        <f t="shared" si="49"/>
        <v>1.6137050947576037</v>
      </c>
      <c r="G54" s="77">
        <f t="shared" si="50"/>
        <v>0.36376233576883782</v>
      </c>
      <c r="H54" s="97">
        <f t="shared" si="51"/>
        <v>3.6002889075472408</v>
      </c>
      <c r="I54" s="97">
        <f t="shared" si="52"/>
        <v>-0.42370952550773633</v>
      </c>
      <c r="J54" s="77">
        <f t="shared" si="53"/>
        <v>-0.29036771637360242</v>
      </c>
      <c r="K54" s="77">
        <f t="shared" si="54"/>
        <v>-2.8859481281251167</v>
      </c>
      <c r="L54" s="91">
        <f t="shared" si="55"/>
        <v>2.9005189206314248</v>
      </c>
      <c r="M54" s="45"/>
      <c r="N54" s="28"/>
      <c r="O54" s="28"/>
      <c r="P54" s="28"/>
      <c r="AF54" s="7"/>
      <c r="AG54" s="7"/>
      <c r="AH54" s="7"/>
      <c r="AI54" s="7"/>
      <c r="AJ54" s="7"/>
      <c r="AK54" s="7"/>
      <c r="AL54" s="7"/>
      <c r="AM54" s="7"/>
      <c r="AN54" s="7"/>
      <c r="AR54" s="28"/>
      <c r="AS54" s="7"/>
      <c r="AT54" s="144"/>
      <c r="AU54" s="144"/>
      <c r="AV54" s="144"/>
      <c r="AW54" s="144"/>
      <c r="AX54" s="144"/>
      <c r="AY54" s="144"/>
      <c r="AZ54" s="7"/>
    </row>
    <row r="55" spans="1:60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AH55" s="7"/>
      <c r="AI55" s="7"/>
      <c r="AJ55" s="7"/>
      <c r="AK55" s="7"/>
      <c r="AL55" s="7"/>
      <c r="AM55" s="7"/>
      <c r="AN55" s="7"/>
      <c r="AR55" s="28"/>
      <c r="AS55" s="7"/>
      <c r="AT55" s="144"/>
      <c r="AU55" s="144"/>
      <c r="AV55" s="144"/>
      <c r="AW55" s="144"/>
      <c r="AX55" s="144"/>
      <c r="AY55" s="144"/>
      <c r="AZ55" s="7"/>
      <c r="BA55" s="7"/>
      <c r="BB55" s="7"/>
      <c r="BC55" s="7"/>
      <c r="BD55" s="7"/>
      <c r="BE55" s="7"/>
      <c r="BF55" s="7"/>
      <c r="BG55" s="7"/>
      <c r="BH55" s="7"/>
    </row>
    <row r="56" spans="1:60">
      <c r="A56" s="88" t="s">
        <v>73</v>
      </c>
      <c r="B56" s="88"/>
      <c r="C56" s="23" t="str">
        <f>CONCATENATE("m",Stufengrün!J49)</f>
        <v>m1</v>
      </c>
      <c r="D56" s="23" t="s">
        <v>30</v>
      </c>
      <c r="E56" s="28"/>
      <c r="F56" s="28"/>
      <c r="G56" s="28"/>
      <c r="H56" s="36" t="s">
        <v>57</v>
      </c>
      <c r="I56" s="36" t="s">
        <v>51</v>
      </c>
      <c r="J56" s="36" t="s">
        <v>58</v>
      </c>
      <c r="K56" s="36" t="s">
        <v>59</v>
      </c>
      <c r="L56" s="28"/>
      <c r="M56" s="28"/>
      <c r="N56" s="28"/>
      <c r="O56" s="28"/>
      <c r="P56" s="28"/>
      <c r="AI56" s="9"/>
      <c r="AJ56" s="10"/>
      <c r="AK56" s="10"/>
      <c r="AL56" s="10"/>
      <c r="AM56" s="10"/>
      <c r="AN56" s="10"/>
      <c r="AO56" s="10"/>
      <c r="AP56" s="7"/>
      <c r="AQ56" s="7"/>
      <c r="BA56" s="7"/>
      <c r="BB56" s="7"/>
      <c r="BC56" s="7"/>
      <c r="BD56" s="7"/>
      <c r="BE56" s="7"/>
      <c r="BF56" s="7"/>
      <c r="BG56" s="7"/>
      <c r="BH56" s="7"/>
    </row>
    <row r="57" spans="1:60">
      <c r="A57" s="88" t="s">
        <v>69</v>
      </c>
      <c r="B57" s="88"/>
      <c r="C57" s="90">
        <f>Stufengrün!K49</f>
        <v>1.0323563876231049E-2</v>
      </c>
      <c r="D57" s="26"/>
      <c r="E57" s="28"/>
      <c r="F57" s="28"/>
      <c r="G57" s="28"/>
      <c r="H57" s="78">
        <f>H46</f>
        <v>3.6000586468282729</v>
      </c>
      <c r="I57" s="78">
        <f>I46</f>
        <v>-0.4259992235025617</v>
      </c>
      <c r="J57" s="78">
        <f>J46</f>
        <v>-0.29031715149543608</v>
      </c>
      <c r="K57" s="78">
        <f>K46</f>
        <v>-2.8883453083021151</v>
      </c>
      <c r="L57" s="28"/>
      <c r="M57" s="28"/>
      <c r="N57" s="28"/>
      <c r="O57" s="28"/>
      <c r="P57" s="28"/>
      <c r="AI57" s="9"/>
      <c r="AJ57" s="10"/>
      <c r="AK57" s="10"/>
      <c r="AL57" s="10"/>
      <c r="AM57" s="10"/>
      <c r="AN57" s="10"/>
      <c r="AO57" s="10"/>
      <c r="AP57" s="7"/>
      <c r="AQ57" s="7"/>
      <c r="BA57" s="7"/>
      <c r="BB57" s="15"/>
      <c r="BC57" s="15"/>
      <c r="BD57" s="15"/>
      <c r="BE57" s="15"/>
      <c r="BF57" s="15"/>
      <c r="BG57" s="15"/>
      <c r="BH57" s="7"/>
    </row>
    <row r="58" spans="1:60">
      <c r="A58" s="95"/>
      <c r="B58" s="95"/>
      <c r="C58" s="28"/>
      <c r="D58" s="28"/>
      <c r="E58" s="28"/>
      <c r="F58" s="28"/>
      <c r="G58" s="28"/>
      <c r="H58" s="37" t="s">
        <v>8</v>
      </c>
      <c r="I58" s="37" t="s">
        <v>8</v>
      </c>
      <c r="J58" s="37" t="s">
        <v>9</v>
      </c>
      <c r="K58" s="37" t="s">
        <v>9</v>
      </c>
      <c r="L58" s="28"/>
      <c r="M58" s="28"/>
      <c r="N58" s="28"/>
      <c r="O58" s="28"/>
      <c r="P58" s="28"/>
      <c r="AI58" s="9"/>
      <c r="AJ58" s="10"/>
      <c r="AK58" s="10"/>
      <c r="AL58" s="10"/>
      <c r="AM58" s="10"/>
      <c r="AN58" s="10"/>
      <c r="AO58" s="10"/>
      <c r="AP58" s="7"/>
      <c r="AQ58" s="7"/>
      <c r="BA58" s="7"/>
      <c r="BB58" s="16"/>
      <c r="BC58" s="16"/>
      <c r="BD58" s="16"/>
      <c r="BE58" s="16"/>
      <c r="BF58" s="16"/>
      <c r="BG58" s="16"/>
      <c r="BH58" s="7"/>
    </row>
    <row r="59" spans="1:60">
      <c r="A59" s="88" t="s">
        <v>68</v>
      </c>
      <c r="B59" s="88"/>
      <c r="C59" s="26" t="s">
        <v>15</v>
      </c>
      <c r="D59" s="26" t="s">
        <v>55</v>
      </c>
      <c r="E59" s="46" t="s">
        <v>12</v>
      </c>
      <c r="F59" s="26" t="s">
        <v>10</v>
      </c>
      <c r="G59" s="26" t="s">
        <v>14</v>
      </c>
      <c r="H59" s="26" t="s">
        <v>21</v>
      </c>
      <c r="I59" s="26" t="s">
        <v>16</v>
      </c>
      <c r="J59" s="26" t="s">
        <v>17</v>
      </c>
      <c r="K59" s="26" t="s">
        <v>23</v>
      </c>
      <c r="L59" s="28"/>
      <c r="M59" s="28"/>
      <c r="N59" s="28"/>
      <c r="O59" s="28"/>
      <c r="P59" s="28"/>
      <c r="AI59" s="9"/>
      <c r="AJ59" s="11"/>
      <c r="AK59" s="12"/>
      <c r="AL59" s="12"/>
      <c r="AM59" s="12"/>
      <c r="AN59" s="11"/>
      <c r="AO59" s="10"/>
      <c r="AP59" s="7"/>
      <c r="AQ59" s="7"/>
    </row>
    <row r="60" spans="1:60">
      <c r="A60" s="28"/>
      <c r="B60" s="28"/>
      <c r="C60" s="23">
        <f>Mü/TAN($C57)</f>
        <v>6.7803632591293521</v>
      </c>
      <c r="D60" s="42">
        <f>SQRT($J57*$J57+$K57*$K57)</f>
        <v>2.9028990110651911</v>
      </c>
      <c r="E60" s="20">
        <f>ATAN($J57/$K57)</f>
        <v>0.10017685575925774</v>
      </c>
      <c r="F60" s="23">
        <f>($E60-0.0001)/50</f>
        <v>2.0015371151851547E-3</v>
      </c>
      <c r="G60" s="23">
        <f>COS($E60)</f>
        <v>0.99498649360256741</v>
      </c>
      <c r="H60" s="23">
        <f>SIN($E60)</f>
        <v>0.10000938730173288</v>
      </c>
      <c r="I60" s="23">
        <f>$C60+$G60</f>
        <v>7.7753497527319198</v>
      </c>
      <c r="J60" s="23">
        <f>POWER(TAN($E60/2),$C60)</f>
        <v>1.5353637054851563E-9</v>
      </c>
      <c r="K60" s="23">
        <f>-$D60*$D60*SIN($E60)*SIN($E60)/(2*9.81*SIN($C57)*POWER(TAN($E60/2),2*$C60))</f>
        <v>-1.7652324801505869E+17</v>
      </c>
      <c r="L60" s="28"/>
      <c r="M60" s="28"/>
      <c r="N60" s="28"/>
      <c r="O60" s="28"/>
      <c r="P60" s="28"/>
      <c r="AI60" s="9"/>
      <c r="AJ60" s="11"/>
      <c r="AK60" s="12"/>
      <c r="AL60" s="12"/>
      <c r="AM60" s="12"/>
      <c r="AN60" s="11"/>
      <c r="AO60" s="10"/>
      <c r="AP60" s="7"/>
      <c r="AQ60" s="7"/>
    </row>
    <row r="61" spans="1:60">
      <c r="A61" s="88" t="s">
        <v>70</v>
      </c>
      <c r="B61" s="88"/>
      <c r="C61" s="28"/>
      <c r="D61" s="102" t="s">
        <v>75</v>
      </c>
      <c r="E61" s="102"/>
      <c r="F61" s="102"/>
      <c r="G61" s="102"/>
      <c r="H61" s="28"/>
      <c r="I61" s="28"/>
      <c r="J61" s="28"/>
      <c r="K61" s="28"/>
      <c r="L61" s="28"/>
      <c r="M61" s="45"/>
      <c r="N61" s="28"/>
      <c r="O61" s="28"/>
      <c r="P61" s="28"/>
      <c r="AI61" s="9"/>
      <c r="AJ61" s="11"/>
      <c r="AK61" s="12"/>
      <c r="AL61" s="12"/>
      <c r="AM61" s="12"/>
      <c r="AN61" s="11"/>
      <c r="AO61" s="10"/>
      <c r="AP61" s="7"/>
      <c r="AQ61" s="13"/>
    </row>
    <row r="62" spans="1:60">
      <c r="A62" s="26" t="s">
        <v>11</v>
      </c>
      <c r="B62" s="26" t="s">
        <v>13</v>
      </c>
      <c r="C62" s="26" t="s">
        <v>22</v>
      </c>
      <c r="D62" s="26" t="s">
        <v>18</v>
      </c>
      <c r="E62" s="26" t="s">
        <v>19</v>
      </c>
      <c r="F62" s="26" t="s">
        <v>20</v>
      </c>
      <c r="G62" s="26" t="s">
        <v>2</v>
      </c>
      <c r="H62" s="26" t="s">
        <v>65</v>
      </c>
      <c r="I62" s="26" t="s">
        <v>66</v>
      </c>
      <c r="J62" s="76" t="s">
        <v>3</v>
      </c>
      <c r="K62" s="76" t="s">
        <v>4</v>
      </c>
      <c r="L62" s="44" t="s">
        <v>7</v>
      </c>
      <c r="M62" s="93"/>
      <c r="N62" s="28"/>
      <c r="O62" s="28"/>
      <c r="P62" s="28"/>
      <c r="AI62" s="9"/>
      <c r="AJ62" s="11"/>
      <c r="AK62" s="12"/>
      <c r="AL62" s="12"/>
      <c r="AM62" s="12"/>
      <c r="AN62" s="11"/>
      <c r="AO62" s="10"/>
      <c r="AP62" s="7"/>
      <c r="AQ62" s="7"/>
    </row>
    <row r="63" spans="1:60">
      <c r="A63" s="88" t="s">
        <v>60</v>
      </c>
      <c r="B63" s="8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AI63" s="9"/>
      <c r="AJ63" s="11"/>
      <c r="AK63" s="12"/>
      <c r="AL63" s="12"/>
      <c r="AM63" s="12"/>
      <c r="AN63" s="11"/>
      <c r="AO63" s="10"/>
      <c r="AP63" s="7"/>
      <c r="AQ63" s="7"/>
    </row>
    <row r="64" spans="1:60">
      <c r="A64" s="26" t="s">
        <v>11</v>
      </c>
      <c r="B64" s="26" t="s">
        <v>13</v>
      </c>
      <c r="C64" s="26" t="s">
        <v>22</v>
      </c>
      <c r="D64" s="26" t="s">
        <v>18</v>
      </c>
      <c r="E64" s="26" t="s">
        <v>19</v>
      </c>
      <c r="F64" s="26" t="s">
        <v>20</v>
      </c>
      <c r="G64" s="26" t="s">
        <v>2</v>
      </c>
      <c r="H64" s="26" t="s">
        <v>1</v>
      </c>
      <c r="I64" s="26" t="s">
        <v>0</v>
      </c>
      <c r="J64" s="76" t="s">
        <v>3</v>
      </c>
      <c r="K64" s="76" t="s">
        <v>4</v>
      </c>
      <c r="L64" s="44" t="s">
        <v>7</v>
      </c>
      <c r="M64" s="28"/>
      <c r="N64" s="28"/>
      <c r="O64" s="28"/>
      <c r="P64" s="28"/>
      <c r="AI64" s="9"/>
      <c r="AJ64" s="10"/>
      <c r="AK64" s="10"/>
      <c r="AL64" s="10"/>
      <c r="AM64" s="10"/>
      <c r="AN64" s="10"/>
      <c r="AO64" s="10"/>
      <c r="AP64" s="7"/>
      <c r="AQ64" s="7"/>
    </row>
    <row r="65" spans="1:43">
      <c r="A65" s="19">
        <f>$E60</f>
        <v>0.10017685575925774</v>
      </c>
      <c r="B65" s="26">
        <f>COS(A65)</f>
        <v>0.99498649360256741</v>
      </c>
      <c r="C65" s="26">
        <f>($C$60+B65)</f>
        <v>7.7753497527319198</v>
      </c>
      <c r="D65" s="26">
        <f>POWER(TAN(A65/2),$C$60)</f>
        <v>1.5353637054851563E-9</v>
      </c>
      <c r="E65" s="26">
        <f>SIN(A65)</f>
        <v>0.10000938730173288</v>
      </c>
      <c r="F65" s="77">
        <f>(C65*$H$60*D65/E65/$I$60/$J$60)</f>
        <v>1</v>
      </c>
      <c r="G65" s="77">
        <f>$D$60*($C$60+$G$60)/9.81/SIN($C$57)/(1-$C$60*$C$60)*(F65-1)</f>
        <v>0</v>
      </c>
      <c r="H65" s="100">
        <f>-(-$H$57+$K$60*((POWER(TAN(A65/2),2*$C$60-1)/(2*$C$60-1))+(POWER(TAN(A65/2),2*$C$60+1)/(2*$C$60+1))-(POWER(TAN($E$60/2),2*$C$60-1)/(2*$C$60-1))-(POWER(TAN($E$60/2),2*$C$60+1)/(2*$C$60+1))))</f>
        <v>3.6000586468282729</v>
      </c>
      <c r="I65" s="100">
        <f>-(-$I$57+0.5*$K$60*((POWER(TAN(A65/2),2*$C$60-2)/(2*$C$60-2))-(POWER(TAN(A65/2),2*$C$60+2)/(2*$C$60+2))-(POWER(TAN($E$60/2),2*$C$60-2)/(2*$C$60-2))+(POWER(TAN($E$60/2),2*$C$60+2)/(2*$C$60+2))))</f>
        <v>-0.4259992235025617</v>
      </c>
      <c r="J65" s="77">
        <f>-$D$60*SIN(A65)*($C$60+$G$60)/($C$60+B65)*F65</f>
        <v>-0.29031715149543608</v>
      </c>
      <c r="K65" s="77">
        <f>-$D$60*COS(A65)*($C$60+$G$60)/($C$60+B65)*F65</f>
        <v>-2.8883453083021151</v>
      </c>
      <c r="L65" s="91">
        <f>SQRT(J65*J65+K65*K65)</f>
        <v>2.9028990110651911</v>
      </c>
      <c r="M65" s="28"/>
      <c r="N65" s="28"/>
      <c r="O65" s="28"/>
      <c r="P65" s="28"/>
      <c r="AI65" s="9"/>
      <c r="AJ65" s="10"/>
      <c r="AK65" s="10"/>
      <c r="AL65" s="10"/>
      <c r="AM65" s="10"/>
      <c r="AN65" s="10"/>
      <c r="AO65" s="10"/>
      <c r="AP65" s="7"/>
      <c r="AQ65" s="7"/>
    </row>
    <row r="66" spans="1:43">
      <c r="A66" s="20">
        <f>A65-$F$60</f>
        <v>9.8175318644072584E-2</v>
      </c>
      <c r="B66" s="26">
        <f t="shared" ref="B66:B95" si="56">COS(A66)</f>
        <v>0.99518467293715029</v>
      </c>
      <c r="C66" s="26">
        <f t="shared" ref="C66:C95" si="57">($C$60+B66)</f>
        <v>7.7755479320665026</v>
      </c>
      <c r="D66" s="26">
        <f t="shared" ref="D66:D95" si="58">POWER(TAN(A66/2),$C$60)</f>
        <v>1.3387002082110034E-9</v>
      </c>
      <c r="E66" s="26">
        <f t="shared" ref="E66:E95" si="59">SIN(A66)</f>
        <v>9.801768590911121E-2</v>
      </c>
      <c r="F66" s="77">
        <f t="shared" ref="F66:F95" si="60">(C66*$H$60*D66/E66/$I$60/$J$60)</f>
        <v>0.889650550068526</v>
      </c>
      <c r="G66" s="77">
        <f t="shared" ref="G66:G95" si="61">$D$60*($C$60+$G$60)/9.81/SIN($C$57)/(1-$C$60*$C$60)*(F66-1)</f>
        <v>0.54685990800618667</v>
      </c>
      <c r="H66" s="100">
        <f t="shared" ref="H66:H95" si="62">-(-$H$57+$K$60*((POWER(TAN(A66/2),2*$C$60-1)/(2*$C$60-1))+(POWER(TAN(A66/2),2*$C$60+1)/(2*$C$60+1))-(POWER(TAN($E$60/2),2*$C$60-1)/(2*$C$60-1))-(POWER(TAN($E$60/2),2*$C$60+1)/(2*$C$60+1))))</f>
        <v>3.4514978075029772</v>
      </c>
      <c r="I66" s="100">
        <f t="shared" ref="I66:I95" si="63">-(-$I$57+0.5*$K$60*((POWER(TAN(A66/2),2*$C$60-2)/(2*$C$60-2))-(POWER(TAN(A66/2),2*$C$60+2)/(2*$C$60+2))-(POWER(TAN($E$60/2),2*$C$60-2)/(2*$C$60-2))+(POWER(TAN($E$60/2),2*$C$60+2)/(2*$C$60+2))))</f>
        <v>-1.9184953013998225</v>
      </c>
      <c r="J66" s="77">
        <f t="shared" ref="J66:J95" si="64">-$D$60*SIN(A66)*($C$60+$G$60)/($C$60+B66)*F66</f>
        <v>-0.25313066198302364</v>
      </c>
      <c r="K66" s="77">
        <f t="shared" ref="K66:K95" si="65">-$D$60*COS(A66)*($C$60+$G$60)/($C$60+B66)*F66</f>
        <v>-2.5700642972690635</v>
      </c>
      <c r="L66" s="91">
        <f t="shared" ref="L66:L95" si="66">SQRT(J66*J66+K66*K66)</f>
        <v>2.5824998788253772</v>
      </c>
      <c r="M66" s="28"/>
      <c r="N66" s="28"/>
      <c r="O66" s="28"/>
      <c r="P66" s="28"/>
      <c r="AI66" s="7"/>
      <c r="AJ66" s="7"/>
      <c r="AK66" s="7"/>
      <c r="AL66" s="7"/>
      <c r="AM66" s="7"/>
      <c r="AN66" s="7"/>
      <c r="AO66" s="7"/>
      <c r="AP66" s="7"/>
      <c r="AQ66" s="7"/>
    </row>
    <row r="67" spans="1:43">
      <c r="A67" s="20">
        <f t="shared" ref="A67:A94" si="67">A66-$F$60</f>
        <v>9.6173781528887434E-2</v>
      </c>
      <c r="B67" s="26">
        <f t="shared" si="56"/>
        <v>0.99537886541316722</v>
      </c>
      <c r="C67" s="26">
        <f t="shared" si="57"/>
        <v>7.7757421245425196</v>
      </c>
      <c r="D67" s="26">
        <f t="shared" si="58"/>
        <v>1.1639469072678454E-9</v>
      </c>
      <c r="E67" s="26">
        <f t="shared" si="59"/>
        <v>9.6025591842987493E-2</v>
      </c>
      <c r="F67" s="77">
        <f t="shared" si="60"/>
        <v>0.78958263799780848</v>
      </c>
      <c r="G67" s="77">
        <f t="shared" si="61"/>
        <v>1.0427674927140971</v>
      </c>
      <c r="H67" s="100">
        <f t="shared" si="62"/>
        <v>3.3341896911632611</v>
      </c>
      <c r="I67" s="100">
        <f t="shared" si="63"/>
        <v>-3.1214299448873719</v>
      </c>
      <c r="J67" s="77">
        <f t="shared" si="64"/>
        <v>-0.22008710340273852</v>
      </c>
      <c r="K67" s="77">
        <f t="shared" si="65"/>
        <v>-2.2813715289075454</v>
      </c>
      <c r="L67" s="91">
        <f t="shared" si="66"/>
        <v>2.2919629983911518</v>
      </c>
      <c r="M67" s="45"/>
      <c r="N67" s="28"/>
      <c r="O67" s="28"/>
      <c r="P67" s="31"/>
      <c r="AI67" s="7"/>
      <c r="AJ67" s="7"/>
      <c r="AK67" s="7"/>
      <c r="AL67" s="7"/>
      <c r="AM67" s="7"/>
      <c r="AN67" s="7"/>
      <c r="AO67" s="7"/>
      <c r="AP67" s="7"/>
      <c r="AQ67" s="7"/>
    </row>
    <row r="68" spans="1:43">
      <c r="A68" s="20">
        <f t="shared" si="67"/>
        <v>9.4172244413702283E-2</v>
      </c>
      <c r="B68" s="26">
        <f t="shared" si="56"/>
        <v>0.99556907025265395</v>
      </c>
      <c r="C68" s="26">
        <f t="shared" si="57"/>
        <v>7.7759323293820062</v>
      </c>
      <c r="D68" s="26">
        <f t="shared" si="58"/>
        <v>1.0090421141283804E-9</v>
      </c>
      <c r="E68" s="26">
        <f t="shared" si="59"/>
        <v>9.4033113083988387E-2</v>
      </c>
      <c r="F68" s="77">
        <f t="shared" si="60"/>
        <v>0.69902146793322217</v>
      </c>
      <c r="G68" s="77">
        <f t="shared" si="61"/>
        <v>1.4915624179376157</v>
      </c>
      <c r="H68" s="100">
        <f t="shared" si="62"/>
        <v>3.2420113779169299</v>
      </c>
      <c r="I68" s="100">
        <f t="shared" si="63"/>
        <v>-4.0866593562559439</v>
      </c>
      <c r="J68" s="77">
        <f t="shared" si="64"/>
        <v>-0.19079663747823056</v>
      </c>
      <c r="K68" s="77">
        <f t="shared" si="65"/>
        <v>-2.0200461810923378</v>
      </c>
      <c r="L68" s="91">
        <f t="shared" si="66"/>
        <v>2.0290367001655585</v>
      </c>
      <c r="M68" s="45"/>
      <c r="N68" s="28"/>
      <c r="O68" s="28"/>
      <c r="P68" s="31"/>
      <c r="AI68" s="7"/>
      <c r="AJ68" s="7"/>
      <c r="AK68" s="7"/>
      <c r="AL68" s="7"/>
      <c r="AM68" s="7"/>
      <c r="AN68" s="7"/>
      <c r="AO68" s="7"/>
      <c r="AP68" s="7"/>
      <c r="AQ68" s="7"/>
    </row>
    <row r="69" spans="1:43">
      <c r="A69" s="20">
        <f t="shared" si="67"/>
        <v>9.2170707298517132E-2</v>
      </c>
      <c r="B69" s="26">
        <f t="shared" si="56"/>
        <v>0.99575528669362168</v>
      </c>
      <c r="C69" s="26">
        <f t="shared" si="57"/>
        <v>7.7761185458229738</v>
      </c>
      <c r="D69" s="26">
        <f t="shared" si="58"/>
        <v>8.7208111291115353E-10</v>
      </c>
      <c r="E69" s="26">
        <f t="shared" si="59"/>
        <v>9.2040257614281626E-2</v>
      </c>
      <c r="F69" s="77">
        <f t="shared" si="60"/>
        <v>0.61723634497421465</v>
      </c>
      <c r="G69" s="77">
        <f t="shared" si="61"/>
        <v>1.896865795937337</v>
      </c>
      <c r="H69" s="100">
        <f t="shared" si="62"/>
        <v>3.1699477597553987</v>
      </c>
      <c r="I69" s="100">
        <f t="shared" si="63"/>
        <v>-4.8575560330846201</v>
      </c>
      <c r="J69" s="77">
        <f t="shared" si="64"/>
        <v>-0.16489910740291597</v>
      </c>
      <c r="K69" s="77">
        <f t="shared" si="65"/>
        <v>-1.7839928116632584</v>
      </c>
      <c r="L69" s="91">
        <f t="shared" si="66"/>
        <v>1.7915976299628376</v>
      </c>
      <c r="M69" s="45"/>
      <c r="N69" s="28"/>
      <c r="O69" s="28"/>
      <c r="P69" s="89"/>
      <c r="AI69" s="7"/>
      <c r="AJ69" s="7"/>
      <c r="AK69" s="7"/>
      <c r="AL69" s="7"/>
      <c r="AM69" s="7"/>
      <c r="AN69" s="7"/>
      <c r="AO69" s="7"/>
      <c r="AP69" s="7"/>
      <c r="AQ69" s="7"/>
    </row>
    <row r="70" spans="1:43">
      <c r="A70" s="20">
        <f t="shared" si="67"/>
        <v>9.0169170183331981E-2</v>
      </c>
      <c r="B70" s="26">
        <f t="shared" si="56"/>
        <v>0.99593751399005936</v>
      </c>
      <c r="C70" s="26">
        <f t="shared" si="57"/>
        <v>7.7763007731194111</v>
      </c>
      <c r="D70" s="26">
        <f t="shared" si="58"/>
        <v>7.5130712683922366E-10</v>
      </c>
      <c r="E70" s="26">
        <f t="shared" si="59"/>
        <v>9.0047033417544123E-2</v>
      </c>
      <c r="F70" s="77">
        <f t="shared" si="60"/>
        <v>0.543539000850634</v>
      </c>
      <c r="G70" s="77">
        <f t="shared" si="61"/>
        <v>2.2620884848836691</v>
      </c>
      <c r="H70" s="100">
        <f t="shared" si="62"/>
        <v>3.1139083264895344</v>
      </c>
      <c r="I70" s="100">
        <f t="shared" si="63"/>
        <v>-5.4702603954150675</v>
      </c>
      <c r="J70" s="77">
        <f t="shared" si="64"/>
        <v>-0.14206232971572116</v>
      </c>
      <c r="K70" s="77">
        <f t="shared" si="65"/>
        <v>-1.5712366984112716</v>
      </c>
      <c r="L70" s="91">
        <f t="shared" si="66"/>
        <v>1.5776458626569563</v>
      </c>
      <c r="M70" s="45"/>
      <c r="N70" s="28"/>
      <c r="O70" s="28"/>
      <c r="P70" s="28"/>
      <c r="AI70" s="7"/>
      <c r="AJ70" s="7"/>
      <c r="AK70" s="7"/>
      <c r="AL70" s="7"/>
      <c r="AM70" s="7"/>
      <c r="AN70" s="7"/>
      <c r="AO70" s="7"/>
      <c r="AP70" s="7"/>
      <c r="AQ70" s="7"/>
    </row>
    <row r="71" spans="1:43">
      <c r="A71" s="20">
        <f t="shared" si="67"/>
        <v>8.8167633068146831E-2</v>
      </c>
      <c r="B71" s="26">
        <f t="shared" si="56"/>
        <v>0.99611575141193731</v>
      </c>
      <c r="C71" s="26">
        <f t="shared" si="57"/>
        <v>7.7764790105412898</v>
      </c>
      <c r="D71" s="26">
        <f t="shared" si="58"/>
        <v>6.4510263202531017E-10</v>
      </c>
      <c r="E71" s="26">
        <f t="shared" si="59"/>
        <v>8.8053448478929985E-2</v>
      </c>
      <c r="F71" s="77">
        <f t="shared" si="60"/>
        <v>0.47728195142665858</v>
      </c>
      <c r="G71" s="77">
        <f t="shared" si="61"/>
        <v>2.5904392285915634</v>
      </c>
      <c r="H71" s="100">
        <f t="shared" si="62"/>
        <v>3.0705712984933982</v>
      </c>
      <c r="I71" s="100">
        <f t="shared" si="63"/>
        <v>-5.9547686215358047</v>
      </c>
      <c r="J71" s="77">
        <f t="shared" si="64"/>
        <v>-0.12198045185171087</v>
      </c>
      <c r="K71" s="77">
        <f t="shared" si="65"/>
        <v>-1.3799192598675962</v>
      </c>
      <c r="L71" s="91">
        <f t="shared" si="66"/>
        <v>1.3853001098633762</v>
      </c>
      <c r="AI71" s="7"/>
      <c r="AJ71" s="7"/>
      <c r="AK71" s="7"/>
      <c r="AL71" s="7"/>
      <c r="AM71" s="7"/>
      <c r="AN71" s="7"/>
      <c r="AO71" s="7"/>
      <c r="AP71" s="7"/>
      <c r="AQ71" s="7"/>
    </row>
    <row r="72" spans="1:43">
      <c r="A72" s="20">
        <f t="shared" si="67"/>
        <v>8.616609595296168E-2</v>
      </c>
      <c r="B72" s="26">
        <f t="shared" si="56"/>
        <v>0.9962899982452097</v>
      </c>
      <c r="C72" s="26">
        <f t="shared" si="57"/>
        <v>7.7766532573745621</v>
      </c>
      <c r="D72" s="26">
        <f t="shared" si="58"/>
        <v>5.5198101184837348E-10</v>
      </c>
      <c r="E72" s="26">
        <f t="shared" si="59"/>
        <v>8.6059510785038471E-2</v>
      </c>
      <c r="F72" s="77">
        <f t="shared" si="60"/>
        <v>0.41785688592337278</v>
      </c>
      <c r="G72" s="77">
        <f t="shared" si="61"/>
        <v>2.8849326390668217</v>
      </c>
      <c r="H72" s="100">
        <f t="shared" si="62"/>
        <v>3.0372514814526692</v>
      </c>
      <c r="I72" s="100">
        <f t="shared" si="63"/>
        <v>-6.3358752957284832</v>
      </c>
      <c r="J72" s="77">
        <f t="shared" si="64"/>
        <v>-0.1043723740940922</v>
      </c>
      <c r="K72" s="77">
        <f t="shared" si="65"/>
        <v>-1.2082935570339011</v>
      </c>
      <c r="L72" s="91">
        <f t="shared" si="66"/>
        <v>1.2127930212710141</v>
      </c>
    </row>
    <row r="73" spans="1:43">
      <c r="A73" s="20">
        <f t="shared" si="67"/>
        <v>8.4164558837776529E-2</v>
      </c>
      <c r="B73" s="26">
        <f t="shared" si="56"/>
        <v>0.99646025379181757</v>
      </c>
      <c r="C73" s="26">
        <f t="shared" si="57"/>
        <v>7.7768235129211698</v>
      </c>
      <c r="D73" s="26">
        <f t="shared" si="58"/>
        <v>4.7057854521318375E-10</v>
      </c>
      <c r="E73" s="26">
        <f t="shared" si="59"/>
        <v>8.4065228323882066E-2</v>
      </c>
      <c r="F73" s="77">
        <f t="shared" si="60"/>
        <v>0.36469308775874393</v>
      </c>
      <c r="G73" s="77">
        <f t="shared" si="61"/>
        <v>3.1483970223657192</v>
      </c>
      <c r="H73" s="100">
        <f t="shared" si="62"/>
        <v>3.011788636076675</v>
      </c>
      <c r="I73" s="100">
        <f t="shared" si="63"/>
        <v>-6.6339876910456175</v>
      </c>
      <c r="J73" s="77">
        <f t="shared" si="64"/>
        <v>-8.8980234659115157E-2</v>
      </c>
      <c r="K73" s="77">
        <f t="shared" si="65"/>
        <v>-1.0547198762046122</v>
      </c>
      <c r="L73" s="91">
        <f t="shared" si="66"/>
        <v>1.0584665792650534</v>
      </c>
    </row>
    <row r="74" spans="1:43">
      <c r="A74" s="20">
        <f t="shared" si="67"/>
        <v>8.2163021722591378E-2</v>
      </c>
      <c r="B74" s="26">
        <f t="shared" si="56"/>
        <v>0.99662651736969199</v>
      </c>
      <c r="C74" s="26">
        <f t="shared" si="57"/>
        <v>7.7769897764990441</v>
      </c>
      <c r="D74" s="26">
        <f t="shared" si="58"/>
        <v>3.996467220093787E-10</v>
      </c>
      <c r="E74" s="26">
        <f t="shared" si="59"/>
        <v>8.2070609084854418E-2</v>
      </c>
      <c r="F74" s="77">
        <f t="shared" si="60"/>
        <v>0.31725588691165402</v>
      </c>
      <c r="G74" s="77">
        <f t="shared" si="61"/>
        <v>3.3834820482305523</v>
      </c>
      <c r="H74" s="100">
        <f t="shared" si="62"/>
        <v>2.9924535328027302</v>
      </c>
      <c r="I74" s="100">
        <f t="shared" si="63"/>
        <v>-6.8658268674965734</v>
      </c>
      <c r="J74" s="77">
        <f t="shared" si="64"/>
        <v>-7.5567956650107834E-2</v>
      </c>
      <c r="K74" s="77">
        <f t="shared" si="65"/>
        <v>-0.91766139304599526</v>
      </c>
      <c r="L74" s="91">
        <f t="shared" si="66"/>
        <v>0.92076758650562252</v>
      </c>
    </row>
    <row r="75" spans="1:43">
      <c r="A75" s="20">
        <f t="shared" si="67"/>
        <v>8.0161484607406228E-2</v>
      </c>
      <c r="B75" s="26">
        <f t="shared" si="56"/>
        <v>0.99678878831275608</v>
      </c>
      <c r="C75" s="26">
        <f t="shared" si="57"/>
        <v>7.7771520474421081</v>
      </c>
      <c r="D75" s="26">
        <f t="shared" si="58"/>
        <v>3.3804487910966738E-10</v>
      </c>
      <c r="E75" s="26">
        <f t="shared" si="59"/>
        <v>8.0075661058698358E-2</v>
      </c>
      <c r="F75" s="77">
        <f t="shared" si="60"/>
        <v>0.27504514372468691</v>
      </c>
      <c r="G75" s="77">
        <f t="shared" si="61"/>
        <v>3.5926662639238076</v>
      </c>
      <c r="H75" s="100">
        <f t="shared" si="62"/>
        <v>2.9778692011191898</v>
      </c>
      <c r="I75" s="100">
        <f t="shared" si="63"/>
        <v>-7.0450292528550511</v>
      </c>
      <c r="J75" s="77">
        <f t="shared" si="64"/>
        <v>-6.3919855621262428E-2</v>
      </c>
      <c r="K75" s="77">
        <f t="shared" si="65"/>
        <v>-0.79567991811069017</v>
      </c>
      <c r="L75" s="91">
        <f t="shared" si="66"/>
        <v>0.79824324615199704</v>
      </c>
    </row>
    <row r="76" spans="1:43">
      <c r="A76" s="20">
        <f t="shared" si="67"/>
        <v>7.8159947492221077E-2</v>
      </c>
      <c r="B76" s="26">
        <f t="shared" si="56"/>
        <v>0.99694706597092819</v>
      </c>
      <c r="C76" s="26">
        <f t="shared" si="57"/>
        <v>7.77731032510028</v>
      </c>
      <c r="D76" s="26">
        <f t="shared" si="58"/>
        <v>2.8473315026821557E-10</v>
      </c>
      <c r="E76" s="26">
        <f t="shared" si="59"/>
        <v>7.8080392237473914E-2</v>
      </c>
      <c r="F76" s="77">
        <f t="shared" si="60"/>
        <v>0.23759376406860869</v>
      </c>
      <c r="G76" s="77">
        <f t="shared" si="61"/>
        <v>3.7782644526428819</v>
      </c>
      <c r="H76" s="100">
        <f t="shared" si="62"/>
        <v>2.9669451882836464</v>
      </c>
      <c r="I76" s="100">
        <f t="shared" si="63"/>
        <v>-7.1826609819366993</v>
      </c>
      <c r="J76" s="77">
        <f t="shared" si="64"/>
        <v>-5.3839306495831116E-2</v>
      </c>
      <c r="K76" s="77">
        <f t="shared" si="65"/>
        <v>-0.68743172398111507</v>
      </c>
      <c r="L76" s="91">
        <f t="shared" si="66"/>
        <v>0.68953683444729763</v>
      </c>
    </row>
    <row r="77" spans="1:43">
      <c r="A77" s="20">
        <f t="shared" si="67"/>
        <v>7.6158410377035926E-2</v>
      </c>
      <c r="B77" s="26">
        <f t="shared" si="56"/>
        <v>0.99710134971012432</v>
      </c>
      <c r="C77" s="26">
        <f t="shared" si="57"/>
        <v>7.7774646088394768</v>
      </c>
      <c r="D77" s="26">
        <f t="shared" si="58"/>
        <v>2.3876572329974486E-10</v>
      </c>
      <c r="E77" s="26">
        <f t="shared" si="59"/>
        <v>7.6084810614526238E-2</v>
      </c>
      <c r="F77" s="77">
        <f t="shared" si="60"/>
        <v>0.20446624579986486</v>
      </c>
      <c r="G77" s="77">
        <f t="shared" si="61"/>
        <v>3.9424348368556572</v>
      </c>
      <c r="H77" s="100">
        <f t="shared" si="62"/>
        <v>2.9588229157523425</v>
      </c>
      <c r="I77" s="100">
        <f t="shared" si="63"/>
        <v>-7.2876559932100387</v>
      </c>
      <c r="J77" s="77">
        <f t="shared" si="64"/>
        <v>-4.5147468587077098E-2</v>
      </c>
      <c r="K77" s="77">
        <f t="shared" si="65"/>
        <v>-0.59166345425029387</v>
      </c>
      <c r="L77" s="91">
        <f t="shared" si="66"/>
        <v>0.59338346540429543</v>
      </c>
    </row>
    <row r="78" spans="1:43">
      <c r="A78" s="20">
        <f t="shared" si="67"/>
        <v>7.4156873261850775E-2</v>
      </c>
      <c r="B78" s="26">
        <f t="shared" si="56"/>
        <v>0.99725163891226087</v>
      </c>
      <c r="C78" s="26">
        <f t="shared" si="57"/>
        <v>7.7776148980416133</v>
      </c>
      <c r="D78" s="26">
        <f t="shared" si="58"/>
        <v>1.9928439793762329E-10</v>
      </c>
      <c r="E78" s="26">
        <f t="shared" si="59"/>
        <v>7.4088924184453619E-2</v>
      </c>
      <c r="F78" s="77">
        <f t="shared" si="60"/>
        <v>0.17525725645111484</v>
      </c>
      <c r="G78" s="77">
        <f t="shared" si="61"/>
        <v>4.0871861268542062</v>
      </c>
      <c r="H78" s="100">
        <f t="shared" si="62"/>
        <v>2.9528304662243707</v>
      </c>
      <c r="I78" s="100">
        <f t="shared" si="63"/>
        <v>-7.3671877118890272</v>
      </c>
      <c r="J78" s="77">
        <f t="shared" si="64"/>
        <v>-3.7682067473681774E-2</v>
      </c>
      <c r="K78" s="77">
        <f t="shared" si="65"/>
        <v>-0.50720811456480563</v>
      </c>
      <c r="L78" s="91">
        <f t="shared" si="66"/>
        <v>0.50860594735952125</v>
      </c>
    </row>
    <row r="79" spans="1:43">
      <c r="A79" s="20">
        <f t="shared" si="67"/>
        <v>7.2155336146665625E-2</v>
      </c>
      <c r="B79" s="26">
        <f t="shared" si="56"/>
        <v>0.9973979329752567</v>
      </c>
      <c r="C79" s="26">
        <f t="shared" si="57"/>
        <v>7.7777611921046086</v>
      </c>
      <c r="D79" s="26">
        <f t="shared" si="58"/>
        <v>1.655124377848816E-10</v>
      </c>
      <c r="E79" s="26">
        <f t="shared" si="59"/>
        <v>7.2092740943075467E-2</v>
      </c>
      <c r="F79" s="77">
        <f t="shared" si="60"/>
        <v>0.14959024210361482</v>
      </c>
      <c r="G79" s="77">
        <f t="shared" si="61"/>
        <v>4.2143844147802785</v>
      </c>
      <c r="H79" s="100">
        <f t="shared" si="62"/>
        <v>2.9484453523268033</v>
      </c>
      <c r="I79" s="100">
        <f t="shared" si="63"/>
        <v>-7.4269830794025857</v>
      </c>
      <c r="J79" s="77">
        <f t="shared" si="64"/>
        <v>-3.1296232484269153E-2</v>
      </c>
      <c r="K79" s="77">
        <f t="shared" si="65"/>
        <v>-0.43298114597099846</v>
      </c>
      <c r="L79" s="91">
        <f t="shared" si="66"/>
        <v>0.43411073118971444</v>
      </c>
    </row>
    <row r="80" spans="1:43">
      <c r="A80" s="20">
        <f t="shared" si="67"/>
        <v>7.0153799031480474E-2</v>
      </c>
      <c r="B80" s="26">
        <f t="shared" si="56"/>
        <v>0.99754023131303593</v>
      </c>
      <c r="C80" s="26">
        <f t="shared" si="57"/>
        <v>7.7779034904423883</v>
      </c>
      <c r="D80" s="26">
        <f t="shared" si="58"/>
        <v>1.3674870978595465E-10</v>
      </c>
      <c r="E80" s="26">
        <f t="shared" si="59"/>
        <v>7.0096268887400226E-2</v>
      </c>
      <c r="F80" s="77">
        <f t="shared" si="60"/>
        <v>0.12711606739944434</v>
      </c>
      <c r="G80" s="77">
        <f t="shared" si="61"/>
        <v>4.3257599143307495</v>
      </c>
      <c r="H80" s="100">
        <f t="shared" si="62"/>
        <v>2.9452640119483737</v>
      </c>
      <c r="I80" s="100">
        <f t="shared" si="63"/>
        <v>-7.4715867138292902</v>
      </c>
      <c r="J80" s="77">
        <f t="shared" si="64"/>
        <v>-2.5857388548330661E-2</v>
      </c>
      <c r="K80" s="77">
        <f t="shared" si="65"/>
        <v>-0.36797658082325169</v>
      </c>
      <c r="L80" s="91">
        <f t="shared" si="66"/>
        <v>0.36888395001261631</v>
      </c>
    </row>
    <row r="81" spans="1:12">
      <c r="A81" s="20">
        <f t="shared" si="67"/>
        <v>6.8152261916295323E-2</v>
      </c>
      <c r="B81" s="26">
        <f t="shared" si="56"/>
        <v>0.99767853335553025</v>
      </c>
      <c r="C81" s="26">
        <f t="shared" si="57"/>
        <v>7.7780417924848821</v>
      </c>
      <c r="D81" s="26">
        <f t="shared" si="58"/>
        <v>1.1236210465865555E-10</v>
      </c>
      <c r="E81" s="26">
        <f t="shared" si="59"/>
        <v>6.8099516015593414E-2</v>
      </c>
      <c r="F81" s="77">
        <f t="shared" si="60"/>
        <v>0.10751168666092428</v>
      </c>
      <c r="G81" s="77">
        <f t="shared" si="61"/>
        <v>4.4229135463048364</v>
      </c>
      <c r="H81" s="100">
        <f t="shared" si="62"/>
        <v>2.9429769472378582</v>
      </c>
      <c r="I81" s="100">
        <f t="shared" si="63"/>
        <v>-7.504582098294196</v>
      </c>
      <c r="J81" s="77">
        <f t="shared" si="64"/>
        <v>-2.1246201173047277E-2</v>
      </c>
      <c r="K81" s="77">
        <f t="shared" si="65"/>
        <v>-0.31126328153123289</v>
      </c>
      <c r="L81" s="91">
        <f t="shared" si="66"/>
        <v>0.31198755022256441</v>
      </c>
    </row>
    <row r="82" spans="1:12">
      <c r="A82" s="20">
        <f t="shared" si="67"/>
        <v>6.6150724801110172E-2</v>
      </c>
      <c r="B82" s="26">
        <f t="shared" si="56"/>
        <v>0.99781283854868097</v>
      </c>
      <c r="C82" s="26">
        <f t="shared" si="57"/>
        <v>7.778176097678033</v>
      </c>
      <c r="D82" s="26">
        <f t="shared" si="58"/>
        <v>9.1786231735590318E-11</v>
      </c>
      <c r="E82" s="26">
        <f t="shared" si="59"/>
        <v>6.6102490326945526E-2</v>
      </c>
      <c r="F82" s="77">
        <f t="shared" si="60"/>
        <v>9.0478846094285525E-2</v>
      </c>
      <c r="G82" s="77">
        <f t="shared" si="61"/>
        <v>4.5073233701067705</v>
      </c>
      <c r="H82" s="100">
        <f t="shared" si="62"/>
        <v>2.9413485763383838</v>
      </c>
      <c r="I82" s="100">
        <f t="shared" si="63"/>
        <v>-7.5287758884981502</v>
      </c>
      <c r="J82" s="77">
        <f t="shared" si="64"/>
        <v>-1.7355573307339844E-2</v>
      </c>
      <c r="K82" s="77">
        <f t="shared" si="65"/>
        <v>-0.26198126244235115</v>
      </c>
      <c r="L82" s="91">
        <f t="shared" si="66"/>
        <v>0.26255551374083635</v>
      </c>
    </row>
    <row r="83" spans="1:12">
      <c r="A83" s="20">
        <f t="shared" si="67"/>
        <v>6.4149187685925022E-2</v>
      </c>
      <c r="B83" s="26">
        <f t="shared" si="56"/>
        <v>0.99794314635444137</v>
      </c>
      <c r="C83" s="26">
        <f t="shared" si="57"/>
        <v>7.7783064054837938</v>
      </c>
      <c r="D83" s="26">
        <f t="shared" si="58"/>
        <v>7.4514381671740928E-11</v>
      </c>
      <c r="E83" s="26">
        <f t="shared" si="59"/>
        <v>6.4105199821839987E-2</v>
      </c>
      <c r="F83" s="77">
        <f t="shared" si="60"/>
        <v>7.5742817064665777E-2</v>
      </c>
      <c r="G83" s="77">
        <f t="shared" si="61"/>
        <v>4.5803508612679735</v>
      </c>
      <c r="H83" s="100">
        <f t="shared" si="62"/>
        <v>2.9402010009086945</v>
      </c>
      <c r="I83" s="100">
        <f t="shared" si="63"/>
        <v>-7.5463507008080155</v>
      </c>
      <c r="J83" s="77">
        <f t="shared" si="64"/>
        <v>-1.4089692855900778E-2</v>
      </c>
      <c r="K83" s="77">
        <f t="shared" si="65"/>
        <v>-0.21933809517578282</v>
      </c>
      <c r="L83" s="91">
        <f t="shared" si="66"/>
        <v>0.21979017139106649</v>
      </c>
    </row>
    <row r="84" spans="1:12">
      <c r="A84" s="20">
        <f t="shared" si="67"/>
        <v>6.2147650570739864E-2</v>
      </c>
      <c r="B84" s="26">
        <f t="shared" si="56"/>
        <v>0.99806945625077892</v>
      </c>
      <c r="C84" s="26">
        <f t="shared" si="57"/>
        <v>7.7784327153801307</v>
      </c>
      <c r="D84" s="26">
        <f t="shared" si="58"/>
        <v>6.0094750480282026E-11</v>
      </c>
      <c r="E84" s="26">
        <f t="shared" si="59"/>
        <v>6.2107652501721115E-2</v>
      </c>
      <c r="F84" s="77">
        <f t="shared" si="60"/>
        <v>6.3051160439926326E-2</v>
      </c>
      <c r="G84" s="77">
        <f t="shared" si="61"/>
        <v>4.6432470350011563</v>
      </c>
      <c r="H84" s="100">
        <f t="shared" si="62"/>
        <v>2.9394010101303856</v>
      </c>
      <c r="I84" s="100">
        <f t="shared" si="63"/>
        <v>-7.558991083263793</v>
      </c>
      <c r="J84" s="77">
        <f t="shared" si="64"/>
        <v>-1.1363129606969297E-2</v>
      </c>
      <c r="K84" s="77">
        <f t="shared" si="65"/>
        <v>-0.18260539774580414</v>
      </c>
      <c r="L84" s="91">
        <f t="shared" si="66"/>
        <v>0.18295860734157363</v>
      </c>
    </row>
    <row r="85" spans="1:12">
      <c r="A85" s="20">
        <f t="shared" si="67"/>
        <v>6.0146113455554706E-2</v>
      </c>
      <c r="B85" s="26">
        <f t="shared" si="56"/>
        <v>0.99819176773167728</v>
      </c>
      <c r="C85" s="26">
        <f t="shared" si="57"/>
        <v>7.7785550268610297</v>
      </c>
      <c r="D85" s="26">
        <f t="shared" si="58"/>
        <v>4.8125918361674411E-11</v>
      </c>
      <c r="E85" s="26">
        <f t="shared" si="59"/>
        <v>6.0109856369062103E-2</v>
      </c>
      <c r="F85" s="77">
        <f t="shared" si="60"/>
        <v>5.217252201153854E-2</v>
      </c>
      <c r="G85" s="77">
        <f t="shared" si="61"/>
        <v>4.6971584157454656</v>
      </c>
      <c r="H85" s="75">
        <f t="shared" si="62"/>
        <v>2.9388497448318867</v>
      </c>
      <c r="I85" s="75">
        <f t="shared" si="63"/>
        <v>-7.5679867782984731</v>
      </c>
      <c r="J85" s="77">
        <f t="shared" si="64"/>
        <v>-9.0999803381755125E-3</v>
      </c>
      <c r="K85" s="77">
        <f t="shared" si="65"/>
        <v>-0.15111540783454797</v>
      </c>
      <c r="L85" s="91">
        <f t="shared" si="66"/>
        <v>0.1513891545889498</v>
      </c>
    </row>
    <row r="86" spans="1:12">
      <c r="A86" s="20">
        <f t="shared" si="67"/>
        <v>5.8144576340369548E-2</v>
      </c>
      <c r="B86" s="26">
        <f t="shared" si="56"/>
        <v>0.99831008030713841</v>
      </c>
      <c r="C86" s="26">
        <f t="shared" si="57"/>
        <v>7.7786733394364909</v>
      </c>
      <c r="D86" s="26">
        <f t="shared" si="58"/>
        <v>3.8252576791741621E-11</v>
      </c>
      <c r="E86" s="26">
        <f t="shared" si="59"/>
        <v>5.8111819427332886E-2</v>
      </c>
      <c r="F86" s="77">
        <f t="shared" si="60"/>
        <v>4.2895459012057914E-2</v>
      </c>
      <c r="G86" s="77">
        <f t="shared" si="61"/>
        <v>4.7431328526059477</v>
      </c>
      <c r="H86" s="75">
        <f t="shared" si="62"/>
        <v>2.9384745350695978</v>
      </c>
      <c r="I86" s="75">
        <f t="shared" si="63"/>
        <v>-7.5743168530122738</v>
      </c>
      <c r="J86" s="77">
        <f t="shared" si="64"/>
        <v>-7.2330608649041166E-3</v>
      </c>
      <c r="K86" s="77">
        <f t="shared" si="65"/>
        <v>-0.12425764059819694</v>
      </c>
      <c r="L86" s="91">
        <f t="shared" si="66"/>
        <v>0.12446798149124974</v>
      </c>
    </row>
    <row r="87" spans="1:12">
      <c r="A87" s="20">
        <f t="shared" si="67"/>
        <v>5.6143039225184391E-2</v>
      </c>
      <c r="B87" s="26">
        <f t="shared" si="56"/>
        <v>0.99842439350318435</v>
      </c>
      <c r="C87" s="26">
        <f t="shared" si="57"/>
        <v>7.7787876526325368</v>
      </c>
      <c r="D87" s="26">
        <f t="shared" si="58"/>
        <v>3.0161497332560689E-11</v>
      </c>
      <c r="E87" s="26">
        <f t="shared" si="59"/>
        <v>5.6113549680968142E-2</v>
      </c>
      <c r="F87" s="77">
        <f t="shared" si="60"/>
        <v>3.5027297760405925E-2</v>
      </c>
      <c r="G87" s="77">
        <f t="shared" si="61"/>
        <v>4.7821251805326233</v>
      </c>
      <c r="H87" s="75">
        <f t="shared" si="62"/>
        <v>2.9382225023728803</v>
      </c>
      <c r="I87" s="75">
        <f t="shared" si="63"/>
        <v>-7.5787177958333674</v>
      </c>
      <c r="J87" s="77">
        <f t="shared" si="64"/>
        <v>-5.7031437952737686E-3</v>
      </c>
      <c r="K87" s="77">
        <f t="shared" si="65"/>
        <v>-0.10147563141579212</v>
      </c>
      <c r="L87" s="91">
        <f t="shared" si="66"/>
        <v>0.10163576939435874</v>
      </c>
    </row>
    <row r="88" spans="1:12">
      <c r="A88" s="20">
        <f t="shared" si="67"/>
        <v>5.4141502109999233E-2</v>
      </c>
      <c r="B88" s="26">
        <f t="shared" si="56"/>
        <v>0.99853470686185952</v>
      </c>
      <c r="C88" s="26">
        <f t="shared" si="57"/>
        <v>7.7788979659912112</v>
      </c>
      <c r="D88" s="26">
        <f t="shared" si="58"/>
        <v>2.3577735625564077E-11</v>
      </c>
      <c r="E88" s="26">
        <f t="shared" si="59"/>
        <v>5.411505513533519E-2</v>
      </c>
      <c r="F88" s="77">
        <f t="shared" si="60"/>
        <v>2.839302247845462E-2</v>
      </c>
      <c r="G88" s="77">
        <f t="shared" si="61"/>
        <v>4.8150027270235984</v>
      </c>
      <c r="H88" s="75">
        <f t="shared" si="62"/>
        <v>2.9380555851522558</v>
      </c>
      <c r="I88" s="75">
        <f t="shared" si="63"/>
        <v>-7.5817382529089459</v>
      </c>
      <c r="J88" s="77">
        <f t="shared" si="64"/>
        <v>-4.4582407549898949E-3</v>
      </c>
      <c r="K88" s="77">
        <f t="shared" si="65"/>
        <v>-8.2263764016690888E-2</v>
      </c>
      <c r="L88" s="91">
        <f t="shared" si="66"/>
        <v>8.2384481432022497E-2</v>
      </c>
    </row>
    <row r="89" spans="1:12">
      <c r="A89" s="20">
        <f t="shared" si="67"/>
        <v>5.2139964994814075E-2</v>
      </c>
      <c r="B89" s="26">
        <f t="shared" si="56"/>
        <v>0.99864101994123189</v>
      </c>
      <c r="C89" s="26">
        <f t="shared" si="57"/>
        <v>7.779004279070584</v>
      </c>
      <c r="D89" s="26">
        <f t="shared" si="58"/>
        <v>1.826106401909804E-11</v>
      </c>
      <c r="E89" s="26">
        <f t="shared" si="59"/>
        <v>5.2116343796701915E-2</v>
      </c>
      <c r="F89" s="77">
        <f t="shared" si="60"/>
        <v>2.2834195335277307E-2</v>
      </c>
      <c r="G89" s="77">
        <f t="shared" si="61"/>
        <v>4.8425506640729266</v>
      </c>
      <c r="H89" s="75">
        <f t="shared" si="62"/>
        <v>2.9379467036555056</v>
      </c>
      <c r="I89" s="75">
        <f t="shared" si="63"/>
        <v>-7.5837826994120325</v>
      </c>
      <c r="J89" s="77">
        <f t="shared" si="64"/>
        <v>-3.4529278439763117E-3</v>
      </c>
      <c r="K89" s="77">
        <f t="shared" si="65"/>
        <v>-6.6164184451292948E-2</v>
      </c>
      <c r="L89" s="91">
        <f t="shared" si="66"/>
        <v>6.6254222618640862E-2</v>
      </c>
    </row>
    <row r="90" spans="1:12">
      <c r="A90" s="20">
        <f t="shared" si="67"/>
        <v>5.0138427879628918E-2</v>
      </c>
      <c r="B90" s="26">
        <f t="shared" si="56"/>
        <v>0.99874333231539558</v>
      </c>
      <c r="C90" s="26">
        <f t="shared" si="57"/>
        <v>7.7791065914447479</v>
      </c>
      <c r="D90" s="26">
        <f t="shared" si="58"/>
        <v>1.4002626272688912E-11</v>
      </c>
      <c r="E90" s="26">
        <f t="shared" si="59"/>
        <v>5.0117423672204724E-2</v>
      </c>
      <c r="F90" s="77">
        <f t="shared" si="60"/>
        <v>1.8207907788966807E-2</v>
      </c>
      <c r="G90" s="77">
        <f t="shared" si="61"/>
        <v>4.8654772050167789</v>
      </c>
      <c r="H90" s="75">
        <f t="shared" si="62"/>
        <v>2.9378768304031775</v>
      </c>
      <c r="I90" s="75">
        <f t="shared" si="63"/>
        <v>-7.5851460061549743</v>
      </c>
      <c r="J90" s="77">
        <f t="shared" si="64"/>
        <v>-2.6477130848013928E-3</v>
      </c>
      <c r="K90" s="77">
        <f t="shared" si="65"/>
        <v>-5.2763801400194543E-2</v>
      </c>
      <c r="L90" s="91">
        <f t="shared" si="66"/>
        <v>5.2830191394491466E-2</v>
      </c>
    </row>
    <row r="91" spans="1:12">
      <c r="A91" s="20">
        <f t="shared" si="67"/>
        <v>4.813689076444376E-2</v>
      </c>
      <c r="B91" s="26">
        <f t="shared" si="56"/>
        <v>0.9988416435744718</v>
      </c>
      <c r="C91" s="26">
        <f t="shared" si="57"/>
        <v>7.7792049027038237</v>
      </c>
      <c r="D91" s="26">
        <f t="shared" si="58"/>
        <v>1.0621807767291291E-11</v>
      </c>
      <c r="E91" s="26">
        <f t="shared" si="59"/>
        <v>4.8118302769816448E-2</v>
      </c>
      <c r="F91" s="77">
        <f t="shared" si="60"/>
        <v>1.4385763310219514E-2</v>
      </c>
      <c r="G91" s="77">
        <f t="shared" si="61"/>
        <v>4.8844186458606806</v>
      </c>
      <c r="H91" s="75">
        <f t="shared" si="62"/>
        <v>2.9378327742199151</v>
      </c>
      <c r="I91" s="75">
        <f t="shared" si="63"/>
        <v>-7.5860405667237476</v>
      </c>
      <c r="J91" s="77">
        <f t="shared" si="64"/>
        <v>-2.0084446204605933E-3</v>
      </c>
      <c r="K91" s="77">
        <f t="shared" si="65"/>
        <v>-4.1691373349675986E-2</v>
      </c>
      <c r="L91" s="91">
        <f t="shared" si="66"/>
        <v>4.1739722825811031E-2</v>
      </c>
    </row>
    <row r="92" spans="1:12">
      <c r="A92" s="20">
        <f t="shared" si="67"/>
        <v>4.6135353649258602E-2</v>
      </c>
      <c r="B92" s="26">
        <f t="shared" si="56"/>
        <v>0.99893595332461105</v>
      </c>
      <c r="C92" s="26">
        <f t="shared" si="57"/>
        <v>7.7792992124539628</v>
      </c>
      <c r="D92" s="26">
        <f t="shared" si="58"/>
        <v>7.9633146346543308E-12</v>
      </c>
      <c r="E92" s="26">
        <f t="shared" si="59"/>
        <v>4.6118989098314266E-2</v>
      </c>
      <c r="F92" s="77">
        <f t="shared" si="60"/>
        <v>1.1252891587017656E-2</v>
      </c>
      <c r="G92" s="77">
        <f t="shared" si="61"/>
        <v>4.8999442505955413</v>
      </c>
      <c r="H92" s="75">
        <f t="shared" si="62"/>
        <v>2.9378055216910162</v>
      </c>
      <c r="I92" s="75">
        <f t="shared" si="63"/>
        <v>-7.5866173912548245</v>
      </c>
      <c r="J92" s="77">
        <f t="shared" si="64"/>
        <v>-1.5057584160257562E-3</v>
      </c>
      <c r="K92" s="77">
        <f t="shared" si="65"/>
        <v>-3.2614683196605994E-2</v>
      </c>
      <c r="L92" s="91">
        <f t="shared" si="66"/>
        <v>3.2649423707355171E-2</v>
      </c>
    </row>
    <row r="93" spans="1:12">
      <c r="A93" s="20">
        <f t="shared" si="67"/>
        <v>4.4133816534073445E-2</v>
      </c>
      <c r="B93" s="26">
        <f t="shared" si="56"/>
        <v>0.99902626118799431</v>
      </c>
      <c r="C93" s="26">
        <f t="shared" si="57"/>
        <v>7.7793895203173467</v>
      </c>
      <c r="D93" s="26">
        <f t="shared" si="58"/>
        <v>5.8944551994684306E-12</v>
      </c>
      <c r="E93" s="26">
        <f t="shared" si="59"/>
        <v>4.4119490667247609E-2</v>
      </c>
      <c r="F93" s="77">
        <f t="shared" si="60"/>
        <v>8.7069943258356892E-3</v>
      </c>
      <c r="G93" s="77">
        <f t="shared" si="61"/>
        <v>4.9125609799304657</v>
      </c>
      <c r="H93" s="75">
        <f t="shared" si="62"/>
        <v>2.9377890099230077</v>
      </c>
      <c r="I93" s="75">
        <f t="shared" si="63"/>
        <v>-7.5869823466429347</v>
      </c>
      <c r="J93" s="77">
        <f t="shared" si="64"/>
        <v>-1.1145642149893069E-3</v>
      </c>
      <c r="K93" s="77">
        <f t="shared" si="65"/>
        <v>-2.5237800883800721E-2</v>
      </c>
      <c r="L93" s="91">
        <f t="shared" si="66"/>
        <v>2.5262399863031762E-2</v>
      </c>
    </row>
    <row r="94" spans="1:12">
      <c r="A94" s="20">
        <f t="shared" si="67"/>
        <v>4.2132279418888287E-2</v>
      </c>
      <c r="B94" s="26">
        <f t="shared" si="56"/>
        <v>0.99911256680283478</v>
      </c>
      <c r="C94" s="26">
        <f t="shared" si="57"/>
        <v>7.7794758259321872</v>
      </c>
      <c r="D94" s="26">
        <f t="shared" si="58"/>
        <v>4.3026171049239768E-12</v>
      </c>
      <c r="E94" s="26">
        <f t="shared" si="59"/>
        <v>4.211981548690609E-2</v>
      </c>
      <c r="F94" s="77">
        <f t="shared" si="60"/>
        <v>6.6574227819641068E-3</v>
      </c>
      <c r="G94" s="77">
        <f t="shared" si="61"/>
        <v>4.9227180627852487</v>
      </c>
      <c r="H94" s="75">
        <f t="shared" si="62"/>
        <v>2.9377792296046179</v>
      </c>
      <c r="I94" s="75">
        <f t="shared" si="63"/>
        <v>-7.5872085262692428</v>
      </c>
      <c r="J94" s="77">
        <f t="shared" si="64"/>
        <v>-8.1356849677670384E-4</v>
      </c>
      <c r="K94" s="77">
        <f t="shared" si="65"/>
        <v>-1.9298434707939034E-2</v>
      </c>
      <c r="L94" s="91">
        <f t="shared" si="66"/>
        <v>1.9315575991296078E-2</v>
      </c>
    </row>
    <row r="95" spans="1:12">
      <c r="A95" s="20">
        <f>A94-$F$60</f>
        <v>4.0130742303703129E-2</v>
      </c>
      <c r="B95" s="26">
        <f t="shared" si="56"/>
        <v>0.99919486982337924</v>
      </c>
      <c r="C95" s="26">
        <f t="shared" si="57"/>
        <v>7.7795581289527309</v>
      </c>
      <c r="D95" s="26">
        <f t="shared" si="58"/>
        <v>3.0929334654935075E-12</v>
      </c>
      <c r="E95" s="26">
        <f t="shared" si="59"/>
        <v>4.0119971568287408E-2</v>
      </c>
      <c r="F95" s="77">
        <f t="shared" si="60"/>
        <v>5.0242871699425927E-3</v>
      </c>
      <c r="G95" s="77">
        <f t="shared" si="61"/>
        <v>4.930811409794285</v>
      </c>
      <c r="H95" s="114">
        <f t="shared" si="62"/>
        <v>2.9377735782104457</v>
      </c>
      <c r="I95" s="114">
        <f t="shared" si="63"/>
        <v>-7.5873455623466013</v>
      </c>
      <c r="J95" s="77">
        <f t="shared" si="64"/>
        <v>-5.8483317682909996E-4</v>
      </c>
      <c r="K95" s="77">
        <f t="shared" si="65"/>
        <v>-1.4565371986755137E-2</v>
      </c>
      <c r="L95" s="91">
        <f t="shared" si="66"/>
        <v>1.4577108456661469E-2</v>
      </c>
    </row>
    <row r="96" spans="1:12">
      <c r="G96" s="145" t="s">
        <v>67</v>
      </c>
      <c r="H96" s="365">
        <f>SQRT(H95*H95+POWER((I95-$M$3),2))</f>
        <v>6.3126020015446613</v>
      </c>
      <c r="I96" s="365"/>
    </row>
    <row r="97" spans="1:1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</row>
  </sheetData>
  <mergeCells count="2">
    <mergeCell ref="A1:C1"/>
    <mergeCell ref="H96:I96"/>
  </mergeCells>
  <conditionalFormatting sqref="AB36">
    <cfRule type="cellIs" dxfId="9" priority="2" operator="greaterThan">
      <formula>0.01</formula>
    </cfRule>
  </conditionalFormatting>
  <conditionalFormatting sqref="AB36:AD36">
    <cfRule type="cellIs" dxfId="8" priority="1" operator="greaterThan">
      <formula>0.01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H151"/>
  <sheetViews>
    <sheetView workbookViewId="0">
      <selection sqref="A1:C1"/>
    </sheetView>
  </sheetViews>
  <sheetFormatPr baseColWidth="10" defaultRowHeight="15"/>
  <cols>
    <col min="1" max="56" width="5.7109375" customWidth="1"/>
    <col min="57" max="57" width="11.42578125" customWidth="1"/>
  </cols>
  <sheetData>
    <row r="1" spans="1:56">
      <c r="A1" s="363" t="s">
        <v>6</v>
      </c>
      <c r="B1" s="363"/>
      <c r="C1" s="363"/>
      <c r="D1" s="142" t="s">
        <v>72</v>
      </c>
      <c r="E1" s="142"/>
      <c r="F1" s="143">
        <f>Stufengrün!R45</f>
        <v>5</v>
      </c>
      <c r="G1" s="142" t="s">
        <v>71</v>
      </c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6"/>
      <c r="AV1" s="6"/>
      <c r="AW1" s="6"/>
      <c r="AX1" s="6"/>
      <c r="AY1" s="6"/>
      <c r="AZ1" s="6"/>
      <c r="BA1" s="6"/>
      <c r="BB1" s="6"/>
      <c r="BC1" s="6"/>
      <c r="BD1" s="6"/>
    </row>
    <row r="2" spans="1:56">
      <c r="A2" s="88" t="s">
        <v>73</v>
      </c>
      <c r="B2" s="88"/>
      <c r="C2" s="23" t="str">
        <f>CONCATENATE("m",Stufengrün!R50)</f>
        <v>m2</v>
      </c>
      <c r="D2" s="23" t="s">
        <v>30</v>
      </c>
      <c r="E2" s="28"/>
      <c r="F2" s="28"/>
      <c r="G2" s="28"/>
      <c r="H2" s="36" t="s">
        <v>57</v>
      </c>
      <c r="I2" s="36" t="s">
        <v>51</v>
      </c>
      <c r="J2" s="36" t="s">
        <v>58</v>
      </c>
      <c r="K2" s="36" t="s">
        <v>59</v>
      </c>
      <c r="L2" s="28"/>
      <c r="M2" s="185" t="s">
        <v>95</v>
      </c>
      <c r="N2" s="28"/>
      <c r="O2" s="28"/>
      <c r="P2" s="28"/>
      <c r="R2" s="88" t="s">
        <v>74</v>
      </c>
      <c r="S2" s="88"/>
      <c r="T2" s="26" t="s">
        <v>65</v>
      </c>
      <c r="U2" s="26" t="s">
        <v>66</v>
      </c>
    </row>
    <row r="3" spans="1:56">
      <c r="A3" s="88" t="s">
        <v>69</v>
      </c>
      <c r="B3" s="88"/>
      <c r="C3" s="90">
        <f>Stufengrün!S50</f>
        <v>1.0323563876231049E-2</v>
      </c>
      <c r="D3" s="26">
        <f>Stufengrün!U49</f>
        <v>0.77679246641748789</v>
      </c>
      <c r="E3" s="28"/>
      <c r="F3" s="28"/>
      <c r="G3" s="28"/>
      <c r="H3" s="79">
        <v>4</v>
      </c>
      <c r="I3" s="186">
        <v>2</v>
      </c>
      <c r="J3" s="79">
        <f>'Do-17'!J3</f>
        <v>-2.2349999999999999</v>
      </c>
      <c r="K3" s="79">
        <f>'Do-17'!K3</f>
        <v>-0.41799999999999998</v>
      </c>
      <c r="L3" s="28"/>
      <c r="M3" s="185">
        <f>Ystart</f>
        <v>-2</v>
      </c>
      <c r="N3" s="37" t="s">
        <v>88</v>
      </c>
      <c r="O3" s="28"/>
      <c r="P3" s="28"/>
      <c r="T3" s="110">
        <f>H22</f>
        <v>4</v>
      </c>
      <c r="U3" s="110">
        <f>I22</f>
        <v>2</v>
      </c>
    </row>
    <row r="4" spans="1:56">
      <c r="A4" s="28"/>
      <c r="B4" s="28"/>
      <c r="C4" s="28"/>
      <c r="D4" s="28"/>
      <c r="E4" s="28"/>
      <c r="F4" s="28"/>
      <c r="G4" s="28"/>
      <c r="H4" s="37" t="s">
        <v>8</v>
      </c>
      <c r="I4" s="37" t="s">
        <v>8</v>
      </c>
      <c r="J4" s="37" t="s">
        <v>9</v>
      </c>
      <c r="K4" s="37" t="s">
        <v>9</v>
      </c>
      <c r="L4" s="28"/>
      <c r="M4" s="28"/>
      <c r="N4" s="28"/>
      <c r="O4" s="28"/>
      <c r="P4" s="28"/>
      <c r="T4" s="110" t="e">
        <f t="shared" ref="T4:U8" si="0">H23</f>
        <v>#DIV/0!</v>
      </c>
      <c r="U4" s="110" t="e">
        <f t="shared" si="0"/>
        <v>#DIV/0!</v>
      </c>
    </row>
    <row r="5" spans="1:56">
      <c r="A5" s="88" t="s">
        <v>68</v>
      </c>
      <c r="B5" s="88"/>
      <c r="C5" s="26" t="s">
        <v>15</v>
      </c>
      <c r="D5" s="26" t="s">
        <v>55</v>
      </c>
      <c r="E5" s="26" t="s">
        <v>12</v>
      </c>
      <c r="F5" s="26" t="s">
        <v>10</v>
      </c>
      <c r="G5" s="26" t="s">
        <v>14</v>
      </c>
      <c r="H5" s="26" t="s">
        <v>21</v>
      </c>
      <c r="I5" s="26" t="s">
        <v>16</v>
      </c>
      <c r="J5" s="26" t="s">
        <v>17</v>
      </c>
      <c r="K5" s="26" t="s">
        <v>23</v>
      </c>
      <c r="L5" s="28"/>
      <c r="M5" s="28"/>
      <c r="N5" s="28"/>
      <c r="O5" s="28"/>
      <c r="P5" s="28"/>
      <c r="T5" s="110" t="e">
        <f t="shared" si="0"/>
        <v>#DIV/0!</v>
      </c>
      <c r="U5" s="110" t="e">
        <f t="shared" si="0"/>
        <v>#DIV/0!</v>
      </c>
    </row>
    <row r="6" spans="1:56">
      <c r="A6" s="28"/>
      <c r="B6" s="28"/>
      <c r="C6" s="23">
        <f>Mü/TAN($C3)</f>
        <v>6.7803632591293521</v>
      </c>
      <c r="D6" s="42">
        <f>SQRT($J3*$J3+$K3*$K3)</f>
        <v>2.2737521852655798</v>
      </c>
      <c r="E6" s="20">
        <f>ATAN($J3/$K3)</f>
        <v>1.3859076624425977</v>
      </c>
      <c r="F6" s="23" t="e">
        <f>($E6-A19-0.0001)/5</f>
        <v>#DIV/0!</v>
      </c>
      <c r="G6" s="23">
        <f>COS($E6)</f>
        <v>0.18383709654408828</v>
      </c>
      <c r="H6" s="23">
        <f>SIN($E6)</f>
        <v>0.98295672434458659</v>
      </c>
      <c r="I6" s="23">
        <f>$C6+$G6</f>
        <v>6.96420035567344</v>
      </c>
      <c r="J6" s="23">
        <f>POWER(TAN($E6/2),$C6)</f>
        <v>0.28342261226772447</v>
      </c>
      <c r="K6" s="23">
        <f>-$D6*$D6*SIN($E6)*SIN($E6)/(2*9.81*SIN($C3)*POWER(TAN($E6/2),2*$C6))</f>
        <v>-307.01890877024579</v>
      </c>
      <c r="L6" s="28"/>
      <c r="M6" s="28"/>
      <c r="N6" s="28"/>
      <c r="O6" s="28"/>
      <c r="P6" s="28"/>
      <c r="T6" s="110" t="e">
        <f t="shared" si="0"/>
        <v>#DIV/0!</v>
      </c>
      <c r="U6" s="110" t="e">
        <f t="shared" si="0"/>
        <v>#DIV/0!</v>
      </c>
    </row>
    <row r="7" spans="1:56">
      <c r="A7" s="88" t="s">
        <v>70</v>
      </c>
      <c r="B7" s="88"/>
      <c r="C7" s="28"/>
      <c r="D7" s="28"/>
      <c r="E7" s="28"/>
      <c r="F7" s="28"/>
      <c r="G7" s="28"/>
      <c r="H7" s="28"/>
      <c r="I7" s="28"/>
      <c r="J7" s="28"/>
      <c r="K7" s="28"/>
      <c r="L7" s="28"/>
      <c r="M7" s="45"/>
      <c r="N7" s="28"/>
      <c r="O7" s="28"/>
      <c r="P7" s="28"/>
      <c r="T7" s="110" t="e">
        <f t="shared" si="0"/>
        <v>#DIV/0!</v>
      </c>
      <c r="U7" s="110" t="e">
        <f t="shared" si="0"/>
        <v>#DIV/0!</v>
      </c>
    </row>
    <row r="8" spans="1:56">
      <c r="A8" s="26" t="s">
        <v>11</v>
      </c>
      <c r="B8" s="26" t="s">
        <v>13</v>
      </c>
      <c r="C8" s="26" t="s">
        <v>22</v>
      </c>
      <c r="D8" s="26" t="s">
        <v>18</v>
      </c>
      <c r="E8" s="26" t="s">
        <v>19</v>
      </c>
      <c r="F8" s="26" t="s">
        <v>20</v>
      </c>
      <c r="G8" s="26" t="s">
        <v>2</v>
      </c>
      <c r="H8" s="26" t="s">
        <v>65</v>
      </c>
      <c r="I8" s="26" t="s">
        <v>66</v>
      </c>
      <c r="J8" s="76" t="s">
        <v>3</v>
      </c>
      <c r="K8" s="76" t="s">
        <v>4</v>
      </c>
      <c r="L8" s="44" t="s">
        <v>7</v>
      </c>
      <c r="M8" s="26" t="s">
        <v>64</v>
      </c>
      <c r="N8" s="26" t="s">
        <v>61</v>
      </c>
      <c r="O8" s="26" t="s">
        <v>62</v>
      </c>
      <c r="P8" s="26" t="s">
        <v>63</v>
      </c>
      <c r="T8" s="110" t="e">
        <f t="shared" si="0"/>
        <v>#DIV/0!</v>
      </c>
      <c r="U8" s="110" t="e">
        <f t="shared" si="0"/>
        <v>#DIV/0!</v>
      </c>
    </row>
    <row r="9" spans="1:56">
      <c r="A9" s="20">
        <f>$E6</f>
        <v>1.3859076624425977</v>
      </c>
      <c r="B9" s="23">
        <f>COS(A9)</f>
        <v>0.18383709654408828</v>
      </c>
      <c r="C9" s="23">
        <f>($C$6+B9)</f>
        <v>6.96420035567344</v>
      </c>
      <c r="D9" s="23">
        <f>POWER(TAN(A9/2),$C$6)</f>
        <v>0.28342261226772447</v>
      </c>
      <c r="E9" s="23">
        <f>SIN(A9)</f>
        <v>0.98295672434458659</v>
      </c>
      <c r="F9" s="71">
        <f>(C9*$H$6*D9/E9/$I$6/$J$6)</f>
        <v>1</v>
      </c>
      <c r="G9" s="71">
        <f t="shared" ref="G9:G19" si="1">$D$6*($C$6+$G$6)/9.81/SIN($C$3)/(1-$C$6*$C$6)*(F9-1)</f>
        <v>0</v>
      </c>
      <c r="H9" s="75">
        <f t="shared" ref="H9:H19" si="2">-(-$H$3+$K$6*((POWER(TAN(A9/2),2*$C$6-1)/(2*$C$6-1))+(POWER(TAN(A9/2),2*$C$6+1)/(2*$C$6+1))-(POWER(TAN($E$6/2),2*$C$6-1)/(2*$C$6-1))-(POWER(TAN($E$6/2),2*$C$6+1)/(2*$C$6+1))))</f>
        <v>4</v>
      </c>
      <c r="I9" s="75">
        <f t="shared" ref="I9:I19" si="3">-(-$I$3+0.5*$K$6*((POWER(TAN(A9/2),2*$C$6-2)/(2*$C$6-2))-(POWER(TAN(A9/2),2*$C$6+2)/(2*$C$6+2))-(POWER(TAN($E$6/2),2*$C$6-2)/(2*$C$6-2))+(POWER(TAN($E$6/2),2*$C$6+2)/(2*$C$6+2))))</f>
        <v>2</v>
      </c>
      <c r="J9" s="71">
        <f t="shared" ref="J9:J19" si="4">-$D$6*SIN(A9)*($C$6+$G$6)/($C$6+B9)*F9</f>
        <v>-2.2349999999999999</v>
      </c>
      <c r="K9" s="71">
        <f t="shared" ref="K9:K19" si="5">-$D$6*COS(A9)*($C$6+$G$6)/($C$6+B9)*F9</f>
        <v>-0.41800000000000009</v>
      </c>
      <c r="L9" s="42">
        <f>SQRT(J9*J9+K9*K9)</f>
        <v>2.2737521852655798</v>
      </c>
      <c r="M9" s="23">
        <v>1E-3</v>
      </c>
      <c r="N9" s="75">
        <f t="shared" ref="N9:N19" si="6">-(-$I$3+0.5*$K$6*((POWER(TAN(A9/2),2*$C$6-2)/(2*$C$6-2))-(POWER(TAN(A9/2),2*$C$6+2)/(2*$C$6+2))-(POWER(TAN($E$6/2),2*$C$6-2)/(2*$C$6-2))+(POWER(TAN($E$6/2),2*$C$6+2)/(2*$C$6+2))))-$D$3</f>
        <v>1.2232075335825121</v>
      </c>
      <c r="O9" s="75">
        <f>-(-$I$3+0.5*$K$6*((POWER(TAN((A9+$M$9)/2),2*$C$6-2)/(2*$C$6-2))-(POWER(TAN((A9+$M$9)/2),2*$C$6+2)/(2*$C$6+2))-(POWER(TAN($E$6/2),2*$C$6-2)/(2*$C$6-2))+(POWER(TAN($E$6/2),2*$C$6+2)/(2*$C$6+2))))-$D$3</f>
        <v>1.2327928381455873</v>
      </c>
      <c r="P9" s="109">
        <f>IF(A9-N9/(O9-N9)*$M$9&lt;0,A9*0.5,A9-N9/(O9-N9)*$M$9)</f>
        <v>1.2582948645879948</v>
      </c>
      <c r="T9" s="101" t="e">
        <f>H49</f>
        <v>#DIV/0!</v>
      </c>
      <c r="U9" s="101" t="e">
        <f>I49</f>
        <v>#DIV/0!</v>
      </c>
    </row>
    <row r="10" spans="1:56">
      <c r="A10" s="20">
        <f t="shared" ref="A10:A19" si="7">P9</f>
        <v>1.2582948645879948</v>
      </c>
      <c r="B10" s="23">
        <f t="shared" ref="B10:B19" si="8">COS(A10)</f>
        <v>0.3074399059692734</v>
      </c>
      <c r="C10" s="23">
        <f t="shared" ref="C10:C19" si="9">($C$6+B10)</f>
        <v>7.0878031650986255</v>
      </c>
      <c r="D10" s="23">
        <f t="shared" ref="D10:D19" si="10">POWER(TAN(A10/2),$C$6)</f>
        <v>0.1159927890798351</v>
      </c>
      <c r="E10" s="23">
        <f t="shared" ref="E10:E19" si="11">SIN(A10)</f>
        <v>0.95156749850843703</v>
      </c>
      <c r="F10" s="71">
        <f t="shared" ref="F10:F19" si="12">(C10*$H$6*D10/E10/$I$6/$J$6)</f>
        <v>0.4302607045644119</v>
      </c>
      <c r="G10" s="71">
        <f t="shared" si="1"/>
        <v>1.9808181738042696</v>
      </c>
      <c r="H10" s="75">
        <f t="shared" si="2"/>
        <v>0.88726757618373542</v>
      </c>
      <c r="I10" s="75">
        <f t="shared" si="3"/>
        <v>1.2661403910975408</v>
      </c>
      <c r="J10" s="71">
        <f t="shared" si="4"/>
        <v>-0.91469019186283718</v>
      </c>
      <c r="K10" s="71">
        <f t="shared" si="5"/>
        <v>-0.29552529591239923</v>
      </c>
      <c r="L10" s="42">
        <f t="shared" ref="L10:L19" si="13">SQRT(J10*J10+K10*K10)</f>
        <v>0.96124572696797206</v>
      </c>
      <c r="M10" s="28"/>
      <c r="N10" s="75">
        <f t="shared" si="6"/>
        <v>0.48934792468005295</v>
      </c>
      <c r="O10" s="75">
        <f t="shared" ref="O10:O19" si="14">-(-$I$3+0.5*$K$6*((POWER(TAN((A10+$M$9)/2),2*$C$6-2)/(2*$C$6-2))-(POWER(TAN((A10+$M$9)/2),2*$C$6+2)/(2*$C$6+2))-(POWER(TAN($E$6/2),2*$C$6-2)/(2*$C$6-2))+(POWER(TAN($E$6/2),2*$C$6+2)/(2*$C$6+2))))-$D$3</f>
        <v>0.49231078743530365</v>
      </c>
      <c r="P10" s="109">
        <f t="shared" ref="P10:P19" si="15">IF(A10-N10/(O10-N10)*$M$9&lt;0,A10*0.5,A10-N10/(O10-N10)*$M$9)</f>
        <v>1.093134354263025</v>
      </c>
      <c r="T10" s="101" t="e">
        <f t="shared" ref="T10:U14" si="16">H50</f>
        <v>#DIV/0!</v>
      </c>
      <c r="U10" s="101" t="e">
        <f t="shared" si="16"/>
        <v>#DIV/0!</v>
      </c>
    </row>
    <row r="11" spans="1:56">
      <c r="A11" s="20">
        <f t="shared" si="7"/>
        <v>1.093134354263025</v>
      </c>
      <c r="B11" s="23">
        <f t="shared" si="8"/>
        <v>0.45970409680940666</v>
      </c>
      <c r="C11" s="23">
        <f t="shared" si="9"/>
        <v>7.2400673559387592</v>
      </c>
      <c r="D11" s="23">
        <f t="shared" si="10"/>
        <v>3.4410043050683126E-2</v>
      </c>
      <c r="E11" s="23">
        <f t="shared" si="11"/>
        <v>0.88807214987108318</v>
      </c>
      <c r="F11" s="71">
        <f t="shared" si="12"/>
        <v>0.13970379903527827</v>
      </c>
      <c r="G11" s="71">
        <f t="shared" si="1"/>
        <v>2.9910002054937195</v>
      </c>
      <c r="H11" s="75">
        <f t="shared" si="2"/>
        <v>0.2917047089562117</v>
      </c>
      <c r="I11" s="75">
        <f t="shared" si="3"/>
        <v>1.0373326396294131</v>
      </c>
      <c r="J11" s="71">
        <f t="shared" si="4"/>
        <v>-0.27134901341474482</v>
      </c>
      <c r="K11" s="71">
        <f t="shared" si="5"/>
        <v>-0.14046184552691662</v>
      </c>
      <c r="L11" s="42">
        <f t="shared" si="13"/>
        <v>0.30554838754276342</v>
      </c>
      <c r="M11" s="28"/>
      <c r="N11" s="75">
        <f t="shared" si="6"/>
        <v>0.26054017321192524</v>
      </c>
      <c r="O11" s="75">
        <f t="shared" si="14"/>
        <v>0.26102019410896848</v>
      </c>
      <c r="P11" s="109">
        <f t="shared" si="15"/>
        <v>0.55036595643543129</v>
      </c>
      <c r="T11" s="101" t="e">
        <f t="shared" si="16"/>
        <v>#DIV/0!</v>
      </c>
      <c r="U11" s="101" t="e">
        <f t="shared" si="16"/>
        <v>#DIV/0!</v>
      </c>
    </row>
    <row r="12" spans="1:56">
      <c r="A12" s="20">
        <f t="shared" si="7"/>
        <v>0.55036595643543129</v>
      </c>
      <c r="B12" s="23">
        <f t="shared" si="8"/>
        <v>0.8523331842218359</v>
      </c>
      <c r="C12" s="26">
        <f t="shared" si="9"/>
        <v>7.6326964433511879</v>
      </c>
      <c r="D12" s="26">
        <f t="shared" si="10"/>
        <v>1.8884338802944726E-4</v>
      </c>
      <c r="E12" s="26">
        <f t="shared" si="11"/>
        <v>0.52299918075869478</v>
      </c>
      <c r="F12" s="77">
        <f t="shared" si="12"/>
        <v>1.3724843781694187E-3</v>
      </c>
      <c r="G12" s="77">
        <f t="shared" si="1"/>
        <v>3.4719380384187724</v>
      </c>
      <c r="H12" s="75">
        <f t="shared" si="2"/>
        <v>0.22894831005841176</v>
      </c>
      <c r="I12" s="75">
        <f t="shared" si="3"/>
        <v>0.99918514666578573</v>
      </c>
      <c r="J12" s="77">
        <f t="shared" si="4"/>
        <v>-1.4891718373096032E-3</v>
      </c>
      <c r="K12" s="77">
        <f t="shared" si="5"/>
        <v>-2.4269073846469396E-3</v>
      </c>
      <c r="L12" s="91">
        <f t="shared" si="13"/>
        <v>2.847369349889457E-3</v>
      </c>
      <c r="M12" s="92"/>
      <c r="N12" s="75">
        <f t="shared" si="6"/>
        <v>0.22239268024829784</v>
      </c>
      <c r="O12" s="75">
        <f t="shared" si="14"/>
        <v>0.22239281205748895</v>
      </c>
      <c r="P12" s="109">
        <f t="shared" si="15"/>
        <v>0.27518297821771565</v>
      </c>
      <c r="T12" s="101" t="e">
        <f t="shared" si="16"/>
        <v>#DIV/0!</v>
      </c>
      <c r="U12" s="101" t="e">
        <f t="shared" si="16"/>
        <v>#DIV/0!</v>
      </c>
    </row>
    <row r="13" spans="1:56">
      <c r="A13" s="20">
        <f t="shared" si="7"/>
        <v>0.27518297821771565</v>
      </c>
      <c r="B13" s="23">
        <f t="shared" si="8"/>
        <v>0.96237549434247227</v>
      </c>
      <c r="C13" s="23">
        <f t="shared" si="9"/>
        <v>7.7427387534718246</v>
      </c>
      <c r="D13" s="23">
        <f t="shared" si="10"/>
        <v>1.5066165950119379E-6</v>
      </c>
      <c r="E13" s="23">
        <f t="shared" si="11"/>
        <v>0.27172303525664149</v>
      </c>
      <c r="F13" s="71">
        <f t="shared" si="12"/>
        <v>2.1379598253641864E-5</v>
      </c>
      <c r="G13" s="71">
        <f t="shared" si="1"/>
        <v>3.4766354376050526</v>
      </c>
      <c r="H13" s="75">
        <f t="shared" si="2"/>
        <v>0.228945010905516</v>
      </c>
      <c r="I13" s="75">
        <f t="shared" si="3"/>
        <v>0.99917923623811489</v>
      </c>
      <c r="J13" s="71">
        <f t="shared" si="4"/>
        <v>-1.1880802533394543E-5</v>
      </c>
      <c r="K13" s="71">
        <f t="shared" si="5"/>
        <v>-4.2078851358559618E-5</v>
      </c>
      <c r="L13" s="42">
        <f t="shared" si="13"/>
        <v>4.3723943103215987E-5</v>
      </c>
      <c r="M13" s="28"/>
      <c r="N13" s="75">
        <f t="shared" si="6"/>
        <v>0.22238676982062699</v>
      </c>
      <c r="O13" s="75">
        <f t="shared" si="14"/>
        <v>0.22238676988880601</v>
      </c>
      <c r="P13" s="109">
        <f t="shared" si="15"/>
        <v>0.13759148910885782</v>
      </c>
      <c r="T13" s="101" t="e">
        <f t="shared" si="16"/>
        <v>#DIV/0!</v>
      </c>
      <c r="U13" s="101" t="e">
        <f t="shared" si="16"/>
        <v>#DIV/0!</v>
      </c>
    </row>
    <row r="14" spans="1:56">
      <c r="A14" s="20">
        <f t="shared" si="7"/>
        <v>0.13759148910885782</v>
      </c>
      <c r="B14" s="23">
        <f t="shared" si="8"/>
        <v>0.99054921491626868</v>
      </c>
      <c r="C14" s="23">
        <f t="shared" si="9"/>
        <v>7.7709124740456206</v>
      </c>
      <c r="D14" s="23">
        <f t="shared" si="10"/>
        <v>1.3270763896748184E-8</v>
      </c>
      <c r="E14" s="23">
        <f t="shared" si="11"/>
        <v>0.13715776619923439</v>
      </c>
      <c r="F14" s="71">
        <f t="shared" si="12"/>
        <v>3.7443477907771567E-7</v>
      </c>
      <c r="G14" s="71">
        <f t="shared" si="1"/>
        <v>3.4767084664620884</v>
      </c>
      <c r="H14" s="75">
        <f t="shared" si="2"/>
        <v>0.22894501049825822</v>
      </c>
      <c r="I14" s="75">
        <f t="shared" si="3"/>
        <v>0.99917923466698522</v>
      </c>
      <c r="J14" s="71">
        <f t="shared" si="4"/>
        <v>-1.0464993273442432E-7</v>
      </c>
      <c r="K14" s="71">
        <f t="shared" si="5"/>
        <v>-7.557786305774859E-7</v>
      </c>
      <c r="L14" s="42">
        <f t="shared" si="13"/>
        <v>7.6298948017577511E-7</v>
      </c>
      <c r="M14" s="28"/>
      <c r="N14" s="75">
        <f t="shared" si="6"/>
        <v>0.22238676824949732</v>
      </c>
      <c r="O14" s="75">
        <f t="shared" si="14"/>
        <v>0.2223867682495404</v>
      </c>
      <c r="P14" s="109">
        <f t="shared" si="15"/>
        <v>6.8795744554428911E-2</v>
      </c>
      <c r="T14" s="101" t="e">
        <f t="shared" si="16"/>
        <v>#DIV/0!</v>
      </c>
      <c r="U14" s="101" t="e">
        <f t="shared" si="16"/>
        <v>#DIV/0!</v>
      </c>
    </row>
    <row r="15" spans="1:56">
      <c r="A15" s="20">
        <f t="shared" si="7"/>
        <v>6.8795744554428911E-2</v>
      </c>
      <c r="B15" s="23">
        <f t="shared" si="8"/>
        <v>0.99763450594801217</v>
      </c>
      <c r="C15" s="23">
        <f t="shared" si="9"/>
        <v>7.7779977650773642</v>
      </c>
      <c r="D15" s="23">
        <f t="shared" si="10"/>
        <v>1.1976066668525722E-10</v>
      </c>
      <c r="E15" s="23">
        <f t="shared" si="11"/>
        <v>6.8741490686961976E-2</v>
      </c>
      <c r="F15" s="71">
        <f t="shared" si="12"/>
        <v>6.7482586133407317E-9</v>
      </c>
      <c r="G15" s="71">
        <f t="shared" si="1"/>
        <v>3.4767097448014059</v>
      </c>
      <c r="H15" s="75">
        <f t="shared" si="2"/>
        <v>0.2289450104981956</v>
      </c>
      <c r="I15" s="75">
        <f t="shared" si="3"/>
        <v>0.99917923466649272</v>
      </c>
      <c r="J15" s="71">
        <f t="shared" si="4"/>
        <v>-9.4440273448863059E-10</v>
      </c>
      <c r="K15" s="71">
        <f t="shared" si="5"/>
        <v>-1.3705969219201342E-8</v>
      </c>
      <c r="L15" s="42">
        <f t="shared" si="13"/>
        <v>1.3738467482314184E-8</v>
      </c>
      <c r="M15" s="28"/>
      <c r="N15" s="75">
        <f t="shared" si="6"/>
        <v>0.22238676824900483</v>
      </c>
      <c r="O15" s="75">
        <f t="shared" si="14"/>
        <v>0.22238676824900483</v>
      </c>
      <c r="P15" s="109" t="e">
        <f t="shared" si="15"/>
        <v>#DIV/0!</v>
      </c>
      <c r="T15" s="111" t="e">
        <f>H76</f>
        <v>#DIV/0!</v>
      </c>
      <c r="U15" s="111" t="e">
        <f>I76</f>
        <v>#DIV/0!</v>
      </c>
    </row>
    <row r="16" spans="1:56">
      <c r="A16" s="20" t="e">
        <f t="shared" si="7"/>
        <v>#DIV/0!</v>
      </c>
      <c r="B16" s="23" t="e">
        <f t="shared" si="8"/>
        <v>#DIV/0!</v>
      </c>
      <c r="C16" s="23" t="e">
        <f t="shared" si="9"/>
        <v>#DIV/0!</v>
      </c>
      <c r="D16" s="23" t="e">
        <f t="shared" si="10"/>
        <v>#DIV/0!</v>
      </c>
      <c r="E16" s="23" t="e">
        <f t="shared" si="11"/>
        <v>#DIV/0!</v>
      </c>
      <c r="F16" s="71" t="e">
        <f t="shared" si="12"/>
        <v>#DIV/0!</v>
      </c>
      <c r="G16" s="71" t="e">
        <f t="shared" si="1"/>
        <v>#DIV/0!</v>
      </c>
      <c r="H16" s="75" t="e">
        <f t="shared" si="2"/>
        <v>#DIV/0!</v>
      </c>
      <c r="I16" s="75" t="e">
        <f t="shared" si="3"/>
        <v>#DIV/0!</v>
      </c>
      <c r="J16" s="71" t="e">
        <f t="shared" si="4"/>
        <v>#DIV/0!</v>
      </c>
      <c r="K16" s="71" t="e">
        <f t="shared" si="5"/>
        <v>#DIV/0!</v>
      </c>
      <c r="L16" s="42" t="e">
        <f t="shared" si="13"/>
        <v>#DIV/0!</v>
      </c>
      <c r="M16" s="28"/>
      <c r="N16" s="75" t="e">
        <f t="shared" si="6"/>
        <v>#DIV/0!</v>
      </c>
      <c r="O16" s="75" t="e">
        <f t="shared" si="14"/>
        <v>#DIV/0!</v>
      </c>
      <c r="P16" s="109" t="e">
        <f t="shared" si="15"/>
        <v>#DIV/0!</v>
      </c>
      <c r="T16" s="111" t="e">
        <f t="shared" ref="T16:U20" si="17">H77</f>
        <v>#DIV/0!</v>
      </c>
      <c r="U16" s="111" t="e">
        <f t="shared" si="17"/>
        <v>#DIV/0!</v>
      </c>
    </row>
    <row r="17" spans="1:21">
      <c r="A17" s="20" t="e">
        <f t="shared" si="7"/>
        <v>#DIV/0!</v>
      </c>
      <c r="B17" s="23" t="e">
        <f t="shared" si="8"/>
        <v>#DIV/0!</v>
      </c>
      <c r="C17" s="23" t="e">
        <f t="shared" si="9"/>
        <v>#DIV/0!</v>
      </c>
      <c r="D17" s="23" t="e">
        <f t="shared" si="10"/>
        <v>#DIV/0!</v>
      </c>
      <c r="E17" s="23" t="e">
        <f t="shared" si="11"/>
        <v>#DIV/0!</v>
      </c>
      <c r="F17" s="71" t="e">
        <f t="shared" si="12"/>
        <v>#DIV/0!</v>
      </c>
      <c r="G17" s="71" t="e">
        <f t="shared" si="1"/>
        <v>#DIV/0!</v>
      </c>
      <c r="H17" s="75" t="e">
        <f t="shared" si="2"/>
        <v>#DIV/0!</v>
      </c>
      <c r="I17" s="75" t="e">
        <f t="shared" si="3"/>
        <v>#DIV/0!</v>
      </c>
      <c r="J17" s="71" t="e">
        <f t="shared" si="4"/>
        <v>#DIV/0!</v>
      </c>
      <c r="K17" s="71" t="e">
        <f t="shared" si="5"/>
        <v>#DIV/0!</v>
      </c>
      <c r="L17" s="42" t="e">
        <f t="shared" si="13"/>
        <v>#DIV/0!</v>
      </c>
      <c r="M17" s="28"/>
      <c r="N17" s="75" t="e">
        <f t="shared" si="6"/>
        <v>#DIV/0!</v>
      </c>
      <c r="O17" s="75" t="e">
        <f t="shared" si="14"/>
        <v>#DIV/0!</v>
      </c>
      <c r="P17" s="109" t="e">
        <f t="shared" si="15"/>
        <v>#DIV/0!</v>
      </c>
      <c r="T17" s="111" t="e">
        <f t="shared" si="17"/>
        <v>#DIV/0!</v>
      </c>
      <c r="U17" s="111" t="e">
        <f t="shared" si="17"/>
        <v>#DIV/0!</v>
      </c>
    </row>
    <row r="18" spans="1:21">
      <c r="A18" s="20" t="e">
        <f t="shared" si="7"/>
        <v>#DIV/0!</v>
      </c>
      <c r="B18" s="23" t="e">
        <f t="shared" si="8"/>
        <v>#DIV/0!</v>
      </c>
      <c r="C18" s="23" t="e">
        <f t="shared" si="9"/>
        <v>#DIV/0!</v>
      </c>
      <c r="D18" s="23" t="e">
        <f t="shared" si="10"/>
        <v>#DIV/0!</v>
      </c>
      <c r="E18" s="23" t="e">
        <f t="shared" si="11"/>
        <v>#DIV/0!</v>
      </c>
      <c r="F18" s="71" t="e">
        <f t="shared" si="12"/>
        <v>#DIV/0!</v>
      </c>
      <c r="G18" s="71" t="e">
        <f t="shared" si="1"/>
        <v>#DIV/0!</v>
      </c>
      <c r="H18" s="75" t="e">
        <f t="shared" si="2"/>
        <v>#DIV/0!</v>
      </c>
      <c r="I18" s="75" t="e">
        <f t="shared" si="3"/>
        <v>#DIV/0!</v>
      </c>
      <c r="J18" s="71" t="e">
        <f t="shared" si="4"/>
        <v>#DIV/0!</v>
      </c>
      <c r="K18" s="71" t="e">
        <f t="shared" si="5"/>
        <v>#DIV/0!</v>
      </c>
      <c r="L18" s="42" t="e">
        <f t="shared" si="13"/>
        <v>#DIV/0!</v>
      </c>
      <c r="M18" s="28"/>
      <c r="N18" s="75" t="e">
        <f t="shared" si="6"/>
        <v>#DIV/0!</v>
      </c>
      <c r="O18" s="75" t="e">
        <f t="shared" si="14"/>
        <v>#DIV/0!</v>
      </c>
      <c r="P18" s="109" t="e">
        <f t="shared" si="15"/>
        <v>#DIV/0!</v>
      </c>
      <c r="R18" s="84"/>
      <c r="S18" s="84"/>
      <c r="T18" s="111" t="e">
        <f t="shared" si="17"/>
        <v>#DIV/0!</v>
      </c>
      <c r="U18" s="111" t="e">
        <f t="shared" si="17"/>
        <v>#DIV/0!</v>
      </c>
    </row>
    <row r="19" spans="1:21">
      <c r="A19" s="20" t="e">
        <f t="shared" si="7"/>
        <v>#DIV/0!</v>
      </c>
      <c r="B19" s="23" t="e">
        <f t="shared" si="8"/>
        <v>#DIV/0!</v>
      </c>
      <c r="C19" s="23" t="e">
        <f t="shared" si="9"/>
        <v>#DIV/0!</v>
      </c>
      <c r="D19" s="23" t="e">
        <f t="shared" si="10"/>
        <v>#DIV/0!</v>
      </c>
      <c r="E19" s="23" t="e">
        <f t="shared" si="11"/>
        <v>#DIV/0!</v>
      </c>
      <c r="F19" s="71" t="e">
        <f t="shared" si="12"/>
        <v>#DIV/0!</v>
      </c>
      <c r="G19" s="71" t="e">
        <f t="shared" si="1"/>
        <v>#DIV/0!</v>
      </c>
      <c r="H19" s="81" t="e">
        <f t="shared" si="2"/>
        <v>#DIV/0!</v>
      </c>
      <c r="I19" s="81" t="e">
        <f t="shared" si="3"/>
        <v>#DIV/0!</v>
      </c>
      <c r="J19" s="80" t="e">
        <f t="shared" si="4"/>
        <v>#DIV/0!</v>
      </c>
      <c r="K19" s="80" t="e">
        <f t="shared" si="5"/>
        <v>#DIV/0!</v>
      </c>
      <c r="L19" s="42" t="e">
        <f t="shared" si="13"/>
        <v>#DIV/0!</v>
      </c>
      <c r="M19" s="28"/>
      <c r="N19" s="75" t="e">
        <f t="shared" si="6"/>
        <v>#DIV/0!</v>
      </c>
      <c r="O19" s="75" t="e">
        <f t="shared" si="14"/>
        <v>#DIV/0!</v>
      </c>
      <c r="P19" s="109" t="e">
        <f t="shared" si="15"/>
        <v>#DIV/0!</v>
      </c>
      <c r="R19" s="84"/>
      <c r="S19" s="84"/>
      <c r="T19" s="111" t="e">
        <f t="shared" si="17"/>
        <v>#DIV/0!</v>
      </c>
      <c r="U19" s="111" t="e">
        <f t="shared" si="17"/>
        <v>#DIV/0!</v>
      </c>
    </row>
    <row r="20" spans="1:21">
      <c r="A20" s="88" t="s">
        <v>60</v>
      </c>
      <c r="B20" s="8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R20" s="84"/>
      <c r="S20" s="84"/>
      <c r="T20" s="111" t="e">
        <f t="shared" si="17"/>
        <v>#DIV/0!</v>
      </c>
      <c r="U20" s="111" t="e">
        <f t="shared" si="17"/>
        <v>#DIV/0!</v>
      </c>
    </row>
    <row r="21" spans="1:21">
      <c r="A21" s="26" t="s">
        <v>11</v>
      </c>
      <c r="B21" s="26" t="s">
        <v>13</v>
      </c>
      <c r="C21" s="26" t="s">
        <v>22</v>
      </c>
      <c r="D21" s="26" t="s">
        <v>18</v>
      </c>
      <c r="E21" s="26" t="s">
        <v>19</v>
      </c>
      <c r="F21" s="26" t="s">
        <v>20</v>
      </c>
      <c r="G21" s="26" t="s">
        <v>2</v>
      </c>
      <c r="H21" s="26" t="s">
        <v>1</v>
      </c>
      <c r="I21" s="26" t="s">
        <v>0</v>
      </c>
      <c r="J21" s="76" t="s">
        <v>3</v>
      </c>
      <c r="K21" s="76" t="s">
        <v>4</v>
      </c>
      <c r="L21" s="44" t="s">
        <v>7</v>
      </c>
      <c r="M21" s="44" t="s">
        <v>24</v>
      </c>
      <c r="N21" s="28"/>
      <c r="O21" s="28"/>
      <c r="P21" s="31"/>
      <c r="Q21" s="84"/>
      <c r="R21" s="84"/>
      <c r="S21" s="84"/>
      <c r="T21" s="101" t="e">
        <f>H103</f>
        <v>#DIV/0!</v>
      </c>
      <c r="U21" s="101" t="e">
        <f>I103</f>
        <v>#DIV/0!</v>
      </c>
    </row>
    <row r="22" spans="1:21">
      <c r="A22" s="20">
        <f>$E$6</f>
        <v>1.3859076624425977</v>
      </c>
      <c r="B22" s="23">
        <f t="shared" ref="B22:B27" si="18">COS(A22)</f>
        <v>0.18383709654408828</v>
      </c>
      <c r="C22" s="23">
        <f t="shared" ref="C22:C27" si="19">($C$6+B22)</f>
        <v>6.96420035567344</v>
      </c>
      <c r="D22" s="23">
        <f t="shared" ref="D22:D27" si="20">POWER(TAN(A22/2),$C$6)</f>
        <v>0.28342261226772447</v>
      </c>
      <c r="E22" s="23">
        <f t="shared" ref="E22:E27" si="21">SIN(A22)</f>
        <v>0.98295672434458659</v>
      </c>
      <c r="F22" s="71">
        <f t="shared" ref="F22:F27" si="22">(C22*$H$6*D22/E22/$I$6/$J$6)</f>
        <v>1</v>
      </c>
      <c r="G22" s="71">
        <f t="shared" ref="G22:G27" si="23">$D$6*($C$6+$G$6)/9.81/SIN($C$3)/(1-$C$6*$C$6)*(F22-1)</f>
        <v>0</v>
      </c>
      <c r="H22" s="80">
        <f t="shared" ref="H22:H27" si="24">-(-$H$3+$K$6*((POWER(TAN(A22/2),2*$C$6-1)/(2*$C$6-1))+(POWER(TAN(A22/2),2*$C$6+1)/(2*$C$6+1))-(POWER(TAN($E$6/2),2*$C$6-1)/(2*$C$6-1))-(POWER(TAN($E$6/2),2*$C$6+1)/(2*$C$6+1))))</f>
        <v>4</v>
      </c>
      <c r="I22" s="80">
        <f t="shared" ref="I22:I27" si="25">-(-$I$3+0.5*$K$6*((POWER(TAN(A22/2),2*$C$6-2)/(2*$C$6-2))-(POWER(TAN(A22/2),2*$C$6+2)/(2*$C$6+2))-(POWER(TAN($E$6/2),2*$C$6-2)/(2*$C$6-2))+(POWER(TAN($E$6/2),2*$C$6+2)/(2*$C$6+2))))</f>
        <v>2</v>
      </c>
      <c r="J22" s="71">
        <f t="shared" ref="J22:J27" si="26">-$D$6*SIN(A22)*($C$6+$G$6)/($C$6+B22)*F22</f>
        <v>-2.2349999999999999</v>
      </c>
      <c r="K22" s="71">
        <f t="shared" ref="K22:K27" si="27">-$D$6*COS(A22)*($C$6+$G$6)/($C$6+B22)*F22</f>
        <v>-0.41800000000000009</v>
      </c>
      <c r="L22" s="72">
        <f t="shared" ref="L22:L27" si="28">SQRT(J22*J22+K22*K22)</f>
        <v>2.2737521852655798</v>
      </c>
      <c r="M22" s="73">
        <f>-K22/J22*H22+I22</f>
        <v>1.2519015659955255</v>
      </c>
      <c r="N22" s="28"/>
      <c r="O22" s="28"/>
      <c r="P22" s="31"/>
      <c r="Q22" s="84"/>
      <c r="R22" s="84"/>
      <c r="S22" s="84"/>
      <c r="T22" s="101" t="e">
        <f t="shared" ref="T22:U26" si="29">H104</f>
        <v>#DIV/0!</v>
      </c>
      <c r="U22" s="101" t="e">
        <f t="shared" si="29"/>
        <v>#DIV/0!</v>
      </c>
    </row>
    <row r="23" spans="1:21">
      <c r="A23" s="20" t="e">
        <f>A22-$F$6</f>
        <v>#DIV/0!</v>
      </c>
      <c r="B23" s="23" t="e">
        <f t="shared" si="18"/>
        <v>#DIV/0!</v>
      </c>
      <c r="C23" s="23" t="e">
        <f t="shared" si="19"/>
        <v>#DIV/0!</v>
      </c>
      <c r="D23" s="23" t="e">
        <f t="shared" si="20"/>
        <v>#DIV/0!</v>
      </c>
      <c r="E23" s="23" t="e">
        <f t="shared" si="21"/>
        <v>#DIV/0!</v>
      </c>
      <c r="F23" s="71" t="e">
        <f t="shared" si="22"/>
        <v>#DIV/0!</v>
      </c>
      <c r="G23" s="71" t="e">
        <f t="shared" si="23"/>
        <v>#DIV/0!</v>
      </c>
      <c r="H23" s="81" t="e">
        <f t="shared" si="24"/>
        <v>#DIV/0!</v>
      </c>
      <c r="I23" s="81" t="e">
        <f t="shared" si="25"/>
        <v>#DIV/0!</v>
      </c>
      <c r="J23" s="71" t="e">
        <f t="shared" si="26"/>
        <v>#DIV/0!</v>
      </c>
      <c r="K23" s="71" t="e">
        <f t="shared" si="27"/>
        <v>#DIV/0!</v>
      </c>
      <c r="L23" s="42" t="e">
        <f t="shared" si="28"/>
        <v>#DIV/0!</v>
      </c>
      <c r="M23" s="45"/>
      <c r="N23" s="28"/>
      <c r="O23" s="28"/>
      <c r="P23" s="31"/>
      <c r="Q23" s="84"/>
      <c r="R23" s="84"/>
      <c r="S23" s="84"/>
      <c r="T23" s="101" t="e">
        <f t="shared" si="29"/>
        <v>#DIV/0!</v>
      </c>
      <c r="U23" s="101" t="e">
        <f t="shared" si="29"/>
        <v>#DIV/0!</v>
      </c>
    </row>
    <row r="24" spans="1:21">
      <c r="A24" s="20" t="e">
        <f>A23-$F$6</f>
        <v>#DIV/0!</v>
      </c>
      <c r="B24" s="23" t="e">
        <f t="shared" si="18"/>
        <v>#DIV/0!</v>
      </c>
      <c r="C24" s="23" t="e">
        <f t="shared" si="19"/>
        <v>#DIV/0!</v>
      </c>
      <c r="D24" s="23" t="e">
        <f t="shared" si="20"/>
        <v>#DIV/0!</v>
      </c>
      <c r="E24" s="23" t="e">
        <f t="shared" si="21"/>
        <v>#DIV/0!</v>
      </c>
      <c r="F24" s="71" t="e">
        <f t="shared" si="22"/>
        <v>#DIV/0!</v>
      </c>
      <c r="G24" s="71" t="e">
        <f t="shared" si="23"/>
        <v>#DIV/0!</v>
      </c>
      <c r="H24" s="81" t="e">
        <f t="shared" si="24"/>
        <v>#DIV/0!</v>
      </c>
      <c r="I24" s="81" t="e">
        <f t="shared" si="25"/>
        <v>#DIV/0!</v>
      </c>
      <c r="J24" s="71" t="e">
        <f t="shared" si="26"/>
        <v>#DIV/0!</v>
      </c>
      <c r="K24" s="71" t="e">
        <f t="shared" si="27"/>
        <v>#DIV/0!</v>
      </c>
      <c r="L24" s="42" t="e">
        <f t="shared" si="28"/>
        <v>#DIV/0!</v>
      </c>
      <c r="M24" s="45"/>
      <c r="N24" s="28"/>
      <c r="O24" s="28"/>
      <c r="P24" s="28"/>
      <c r="Q24" s="84"/>
      <c r="R24" s="85"/>
      <c r="S24" s="85"/>
      <c r="T24" s="101" t="e">
        <f t="shared" si="29"/>
        <v>#DIV/0!</v>
      </c>
      <c r="U24" s="101" t="e">
        <f t="shared" si="29"/>
        <v>#DIV/0!</v>
      </c>
    </row>
    <row r="25" spans="1:21">
      <c r="A25" s="20" t="e">
        <f>A24-$F$6</f>
        <v>#DIV/0!</v>
      </c>
      <c r="B25" s="23" t="e">
        <f t="shared" si="18"/>
        <v>#DIV/0!</v>
      </c>
      <c r="C25" s="23" t="e">
        <f t="shared" si="19"/>
        <v>#DIV/0!</v>
      </c>
      <c r="D25" s="23" t="e">
        <f t="shared" si="20"/>
        <v>#DIV/0!</v>
      </c>
      <c r="E25" s="23" t="e">
        <f t="shared" si="21"/>
        <v>#DIV/0!</v>
      </c>
      <c r="F25" s="71" t="e">
        <f t="shared" si="22"/>
        <v>#DIV/0!</v>
      </c>
      <c r="G25" s="71" t="e">
        <f t="shared" si="23"/>
        <v>#DIV/0!</v>
      </c>
      <c r="H25" s="81" t="e">
        <f t="shared" si="24"/>
        <v>#DIV/0!</v>
      </c>
      <c r="I25" s="81" t="e">
        <f t="shared" si="25"/>
        <v>#DIV/0!</v>
      </c>
      <c r="J25" s="71" t="e">
        <f t="shared" si="26"/>
        <v>#DIV/0!</v>
      </c>
      <c r="K25" s="71" t="e">
        <f t="shared" si="27"/>
        <v>#DIV/0!</v>
      </c>
      <c r="L25" s="42" t="e">
        <f t="shared" si="28"/>
        <v>#DIV/0!</v>
      </c>
      <c r="M25" s="45"/>
      <c r="N25" s="28"/>
      <c r="O25" s="28"/>
      <c r="P25" s="28"/>
      <c r="Q25" s="84"/>
      <c r="T25" s="101" t="e">
        <f t="shared" si="29"/>
        <v>#DIV/0!</v>
      </c>
      <c r="U25" s="101" t="e">
        <f t="shared" si="29"/>
        <v>#DIV/0!</v>
      </c>
    </row>
    <row r="26" spans="1:21">
      <c r="A26" s="20" t="e">
        <f>A25-$F$6</f>
        <v>#DIV/0!</v>
      </c>
      <c r="B26" s="23" t="e">
        <f t="shared" si="18"/>
        <v>#DIV/0!</v>
      </c>
      <c r="C26" s="23" t="e">
        <f t="shared" si="19"/>
        <v>#DIV/0!</v>
      </c>
      <c r="D26" s="23" t="e">
        <f t="shared" si="20"/>
        <v>#DIV/0!</v>
      </c>
      <c r="E26" s="23" t="e">
        <f t="shared" si="21"/>
        <v>#DIV/0!</v>
      </c>
      <c r="F26" s="71" t="e">
        <f t="shared" si="22"/>
        <v>#DIV/0!</v>
      </c>
      <c r="G26" s="71" t="e">
        <f t="shared" si="23"/>
        <v>#DIV/0!</v>
      </c>
      <c r="H26" s="81" t="e">
        <f t="shared" si="24"/>
        <v>#DIV/0!</v>
      </c>
      <c r="I26" s="81" t="e">
        <f t="shared" si="25"/>
        <v>#DIV/0!</v>
      </c>
      <c r="J26" s="71" t="e">
        <f t="shared" si="26"/>
        <v>#DIV/0!</v>
      </c>
      <c r="K26" s="71" t="e">
        <f t="shared" si="27"/>
        <v>#DIV/0!</v>
      </c>
      <c r="L26" s="42" t="e">
        <f t="shared" si="28"/>
        <v>#DIV/0!</v>
      </c>
      <c r="M26" s="45"/>
      <c r="N26" s="28"/>
      <c r="O26" s="28"/>
      <c r="P26" s="28"/>
      <c r="Q26" s="84"/>
      <c r="T26" s="101" t="e">
        <f t="shared" si="29"/>
        <v>#DIV/0!</v>
      </c>
      <c r="U26" s="101" t="e">
        <f t="shared" si="29"/>
        <v>#DIV/0!</v>
      </c>
    </row>
    <row r="27" spans="1:21">
      <c r="A27" s="20" t="e">
        <f>A26-$F$6</f>
        <v>#DIV/0!</v>
      </c>
      <c r="B27" s="23" t="e">
        <f t="shared" si="18"/>
        <v>#DIV/0!</v>
      </c>
      <c r="C27" s="23" t="e">
        <f t="shared" si="19"/>
        <v>#DIV/0!</v>
      </c>
      <c r="D27" s="23" t="e">
        <f t="shared" si="20"/>
        <v>#DIV/0!</v>
      </c>
      <c r="E27" s="23" t="e">
        <f t="shared" si="21"/>
        <v>#DIV/0!</v>
      </c>
      <c r="F27" s="71" t="e">
        <f t="shared" si="22"/>
        <v>#DIV/0!</v>
      </c>
      <c r="G27" s="71" t="e">
        <f t="shared" si="23"/>
        <v>#DIV/0!</v>
      </c>
      <c r="H27" s="81" t="e">
        <f t="shared" si="24"/>
        <v>#DIV/0!</v>
      </c>
      <c r="I27" s="81" t="e">
        <f t="shared" si="25"/>
        <v>#DIV/0!</v>
      </c>
      <c r="J27" s="71" t="e">
        <f t="shared" si="26"/>
        <v>#DIV/0!</v>
      </c>
      <c r="K27" s="71" t="e">
        <f t="shared" si="27"/>
        <v>#DIV/0!</v>
      </c>
      <c r="L27" s="42" t="e">
        <f t="shared" si="28"/>
        <v>#DIV/0!</v>
      </c>
      <c r="M27" s="45"/>
      <c r="N27" s="28"/>
      <c r="O27" s="28"/>
      <c r="P27" s="28"/>
      <c r="Q27" s="85"/>
      <c r="T27" s="110" t="e">
        <f>H119</f>
        <v>#DIV/0!</v>
      </c>
      <c r="U27" s="110" t="e">
        <f>I119</f>
        <v>#DIV/0!</v>
      </c>
    </row>
    <row r="28" spans="1:21">
      <c r="A28" s="142"/>
      <c r="B28" s="142"/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T28" s="110" t="e">
        <f t="shared" ref="T28:U39" si="30">H120</f>
        <v>#DIV/0!</v>
      </c>
      <c r="U28" s="110" t="e">
        <f t="shared" si="30"/>
        <v>#DIV/0!</v>
      </c>
    </row>
    <row r="29" spans="1:21">
      <c r="A29" s="88" t="s">
        <v>73</v>
      </c>
      <c r="B29" s="88"/>
      <c r="C29" s="23" t="str">
        <f>CONCATENATE("m",Stufengrün!R49)</f>
        <v>m1</v>
      </c>
      <c r="D29" s="23" t="s">
        <v>30</v>
      </c>
      <c r="E29" s="28"/>
      <c r="F29" s="28"/>
      <c r="G29" s="28"/>
      <c r="H29" s="36" t="s">
        <v>57</v>
      </c>
      <c r="I29" s="36" t="s">
        <v>51</v>
      </c>
      <c r="J29" s="36" t="s">
        <v>58</v>
      </c>
      <c r="K29" s="36" t="s">
        <v>59</v>
      </c>
      <c r="L29" s="28"/>
      <c r="M29" s="28"/>
      <c r="N29" s="28"/>
      <c r="O29" s="28"/>
      <c r="P29" s="28"/>
      <c r="T29" s="110" t="e">
        <f t="shared" si="30"/>
        <v>#DIV/0!</v>
      </c>
      <c r="U29" s="110" t="e">
        <f t="shared" si="30"/>
        <v>#DIV/0!</v>
      </c>
    </row>
    <row r="30" spans="1:21">
      <c r="A30" s="88" t="s">
        <v>69</v>
      </c>
      <c r="B30" s="88"/>
      <c r="C30" s="36">
        <f>Stufengrün!S49</f>
        <v>0.14505155745746634</v>
      </c>
      <c r="D30" s="26">
        <f>Stufengrün!U48</f>
        <v>0.22653102238502199</v>
      </c>
      <c r="E30" s="28"/>
      <c r="F30" s="28"/>
      <c r="G30" s="28"/>
      <c r="H30" s="78" t="e">
        <f>H19</f>
        <v>#DIV/0!</v>
      </c>
      <c r="I30" s="78" t="e">
        <f>I19</f>
        <v>#DIV/0!</v>
      </c>
      <c r="J30" s="78" t="e">
        <f>J19</f>
        <v>#DIV/0!</v>
      </c>
      <c r="K30" s="78" t="e">
        <f>K19</f>
        <v>#DIV/0!</v>
      </c>
      <c r="L30" s="28"/>
      <c r="M30" s="28"/>
      <c r="N30" s="28"/>
      <c r="O30" s="28"/>
      <c r="P30" s="28"/>
      <c r="T30" s="110" t="e">
        <f t="shared" si="30"/>
        <v>#DIV/0!</v>
      </c>
      <c r="U30" s="110" t="e">
        <f t="shared" si="30"/>
        <v>#DIV/0!</v>
      </c>
    </row>
    <row r="31" spans="1:21">
      <c r="A31" s="95"/>
      <c r="B31" s="95"/>
      <c r="C31" s="28"/>
      <c r="D31" s="28"/>
      <c r="E31" s="28"/>
      <c r="F31" s="28"/>
      <c r="G31" s="28"/>
      <c r="H31" s="37" t="s">
        <v>8</v>
      </c>
      <c r="I31" s="37" t="s">
        <v>8</v>
      </c>
      <c r="J31" s="37" t="s">
        <v>9</v>
      </c>
      <c r="K31" s="37" t="s">
        <v>9</v>
      </c>
      <c r="L31" s="28"/>
      <c r="M31" s="28"/>
      <c r="N31" s="28"/>
      <c r="O31" s="28"/>
      <c r="P31" s="28"/>
      <c r="T31" s="110" t="e">
        <f t="shared" si="30"/>
        <v>#DIV/0!</v>
      </c>
      <c r="U31" s="110" t="e">
        <f t="shared" si="30"/>
        <v>#DIV/0!</v>
      </c>
    </row>
    <row r="32" spans="1:21">
      <c r="A32" s="88" t="s">
        <v>68</v>
      </c>
      <c r="B32" s="88"/>
      <c r="C32" s="26" t="s">
        <v>15</v>
      </c>
      <c r="D32" s="26" t="s">
        <v>55</v>
      </c>
      <c r="E32" s="26" t="s">
        <v>12</v>
      </c>
      <c r="F32" s="26" t="s">
        <v>10</v>
      </c>
      <c r="G32" s="26" t="s">
        <v>14</v>
      </c>
      <c r="H32" s="26" t="s">
        <v>21</v>
      </c>
      <c r="I32" s="26" t="s">
        <v>16</v>
      </c>
      <c r="J32" s="26" t="s">
        <v>17</v>
      </c>
      <c r="K32" s="26" t="s">
        <v>23</v>
      </c>
      <c r="L32" s="28"/>
      <c r="M32" s="28"/>
      <c r="N32" s="28"/>
      <c r="O32" s="28"/>
      <c r="P32" s="28"/>
      <c r="T32" s="110" t="e">
        <f t="shared" si="30"/>
        <v>#DIV/0!</v>
      </c>
      <c r="U32" s="110" t="e">
        <f t="shared" si="30"/>
        <v>#DIV/0!</v>
      </c>
    </row>
    <row r="33" spans="1:49">
      <c r="A33" s="28"/>
      <c r="B33" s="28"/>
      <c r="C33" s="23">
        <f>Mü/TAN($C30)</f>
        <v>0.47919773462141801</v>
      </c>
      <c r="D33" s="42" t="e">
        <f>SQRT($J30*$J30+$K30*$K30)</f>
        <v>#DIV/0!</v>
      </c>
      <c r="E33" s="20" t="e">
        <f>ATAN($J30/$K30)</f>
        <v>#DIV/0!</v>
      </c>
      <c r="F33" s="23" t="e">
        <f>($E33-A46-0.0001)/5</f>
        <v>#DIV/0!</v>
      </c>
      <c r="G33" s="23" t="e">
        <f>COS($E33)</f>
        <v>#DIV/0!</v>
      </c>
      <c r="H33" s="23" t="e">
        <f>SIN($E33)</f>
        <v>#DIV/0!</v>
      </c>
      <c r="I33" s="23" t="e">
        <f>$C33+$G33</f>
        <v>#DIV/0!</v>
      </c>
      <c r="J33" s="23" t="e">
        <f>POWER(TAN($E33/2),$C33)</f>
        <v>#DIV/0!</v>
      </c>
      <c r="K33" s="23" t="e">
        <f>-$D33*$D33*SIN($E33)*SIN($E33)/(2*9.81*SIN($C30)*POWER(TAN($E33/2),2*$C33))</f>
        <v>#DIV/0!</v>
      </c>
      <c r="L33" s="28"/>
      <c r="M33" s="28"/>
      <c r="N33" s="28"/>
      <c r="O33" s="28"/>
      <c r="P33" s="28"/>
      <c r="T33" s="110" t="e">
        <f t="shared" si="30"/>
        <v>#DIV/0!</v>
      </c>
      <c r="U33" s="110" t="e">
        <f t="shared" si="30"/>
        <v>#DIV/0!</v>
      </c>
    </row>
    <row r="34" spans="1:49">
      <c r="A34" s="88" t="s">
        <v>70</v>
      </c>
      <c r="B34" s="8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45"/>
      <c r="N34" s="28"/>
      <c r="O34" s="28"/>
      <c r="P34" s="28"/>
      <c r="T34" s="110" t="e">
        <f t="shared" si="30"/>
        <v>#DIV/0!</v>
      </c>
      <c r="U34" s="110" t="e">
        <f t="shared" si="30"/>
        <v>#DIV/0!</v>
      </c>
      <c r="AU34" s="79" t="s">
        <v>65</v>
      </c>
      <c r="AV34" s="79" t="s">
        <v>66</v>
      </c>
      <c r="AW34" s="79" t="s">
        <v>67</v>
      </c>
    </row>
    <row r="35" spans="1:49">
      <c r="A35" s="26" t="s">
        <v>11</v>
      </c>
      <c r="B35" s="26" t="s">
        <v>13</v>
      </c>
      <c r="C35" s="26" t="s">
        <v>22</v>
      </c>
      <c r="D35" s="26" t="s">
        <v>18</v>
      </c>
      <c r="E35" s="26" t="s">
        <v>19</v>
      </c>
      <c r="F35" s="26" t="s">
        <v>20</v>
      </c>
      <c r="G35" s="26" t="s">
        <v>2</v>
      </c>
      <c r="H35" s="26" t="s">
        <v>65</v>
      </c>
      <c r="I35" s="26" t="s">
        <v>66</v>
      </c>
      <c r="J35" s="76" t="s">
        <v>3</v>
      </c>
      <c r="K35" s="76" t="s">
        <v>4</v>
      </c>
      <c r="L35" s="44" t="s">
        <v>7</v>
      </c>
      <c r="M35" s="93"/>
      <c r="N35" s="26" t="s">
        <v>61</v>
      </c>
      <c r="O35" s="26" t="s">
        <v>62</v>
      </c>
      <c r="P35" s="23" t="s">
        <v>63</v>
      </c>
      <c r="T35" s="110" t="e">
        <f t="shared" si="30"/>
        <v>#DIV/0!</v>
      </c>
      <c r="U35" s="110" t="e">
        <f t="shared" si="30"/>
        <v>#DIV/0!</v>
      </c>
      <c r="W35" s="54" t="s">
        <v>87</v>
      </c>
      <c r="X35" s="28"/>
      <c r="Y35" s="28"/>
      <c r="Z35" s="28"/>
      <c r="AA35" s="183" t="s">
        <v>73</v>
      </c>
      <c r="AB35" s="23" t="str">
        <f>C2</f>
        <v>m2</v>
      </c>
      <c r="AC35" s="26" t="str">
        <f>C29</f>
        <v>m1</v>
      </c>
      <c r="AD35" s="26" t="str">
        <f>C56</f>
        <v>m0</v>
      </c>
      <c r="AE35" s="23" t="str">
        <f>C83</f>
        <v>m-1</v>
      </c>
      <c r="AF35" s="23" t="str">
        <f>C110</f>
        <v>m-2</v>
      </c>
      <c r="AU35" s="78" t="e">
        <f>H149</f>
        <v>#DIV/0!</v>
      </c>
      <c r="AV35" s="78" t="e">
        <f>I149</f>
        <v>#DIV/0!</v>
      </c>
      <c r="AW35" s="79" t="e">
        <f>SQRT(POWER(AU35,2)+(POWER(AV35-$M$3,2)))</f>
        <v>#DIV/0!</v>
      </c>
    </row>
    <row r="36" spans="1:49">
      <c r="A36" s="19" t="e">
        <f>$E33</f>
        <v>#DIV/0!</v>
      </c>
      <c r="B36" s="26" t="e">
        <f>COS(A36)</f>
        <v>#DIV/0!</v>
      </c>
      <c r="C36" s="26" t="e">
        <f t="shared" ref="C36:C46" si="31">($C$33+B36)</f>
        <v>#DIV/0!</v>
      </c>
      <c r="D36" s="26" t="e">
        <f t="shared" ref="D36:D46" si="32">POWER(TAN(A36/2),$C$33)</f>
        <v>#DIV/0!</v>
      </c>
      <c r="E36" s="26" t="e">
        <f>SIN(A36)</f>
        <v>#DIV/0!</v>
      </c>
      <c r="F36" s="77" t="e">
        <f t="shared" ref="F36:F46" si="33">(C36*$H$33*D36/E36/$I$33/$J$33)</f>
        <v>#DIV/0!</v>
      </c>
      <c r="G36" s="77" t="e">
        <f t="shared" ref="G36:G46" si="34">$D$33*($C$33+$G$33)/9.81/SIN($C$30)/(1-$C$33*$C$33)*(F36-1)</f>
        <v>#DIV/0!</v>
      </c>
      <c r="H36" s="75" t="e">
        <f t="shared" ref="H36:H46" si="35">-(-$H$30+$K$33*((POWER(TAN(A36/2),2*$C$33-1)/(2*$C$33-1))+(POWER(TAN(A36/2),2*$C$33+1)/(2*$C$33+1))-(POWER(TAN($E$33/2),2*$C$33-1)/(2*$C$33-1))-(POWER(TAN($E$33/2),2*$C$33+1)/(2*$C$33+1))))</f>
        <v>#DIV/0!</v>
      </c>
      <c r="I36" s="75" t="e">
        <f t="shared" ref="I36:I46" si="36">-(-$I$30+0.5*$K$33*((POWER(TAN(A36/2),2*$C$33-2)/(2*$C$33-2))-(POWER(TAN(A36/2),2*$C$33+2)/(2*$C$33+2))-(POWER(TAN($E$33/2),2*$C$33-2)/(2*$C$33-2))+(POWER(TAN($E$33/2),2*$C$33+2)/(2*$C$33+2))))</f>
        <v>#DIV/0!</v>
      </c>
      <c r="J36" s="77" t="e">
        <f t="shared" ref="J36:J46" si="37">-$D$33*SIN(A36)*($C$33+$G$33)/($C$33+B36)*F36</f>
        <v>#DIV/0!</v>
      </c>
      <c r="K36" s="77" t="e">
        <f t="shared" ref="K36:K46" si="38">-$D$33*COS(A36)*($C$33+$G$33)/($C$33+B36)*F36</f>
        <v>#DIV/0!</v>
      </c>
      <c r="L36" s="91" t="e">
        <f>SQRT(J36*J36+K36*K36)</f>
        <v>#DIV/0!</v>
      </c>
      <c r="M36" s="93"/>
      <c r="N36" s="75" t="e">
        <f t="shared" ref="N36:N46" si="39">-(-$I$30+0.5*$K$33*((POWER(TAN(A36/2),2*$C$33-2)/(2*$C$33-2))-(POWER(TAN(A36/2),2*$C$33+2)/(2*$C$33+2))-(POWER(TAN($E$33/2),2*$C$33-2)/(2*$C$33-2))+(POWER(TAN($E$33/2),2*$C$33+2)/(2*$C$33+2))))-$D$30</f>
        <v>#DIV/0!</v>
      </c>
      <c r="O36" s="75" t="e">
        <f>-(-$I$30+0.5*$K$33*((POWER(TAN((A36+$M$9)/2),2*$C$33-2)/(2*$C$33-2))-(POWER(TAN((A36+$M$9)/2),2*$C$33+2)/(2*$C$33+2))-(POWER(TAN($E$33/2),2*$C$33-2)/(2*$C$33-2))+(POWER(TAN($E$33/2),2*$C$33+2)/(2*$C$33+2))))-$D$30</f>
        <v>#DIV/0!</v>
      </c>
      <c r="P36" s="109" t="e">
        <f>IF(A36-N36/(O36-N36)*$M$9&lt;0,A36*0.5,A36-N36/(O36-N36)*$M$9)</f>
        <v>#DIV/0!</v>
      </c>
      <c r="Q36" s="18" t="s">
        <v>106</v>
      </c>
      <c r="T36" s="110" t="e">
        <f t="shared" si="30"/>
        <v>#DIV/0!</v>
      </c>
      <c r="U36" s="110" t="e">
        <f t="shared" si="30"/>
        <v>#DIV/0!</v>
      </c>
      <c r="W36" s="28"/>
      <c r="X36" s="28"/>
      <c r="Y36" s="28"/>
      <c r="Z36" s="28"/>
      <c r="AA36" s="28"/>
      <c r="AB36" s="20" t="e">
        <f>N19</f>
        <v>#DIV/0!</v>
      </c>
      <c r="AC36" s="20" t="e">
        <f>N46</f>
        <v>#DIV/0!</v>
      </c>
      <c r="AD36" s="20" t="e">
        <f>N73</f>
        <v>#DIV/0!</v>
      </c>
      <c r="AE36" s="20" t="e">
        <f>N100</f>
        <v>#DIV/0!</v>
      </c>
      <c r="AU36" s="219" t="s">
        <v>107</v>
      </c>
      <c r="AV36" s="218"/>
      <c r="AW36" s="42">
        <v>4.3600000000000003</v>
      </c>
    </row>
    <row r="37" spans="1:49">
      <c r="A37" s="19" t="e">
        <f>P36</f>
        <v>#DIV/0!</v>
      </c>
      <c r="B37" s="26" t="e">
        <f>COS(A37)</f>
        <v>#DIV/0!</v>
      </c>
      <c r="C37" s="26" t="e">
        <f t="shared" si="31"/>
        <v>#DIV/0!</v>
      </c>
      <c r="D37" s="26" t="e">
        <f t="shared" si="32"/>
        <v>#DIV/0!</v>
      </c>
      <c r="E37" s="26" t="e">
        <f>SIN(A37)</f>
        <v>#DIV/0!</v>
      </c>
      <c r="F37" s="77" t="e">
        <f t="shared" si="33"/>
        <v>#DIV/0!</v>
      </c>
      <c r="G37" s="77" t="e">
        <f t="shared" si="34"/>
        <v>#DIV/0!</v>
      </c>
      <c r="H37" s="75" t="e">
        <f t="shared" si="35"/>
        <v>#DIV/0!</v>
      </c>
      <c r="I37" s="75" t="e">
        <f t="shared" si="36"/>
        <v>#DIV/0!</v>
      </c>
      <c r="J37" s="77" t="e">
        <f t="shared" si="37"/>
        <v>#DIV/0!</v>
      </c>
      <c r="K37" s="77" t="e">
        <f t="shared" si="38"/>
        <v>#DIV/0!</v>
      </c>
      <c r="L37" s="91" t="e">
        <f>SQRT(J37*J37+K37*K37)</f>
        <v>#DIV/0!</v>
      </c>
      <c r="M37" s="93"/>
      <c r="N37" s="75" t="e">
        <f t="shared" si="39"/>
        <v>#DIV/0!</v>
      </c>
      <c r="O37" s="75" t="e">
        <f t="shared" ref="O37:O46" si="40">-(-$I$30+0.5*$K$33*((POWER(TAN((A37+$M$9)/2),2*$C$33-2)/(2*$C$33-2))-(POWER(TAN((A37+$M$9)/2),2*$C$33+2)/(2*$C$33+2))-(POWER(TAN($E$33/2),2*$C$33-2)/(2*$C$33-2))+(POWER(TAN($E$33/2),2*$C$33+2)/(2*$C$33+2))))-$D$30</f>
        <v>#DIV/0!</v>
      </c>
      <c r="P37" s="109" t="e">
        <f t="shared" ref="P37:P46" si="41">IF(A37-N37/(O37-N37)*$M$9&lt;0,A37*0.5,A37-N37/(O37-N37)*$M$9)</f>
        <v>#DIV/0!</v>
      </c>
      <c r="T37" s="110" t="e">
        <f t="shared" si="30"/>
        <v>#DIV/0!</v>
      </c>
      <c r="U37" s="110" t="e">
        <f t="shared" si="30"/>
        <v>#DIV/0!</v>
      </c>
      <c r="AU37" s="219" t="s">
        <v>108</v>
      </c>
      <c r="AV37" s="218"/>
      <c r="AW37" s="42">
        <v>1.35</v>
      </c>
    </row>
    <row r="38" spans="1:49">
      <c r="A38" s="19" t="e">
        <f t="shared" ref="A38:A46" si="42">P37</f>
        <v>#DIV/0!</v>
      </c>
      <c r="B38" s="26" t="e">
        <f t="shared" ref="B38:B46" si="43">COS(A38)</f>
        <v>#DIV/0!</v>
      </c>
      <c r="C38" s="26" t="e">
        <f t="shared" si="31"/>
        <v>#DIV/0!</v>
      </c>
      <c r="D38" s="26" t="e">
        <f t="shared" si="32"/>
        <v>#DIV/0!</v>
      </c>
      <c r="E38" s="26" t="e">
        <f t="shared" ref="E38:E46" si="44">SIN(A38)</f>
        <v>#DIV/0!</v>
      </c>
      <c r="F38" s="77" t="e">
        <f t="shared" si="33"/>
        <v>#DIV/0!</v>
      </c>
      <c r="G38" s="77" t="e">
        <f t="shared" si="34"/>
        <v>#DIV/0!</v>
      </c>
      <c r="H38" s="75" t="e">
        <f t="shared" si="35"/>
        <v>#DIV/0!</v>
      </c>
      <c r="I38" s="75" t="e">
        <f t="shared" si="36"/>
        <v>#DIV/0!</v>
      </c>
      <c r="J38" s="77" t="e">
        <f t="shared" si="37"/>
        <v>#DIV/0!</v>
      </c>
      <c r="K38" s="77" t="e">
        <f t="shared" si="38"/>
        <v>#DIV/0!</v>
      </c>
      <c r="L38" s="91" t="e">
        <f t="shared" ref="L38:L46" si="45">SQRT(J38*J38+K38*K38)</f>
        <v>#DIV/0!</v>
      </c>
      <c r="M38" s="93"/>
      <c r="N38" s="75" t="e">
        <f t="shared" si="39"/>
        <v>#DIV/0!</v>
      </c>
      <c r="O38" s="75" t="e">
        <f t="shared" si="40"/>
        <v>#DIV/0!</v>
      </c>
      <c r="P38" s="109" t="e">
        <f t="shared" si="41"/>
        <v>#DIV/0!</v>
      </c>
      <c r="T38" s="110" t="e">
        <f t="shared" si="30"/>
        <v>#DIV/0!</v>
      </c>
      <c r="U38" s="110" t="e">
        <f t="shared" si="30"/>
        <v>#DIV/0!</v>
      </c>
    </row>
    <row r="39" spans="1:49">
      <c r="A39" s="19" t="e">
        <f t="shared" si="42"/>
        <v>#DIV/0!</v>
      </c>
      <c r="B39" s="26" t="e">
        <f t="shared" si="43"/>
        <v>#DIV/0!</v>
      </c>
      <c r="C39" s="26" t="e">
        <f t="shared" si="31"/>
        <v>#DIV/0!</v>
      </c>
      <c r="D39" s="26" t="e">
        <f t="shared" si="32"/>
        <v>#DIV/0!</v>
      </c>
      <c r="E39" s="26" t="e">
        <f t="shared" si="44"/>
        <v>#DIV/0!</v>
      </c>
      <c r="F39" s="77" t="e">
        <f t="shared" si="33"/>
        <v>#DIV/0!</v>
      </c>
      <c r="G39" s="77" t="e">
        <f t="shared" si="34"/>
        <v>#DIV/0!</v>
      </c>
      <c r="H39" s="75" t="e">
        <f t="shared" si="35"/>
        <v>#DIV/0!</v>
      </c>
      <c r="I39" s="75" t="e">
        <f t="shared" si="36"/>
        <v>#DIV/0!</v>
      </c>
      <c r="J39" s="77" t="e">
        <f t="shared" si="37"/>
        <v>#DIV/0!</v>
      </c>
      <c r="K39" s="77" t="e">
        <f t="shared" si="38"/>
        <v>#DIV/0!</v>
      </c>
      <c r="L39" s="91" t="e">
        <f t="shared" si="45"/>
        <v>#DIV/0!</v>
      </c>
      <c r="M39" s="93"/>
      <c r="N39" s="75" t="e">
        <f t="shared" si="39"/>
        <v>#DIV/0!</v>
      </c>
      <c r="O39" s="75" t="e">
        <f t="shared" si="40"/>
        <v>#DIV/0!</v>
      </c>
      <c r="P39" s="109" t="e">
        <f t="shared" si="41"/>
        <v>#DIV/0!</v>
      </c>
      <c r="T39" s="110" t="e">
        <f t="shared" si="30"/>
        <v>#DIV/0!</v>
      </c>
      <c r="U39" s="110" t="e">
        <f t="shared" si="30"/>
        <v>#DIV/0!</v>
      </c>
    </row>
    <row r="40" spans="1:49">
      <c r="A40" s="19" t="e">
        <f t="shared" si="42"/>
        <v>#DIV/0!</v>
      </c>
      <c r="B40" s="26" t="e">
        <f t="shared" si="43"/>
        <v>#DIV/0!</v>
      </c>
      <c r="C40" s="26" t="e">
        <f t="shared" si="31"/>
        <v>#DIV/0!</v>
      </c>
      <c r="D40" s="26" t="e">
        <f t="shared" si="32"/>
        <v>#DIV/0!</v>
      </c>
      <c r="E40" s="26" t="e">
        <f t="shared" si="44"/>
        <v>#DIV/0!</v>
      </c>
      <c r="F40" s="77" t="e">
        <f t="shared" si="33"/>
        <v>#DIV/0!</v>
      </c>
      <c r="G40" s="77" t="e">
        <f t="shared" si="34"/>
        <v>#DIV/0!</v>
      </c>
      <c r="H40" s="75" t="e">
        <f t="shared" si="35"/>
        <v>#DIV/0!</v>
      </c>
      <c r="I40" s="75" t="e">
        <f t="shared" si="36"/>
        <v>#DIV/0!</v>
      </c>
      <c r="J40" s="77" t="e">
        <f t="shared" si="37"/>
        <v>#DIV/0!</v>
      </c>
      <c r="K40" s="77" t="e">
        <f t="shared" si="38"/>
        <v>#DIV/0!</v>
      </c>
      <c r="L40" s="91" t="e">
        <f t="shared" si="45"/>
        <v>#DIV/0!</v>
      </c>
      <c r="M40" s="93"/>
      <c r="N40" s="75" t="e">
        <f t="shared" si="39"/>
        <v>#DIV/0!</v>
      </c>
      <c r="O40" s="75" t="e">
        <f t="shared" si="40"/>
        <v>#DIV/0!</v>
      </c>
      <c r="P40" s="109" t="e">
        <f t="shared" si="41"/>
        <v>#DIV/0!</v>
      </c>
      <c r="T40" s="112" t="e">
        <f>H149</f>
        <v>#DIV/0!</v>
      </c>
      <c r="U40" s="112" t="e">
        <f>I149</f>
        <v>#DIV/0!</v>
      </c>
    </row>
    <row r="41" spans="1:49">
      <c r="A41" s="19" t="e">
        <f t="shared" si="42"/>
        <v>#DIV/0!</v>
      </c>
      <c r="B41" s="26" t="e">
        <f t="shared" si="43"/>
        <v>#DIV/0!</v>
      </c>
      <c r="C41" s="26" t="e">
        <f t="shared" si="31"/>
        <v>#DIV/0!</v>
      </c>
      <c r="D41" s="26" t="e">
        <f t="shared" si="32"/>
        <v>#DIV/0!</v>
      </c>
      <c r="E41" s="26" t="e">
        <f t="shared" si="44"/>
        <v>#DIV/0!</v>
      </c>
      <c r="F41" s="77" t="e">
        <f t="shared" si="33"/>
        <v>#DIV/0!</v>
      </c>
      <c r="G41" s="77" t="e">
        <f t="shared" si="34"/>
        <v>#DIV/0!</v>
      </c>
      <c r="H41" s="75" t="e">
        <f t="shared" si="35"/>
        <v>#DIV/0!</v>
      </c>
      <c r="I41" s="75" t="e">
        <f t="shared" si="36"/>
        <v>#DIV/0!</v>
      </c>
      <c r="J41" s="77" t="e">
        <f t="shared" si="37"/>
        <v>#DIV/0!</v>
      </c>
      <c r="K41" s="77" t="e">
        <f t="shared" si="38"/>
        <v>#DIV/0!</v>
      </c>
      <c r="L41" s="91" t="e">
        <f t="shared" si="45"/>
        <v>#DIV/0!</v>
      </c>
      <c r="M41" s="93"/>
      <c r="N41" s="75" t="e">
        <f t="shared" si="39"/>
        <v>#DIV/0!</v>
      </c>
      <c r="O41" s="75" t="e">
        <f t="shared" si="40"/>
        <v>#DIV/0!</v>
      </c>
      <c r="P41" s="109" t="e">
        <f t="shared" si="41"/>
        <v>#DIV/0!</v>
      </c>
      <c r="W41" s="217" t="s">
        <v>172</v>
      </c>
      <c r="X41" s="217"/>
      <c r="Y41" t="s">
        <v>173</v>
      </c>
    </row>
    <row r="42" spans="1:49">
      <c r="A42" s="19" t="e">
        <f t="shared" si="42"/>
        <v>#DIV/0!</v>
      </c>
      <c r="B42" s="26" t="e">
        <f t="shared" si="43"/>
        <v>#DIV/0!</v>
      </c>
      <c r="C42" s="26" t="e">
        <f t="shared" si="31"/>
        <v>#DIV/0!</v>
      </c>
      <c r="D42" s="26" t="e">
        <f t="shared" si="32"/>
        <v>#DIV/0!</v>
      </c>
      <c r="E42" s="26" t="e">
        <f t="shared" si="44"/>
        <v>#DIV/0!</v>
      </c>
      <c r="F42" s="77" t="e">
        <f t="shared" si="33"/>
        <v>#DIV/0!</v>
      </c>
      <c r="G42" s="77" t="e">
        <f t="shared" si="34"/>
        <v>#DIV/0!</v>
      </c>
      <c r="H42" s="75" t="e">
        <f t="shared" si="35"/>
        <v>#DIV/0!</v>
      </c>
      <c r="I42" s="75" t="e">
        <f t="shared" si="36"/>
        <v>#DIV/0!</v>
      </c>
      <c r="J42" s="77" t="e">
        <f t="shared" si="37"/>
        <v>#DIV/0!</v>
      </c>
      <c r="K42" s="77" t="e">
        <f t="shared" si="38"/>
        <v>#DIV/0!</v>
      </c>
      <c r="L42" s="91" t="e">
        <f t="shared" si="45"/>
        <v>#DIV/0!</v>
      </c>
      <c r="M42" s="93"/>
      <c r="N42" s="75" t="e">
        <f t="shared" si="39"/>
        <v>#DIV/0!</v>
      </c>
      <c r="O42" s="75" t="e">
        <f t="shared" si="40"/>
        <v>#DIV/0!</v>
      </c>
      <c r="P42" s="109" t="e">
        <f t="shared" si="41"/>
        <v>#DIV/0!</v>
      </c>
      <c r="Y42" t="s">
        <v>174</v>
      </c>
    </row>
    <row r="43" spans="1:49">
      <c r="A43" s="19" t="e">
        <f t="shared" si="42"/>
        <v>#DIV/0!</v>
      </c>
      <c r="B43" s="26" t="e">
        <f t="shared" si="43"/>
        <v>#DIV/0!</v>
      </c>
      <c r="C43" s="26" t="e">
        <f t="shared" si="31"/>
        <v>#DIV/0!</v>
      </c>
      <c r="D43" s="26" t="e">
        <f t="shared" si="32"/>
        <v>#DIV/0!</v>
      </c>
      <c r="E43" s="26" t="e">
        <f t="shared" si="44"/>
        <v>#DIV/0!</v>
      </c>
      <c r="F43" s="77" t="e">
        <f t="shared" si="33"/>
        <v>#DIV/0!</v>
      </c>
      <c r="G43" s="77" t="e">
        <f t="shared" si="34"/>
        <v>#DIV/0!</v>
      </c>
      <c r="H43" s="75" t="e">
        <f t="shared" si="35"/>
        <v>#DIV/0!</v>
      </c>
      <c r="I43" s="75" t="e">
        <f t="shared" si="36"/>
        <v>#DIV/0!</v>
      </c>
      <c r="J43" s="77" t="e">
        <f t="shared" si="37"/>
        <v>#DIV/0!</v>
      </c>
      <c r="K43" s="77" t="e">
        <f t="shared" si="38"/>
        <v>#DIV/0!</v>
      </c>
      <c r="L43" s="91" t="e">
        <f t="shared" si="45"/>
        <v>#DIV/0!</v>
      </c>
      <c r="M43" s="93"/>
      <c r="N43" s="75" t="e">
        <f t="shared" si="39"/>
        <v>#DIV/0!</v>
      </c>
      <c r="O43" s="75" t="e">
        <f t="shared" si="40"/>
        <v>#DIV/0!</v>
      </c>
      <c r="P43" s="109" t="e">
        <f t="shared" si="41"/>
        <v>#DIV/0!</v>
      </c>
      <c r="Y43" t="s">
        <v>175</v>
      </c>
    </row>
    <row r="44" spans="1:49">
      <c r="A44" s="19" t="e">
        <f t="shared" si="42"/>
        <v>#DIV/0!</v>
      </c>
      <c r="B44" s="26" t="e">
        <f t="shared" si="43"/>
        <v>#DIV/0!</v>
      </c>
      <c r="C44" s="26" t="e">
        <f t="shared" si="31"/>
        <v>#DIV/0!</v>
      </c>
      <c r="D44" s="26" t="e">
        <f t="shared" si="32"/>
        <v>#DIV/0!</v>
      </c>
      <c r="E44" s="26" t="e">
        <f t="shared" si="44"/>
        <v>#DIV/0!</v>
      </c>
      <c r="F44" s="77" t="e">
        <f t="shared" si="33"/>
        <v>#DIV/0!</v>
      </c>
      <c r="G44" s="77" t="e">
        <f t="shared" si="34"/>
        <v>#DIV/0!</v>
      </c>
      <c r="H44" s="75" t="e">
        <f t="shared" si="35"/>
        <v>#DIV/0!</v>
      </c>
      <c r="I44" s="75" t="e">
        <f t="shared" si="36"/>
        <v>#DIV/0!</v>
      </c>
      <c r="J44" s="77" t="e">
        <f t="shared" si="37"/>
        <v>#DIV/0!</v>
      </c>
      <c r="K44" s="77" t="e">
        <f t="shared" si="38"/>
        <v>#DIV/0!</v>
      </c>
      <c r="L44" s="91" t="e">
        <f t="shared" si="45"/>
        <v>#DIV/0!</v>
      </c>
      <c r="M44" s="93"/>
      <c r="N44" s="75" t="e">
        <f t="shared" si="39"/>
        <v>#DIV/0!</v>
      </c>
      <c r="O44" s="75" t="e">
        <f t="shared" si="40"/>
        <v>#DIV/0!</v>
      </c>
      <c r="P44" s="109" t="e">
        <f t="shared" si="41"/>
        <v>#DIV/0!</v>
      </c>
    </row>
    <row r="45" spans="1:49">
      <c r="A45" s="19" t="e">
        <f t="shared" si="42"/>
        <v>#DIV/0!</v>
      </c>
      <c r="B45" s="26" t="e">
        <f t="shared" si="43"/>
        <v>#DIV/0!</v>
      </c>
      <c r="C45" s="26" t="e">
        <f t="shared" si="31"/>
        <v>#DIV/0!</v>
      </c>
      <c r="D45" s="26" t="e">
        <f t="shared" si="32"/>
        <v>#DIV/0!</v>
      </c>
      <c r="E45" s="26" t="e">
        <f t="shared" si="44"/>
        <v>#DIV/0!</v>
      </c>
      <c r="F45" s="77" t="e">
        <f t="shared" si="33"/>
        <v>#DIV/0!</v>
      </c>
      <c r="G45" s="77" t="e">
        <f t="shared" si="34"/>
        <v>#DIV/0!</v>
      </c>
      <c r="H45" s="75" t="e">
        <f t="shared" si="35"/>
        <v>#DIV/0!</v>
      </c>
      <c r="I45" s="75" t="e">
        <f t="shared" si="36"/>
        <v>#DIV/0!</v>
      </c>
      <c r="J45" s="77" t="e">
        <f t="shared" si="37"/>
        <v>#DIV/0!</v>
      </c>
      <c r="K45" s="77" t="e">
        <f t="shared" si="38"/>
        <v>#DIV/0!</v>
      </c>
      <c r="L45" s="91" t="e">
        <f t="shared" si="45"/>
        <v>#DIV/0!</v>
      </c>
      <c r="M45" s="93"/>
      <c r="N45" s="75" t="e">
        <f t="shared" si="39"/>
        <v>#DIV/0!</v>
      </c>
      <c r="O45" s="75" t="e">
        <f t="shared" si="40"/>
        <v>#DIV/0!</v>
      </c>
      <c r="P45" s="109" t="e">
        <f t="shared" si="41"/>
        <v>#DIV/0!</v>
      </c>
    </row>
    <row r="46" spans="1:49">
      <c r="A46" s="19" t="e">
        <f t="shared" si="42"/>
        <v>#DIV/0!</v>
      </c>
      <c r="B46" s="26" t="e">
        <f t="shared" si="43"/>
        <v>#DIV/0!</v>
      </c>
      <c r="C46" s="26" t="e">
        <f t="shared" si="31"/>
        <v>#DIV/0!</v>
      </c>
      <c r="D46" s="26" t="e">
        <f t="shared" si="32"/>
        <v>#DIV/0!</v>
      </c>
      <c r="E46" s="26" t="e">
        <f t="shared" si="44"/>
        <v>#DIV/0!</v>
      </c>
      <c r="F46" s="77" t="e">
        <f t="shared" si="33"/>
        <v>#DIV/0!</v>
      </c>
      <c r="G46" s="77" t="e">
        <f t="shared" si="34"/>
        <v>#DIV/0!</v>
      </c>
      <c r="H46" s="81" t="e">
        <f t="shared" si="35"/>
        <v>#DIV/0!</v>
      </c>
      <c r="I46" s="81" t="e">
        <f t="shared" si="36"/>
        <v>#DIV/0!</v>
      </c>
      <c r="J46" s="80" t="e">
        <f t="shared" si="37"/>
        <v>#DIV/0!</v>
      </c>
      <c r="K46" s="80" t="e">
        <f t="shared" si="38"/>
        <v>#DIV/0!</v>
      </c>
      <c r="L46" s="91" t="e">
        <f t="shared" si="45"/>
        <v>#DIV/0!</v>
      </c>
      <c r="M46" s="93"/>
      <c r="N46" s="75" t="e">
        <f t="shared" si="39"/>
        <v>#DIV/0!</v>
      </c>
      <c r="O46" s="75" t="e">
        <f t="shared" si="40"/>
        <v>#DIV/0!</v>
      </c>
      <c r="P46" s="109" t="e">
        <f t="shared" si="41"/>
        <v>#DIV/0!</v>
      </c>
    </row>
    <row r="47" spans="1:49">
      <c r="A47" s="88" t="s">
        <v>60</v>
      </c>
      <c r="B47" s="8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</row>
    <row r="48" spans="1:49">
      <c r="A48" s="26" t="s">
        <v>11</v>
      </c>
      <c r="B48" s="26" t="s">
        <v>13</v>
      </c>
      <c r="C48" s="26" t="s">
        <v>22</v>
      </c>
      <c r="D48" s="26" t="s">
        <v>18</v>
      </c>
      <c r="E48" s="26" t="s">
        <v>19</v>
      </c>
      <c r="F48" s="26" t="s">
        <v>20</v>
      </c>
      <c r="G48" s="26" t="s">
        <v>2</v>
      </c>
      <c r="H48" s="26" t="s">
        <v>1</v>
      </c>
      <c r="I48" s="26" t="s">
        <v>0</v>
      </c>
      <c r="J48" s="76" t="s">
        <v>3</v>
      </c>
      <c r="K48" s="76" t="s">
        <v>4</v>
      </c>
      <c r="L48" s="44" t="s">
        <v>7</v>
      </c>
      <c r="M48" s="28"/>
      <c r="N48" s="28"/>
      <c r="O48" s="28"/>
      <c r="P48" s="31"/>
    </row>
    <row r="49" spans="1:52">
      <c r="A49" s="19" t="e">
        <f>$E33</f>
        <v>#DIV/0!</v>
      </c>
      <c r="B49" s="26" t="e">
        <f t="shared" ref="B49:B54" si="46">COS(A49)</f>
        <v>#DIV/0!</v>
      </c>
      <c r="C49" s="26" t="e">
        <f t="shared" ref="C49:C54" si="47">($C$33+B49)</f>
        <v>#DIV/0!</v>
      </c>
      <c r="D49" s="26" t="e">
        <f t="shared" ref="D49:D54" si="48">POWER(TAN(A49/2),$C$33)</f>
        <v>#DIV/0!</v>
      </c>
      <c r="E49" s="26" t="e">
        <f t="shared" ref="E49:E54" si="49">SIN(A49)</f>
        <v>#DIV/0!</v>
      </c>
      <c r="F49" s="77" t="e">
        <f t="shared" ref="F49:F54" si="50">(C49*$H$33*D49/E49/$I$33/$J$33)</f>
        <v>#DIV/0!</v>
      </c>
      <c r="G49" s="77" t="e">
        <f t="shared" ref="G49:G54" si="51">$D$33*($C$33+$G$33)/9.81/SIN($C$30)/(1-$C$33*$C$33)*(F49-1)</f>
        <v>#DIV/0!</v>
      </c>
      <c r="H49" s="99" t="e">
        <f t="shared" ref="H49:H54" si="52">-(-$H$30+$K$33*((POWER(TAN(A49/2),2*$C$33-1)/(2*$C$33-1))+(POWER(TAN(A49/2),2*$C$33+1)/(2*$C$33+1))-(POWER(TAN($E$33/2),2*$C$33-1)/(2*$C$33-1))-(POWER(TAN($E$33/2),2*$C$33+1)/(2*$C$33+1))))</f>
        <v>#DIV/0!</v>
      </c>
      <c r="I49" s="99" t="e">
        <f t="shared" ref="I49:I54" si="53">-(-$I$30+0.5*$K$33*((POWER(TAN(A49/2),2*$C$33-2)/(2*$C$33-2))-(POWER(TAN(A49/2),2*$C$33+2)/(2*$C$33+2))-(POWER(TAN($E$33/2),2*$C$33-2)/(2*$C$33-2))+(POWER(TAN($E$33/2),2*$C$33+2)/(2*$C$33+2))))</f>
        <v>#DIV/0!</v>
      </c>
      <c r="J49" s="77" t="e">
        <f t="shared" ref="J49:J54" si="54">-$D$33*SIN(A49)*($C$33+$G$33)/($C$33+B49)*F49</f>
        <v>#DIV/0!</v>
      </c>
      <c r="K49" s="77" t="e">
        <f t="shared" ref="K49:K54" si="55">-$D$33*COS(A49)*($C$33+$G$33)/($C$33+B49)*F49</f>
        <v>#DIV/0!</v>
      </c>
      <c r="L49" s="91" t="e">
        <f t="shared" ref="L49:L54" si="56">SQRT(J49*J49+K49*K49)</f>
        <v>#DIV/0!</v>
      </c>
      <c r="M49" s="28"/>
      <c r="N49" s="28"/>
      <c r="O49" s="28"/>
      <c r="P49" s="31"/>
      <c r="Q49" s="28"/>
    </row>
    <row r="50" spans="1:52">
      <c r="A50" s="20" t="e">
        <f>A49-$F$33</f>
        <v>#DIV/0!</v>
      </c>
      <c r="B50" s="26" t="e">
        <f t="shared" si="46"/>
        <v>#DIV/0!</v>
      </c>
      <c r="C50" s="26" t="e">
        <f t="shared" si="47"/>
        <v>#DIV/0!</v>
      </c>
      <c r="D50" s="26" t="e">
        <f t="shared" si="48"/>
        <v>#DIV/0!</v>
      </c>
      <c r="E50" s="26" t="e">
        <f t="shared" si="49"/>
        <v>#DIV/0!</v>
      </c>
      <c r="F50" s="77" t="e">
        <f t="shared" si="50"/>
        <v>#DIV/0!</v>
      </c>
      <c r="G50" s="77" t="e">
        <f t="shared" si="51"/>
        <v>#DIV/0!</v>
      </c>
      <c r="H50" s="99" t="e">
        <f t="shared" si="52"/>
        <v>#DIV/0!</v>
      </c>
      <c r="I50" s="99" t="e">
        <f t="shared" si="53"/>
        <v>#DIV/0!</v>
      </c>
      <c r="J50" s="77" t="e">
        <f t="shared" si="54"/>
        <v>#DIV/0!</v>
      </c>
      <c r="K50" s="77" t="e">
        <f t="shared" si="55"/>
        <v>#DIV/0!</v>
      </c>
      <c r="L50" s="91" t="e">
        <f t="shared" si="56"/>
        <v>#DIV/0!</v>
      </c>
      <c r="M50" s="28"/>
      <c r="N50" s="28"/>
      <c r="O50" s="28"/>
      <c r="P50" s="31"/>
      <c r="R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</row>
    <row r="51" spans="1:52">
      <c r="A51" s="20" t="e">
        <f>A50-$F$33</f>
        <v>#DIV/0!</v>
      </c>
      <c r="B51" s="26" t="e">
        <f t="shared" si="46"/>
        <v>#DIV/0!</v>
      </c>
      <c r="C51" s="26" t="e">
        <f t="shared" si="47"/>
        <v>#DIV/0!</v>
      </c>
      <c r="D51" s="26" t="e">
        <f t="shared" si="48"/>
        <v>#DIV/0!</v>
      </c>
      <c r="E51" s="26" t="e">
        <f t="shared" si="49"/>
        <v>#DIV/0!</v>
      </c>
      <c r="F51" s="77" t="e">
        <f t="shared" si="50"/>
        <v>#DIV/0!</v>
      </c>
      <c r="G51" s="77" t="e">
        <f t="shared" si="51"/>
        <v>#DIV/0!</v>
      </c>
      <c r="H51" s="99" t="e">
        <f t="shared" si="52"/>
        <v>#DIV/0!</v>
      </c>
      <c r="I51" s="99" t="e">
        <f t="shared" si="53"/>
        <v>#DIV/0!</v>
      </c>
      <c r="J51" s="77" t="e">
        <f t="shared" si="54"/>
        <v>#DIV/0!</v>
      </c>
      <c r="K51" s="77" t="e">
        <f t="shared" si="55"/>
        <v>#DIV/0!</v>
      </c>
      <c r="L51" s="91" t="e">
        <f t="shared" si="56"/>
        <v>#DIV/0!</v>
      </c>
      <c r="M51" s="45"/>
      <c r="N51" s="28"/>
      <c r="O51" s="28"/>
      <c r="P51" s="31"/>
      <c r="S51" s="28"/>
      <c r="T51" s="28"/>
      <c r="U51" s="28"/>
      <c r="V51" s="28"/>
      <c r="AJ51" s="28"/>
      <c r="AK51" s="28"/>
      <c r="AL51" s="28"/>
      <c r="AM51" s="28"/>
      <c r="AN51" s="28"/>
      <c r="AO51" s="28"/>
      <c r="AP51" s="28"/>
      <c r="AQ51" s="28"/>
      <c r="AR51" s="28"/>
    </row>
    <row r="52" spans="1:52">
      <c r="A52" s="20" t="e">
        <f>A51-$F$33</f>
        <v>#DIV/0!</v>
      </c>
      <c r="B52" s="26" t="e">
        <f t="shared" si="46"/>
        <v>#DIV/0!</v>
      </c>
      <c r="C52" s="26" t="e">
        <f t="shared" si="47"/>
        <v>#DIV/0!</v>
      </c>
      <c r="D52" s="26" t="e">
        <f t="shared" si="48"/>
        <v>#DIV/0!</v>
      </c>
      <c r="E52" s="26" t="e">
        <f t="shared" si="49"/>
        <v>#DIV/0!</v>
      </c>
      <c r="F52" s="77" t="e">
        <f t="shared" si="50"/>
        <v>#DIV/0!</v>
      </c>
      <c r="G52" s="77" t="e">
        <f t="shared" si="51"/>
        <v>#DIV/0!</v>
      </c>
      <c r="H52" s="99" t="e">
        <f t="shared" si="52"/>
        <v>#DIV/0!</v>
      </c>
      <c r="I52" s="99" t="e">
        <f t="shared" si="53"/>
        <v>#DIV/0!</v>
      </c>
      <c r="J52" s="77" t="e">
        <f t="shared" si="54"/>
        <v>#DIV/0!</v>
      </c>
      <c r="K52" s="77" t="e">
        <f t="shared" si="55"/>
        <v>#DIV/0!</v>
      </c>
      <c r="L52" s="91" t="e">
        <f t="shared" si="56"/>
        <v>#DIV/0!</v>
      </c>
      <c r="M52" s="45"/>
      <c r="N52" s="28"/>
      <c r="O52" s="28"/>
      <c r="P52" s="31"/>
      <c r="AF52" s="7"/>
      <c r="AG52" s="7"/>
      <c r="AH52" s="7"/>
      <c r="AI52" s="7"/>
      <c r="AR52" s="28"/>
      <c r="AS52" s="7"/>
      <c r="AT52" s="7"/>
      <c r="AU52" s="7"/>
      <c r="AV52" s="7"/>
      <c r="AW52" s="7"/>
      <c r="AX52" s="7"/>
      <c r="AY52" s="7"/>
      <c r="AZ52" s="7"/>
    </row>
    <row r="53" spans="1:52">
      <c r="A53" s="20" t="e">
        <f>A52-$F$33</f>
        <v>#DIV/0!</v>
      </c>
      <c r="B53" s="26" t="e">
        <f t="shared" si="46"/>
        <v>#DIV/0!</v>
      </c>
      <c r="C53" s="26" t="e">
        <f t="shared" si="47"/>
        <v>#DIV/0!</v>
      </c>
      <c r="D53" s="26" t="e">
        <f t="shared" si="48"/>
        <v>#DIV/0!</v>
      </c>
      <c r="E53" s="26" t="e">
        <f t="shared" si="49"/>
        <v>#DIV/0!</v>
      </c>
      <c r="F53" s="77" t="e">
        <f t="shared" si="50"/>
        <v>#DIV/0!</v>
      </c>
      <c r="G53" s="77" t="e">
        <f t="shared" si="51"/>
        <v>#DIV/0!</v>
      </c>
      <c r="H53" s="99" t="e">
        <f t="shared" si="52"/>
        <v>#DIV/0!</v>
      </c>
      <c r="I53" s="99" t="e">
        <f t="shared" si="53"/>
        <v>#DIV/0!</v>
      </c>
      <c r="J53" s="77" t="e">
        <f t="shared" si="54"/>
        <v>#DIV/0!</v>
      </c>
      <c r="K53" s="77" t="e">
        <f t="shared" si="55"/>
        <v>#DIV/0!</v>
      </c>
      <c r="L53" s="91" t="e">
        <f t="shared" si="56"/>
        <v>#DIV/0!</v>
      </c>
      <c r="M53" s="45"/>
      <c r="N53" s="28"/>
      <c r="O53" s="28"/>
      <c r="P53" s="89"/>
      <c r="AF53" s="7"/>
      <c r="AG53" s="7"/>
      <c r="AH53" s="7"/>
      <c r="AI53" s="7"/>
      <c r="AJ53" s="7"/>
      <c r="AK53" s="7"/>
      <c r="AL53" s="7"/>
      <c r="AM53" s="7"/>
      <c r="AN53" s="7"/>
      <c r="AR53" s="28"/>
      <c r="AS53" s="14"/>
      <c r="AT53" s="144"/>
      <c r="AU53" s="144"/>
      <c r="AV53" s="144"/>
      <c r="AW53" s="144"/>
      <c r="AX53" s="144"/>
      <c r="AY53" s="144"/>
      <c r="AZ53" s="7"/>
    </row>
    <row r="54" spans="1:52">
      <c r="A54" s="20" t="e">
        <f>A53-$F$33</f>
        <v>#DIV/0!</v>
      </c>
      <c r="B54" s="26" t="e">
        <f t="shared" si="46"/>
        <v>#DIV/0!</v>
      </c>
      <c r="C54" s="26" t="e">
        <f t="shared" si="47"/>
        <v>#DIV/0!</v>
      </c>
      <c r="D54" s="26" t="e">
        <f t="shared" si="48"/>
        <v>#DIV/0!</v>
      </c>
      <c r="E54" s="26" t="e">
        <f t="shared" si="49"/>
        <v>#DIV/0!</v>
      </c>
      <c r="F54" s="77" t="e">
        <f t="shared" si="50"/>
        <v>#DIV/0!</v>
      </c>
      <c r="G54" s="77" t="e">
        <f t="shared" si="51"/>
        <v>#DIV/0!</v>
      </c>
      <c r="H54" s="99" t="e">
        <f t="shared" si="52"/>
        <v>#DIV/0!</v>
      </c>
      <c r="I54" s="99" t="e">
        <f t="shared" si="53"/>
        <v>#DIV/0!</v>
      </c>
      <c r="J54" s="77" t="e">
        <f t="shared" si="54"/>
        <v>#DIV/0!</v>
      </c>
      <c r="K54" s="77" t="e">
        <f t="shared" si="55"/>
        <v>#DIV/0!</v>
      </c>
      <c r="L54" s="91" t="e">
        <f t="shared" si="56"/>
        <v>#DIV/0!</v>
      </c>
      <c r="M54" s="45"/>
      <c r="N54" s="28"/>
      <c r="O54" s="28"/>
      <c r="P54" s="28"/>
      <c r="AF54" s="7"/>
      <c r="AG54" s="7"/>
      <c r="AH54" s="7"/>
      <c r="AI54" s="7"/>
      <c r="AJ54" s="7"/>
      <c r="AK54" s="7"/>
      <c r="AL54" s="7"/>
      <c r="AM54" s="7"/>
      <c r="AN54" s="7"/>
      <c r="AR54" s="28"/>
      <c r="AS54" s="7"/>
      <c r="AT54" s="144"/>
      <c r="AU54" s="144"/>
      <c r="AV54" s="144"/>
      <c r="AW54" s="144"/>
      <c r="AX54" s="144"/>
      <c r="AY54" s="144"/>
      <c r="AZ54" s="7"/>
    </row>
    <row r="55" spans="1:52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142"/>
      <c r="N55" s="142"/>
      <c r="O55" s="142"/>
      <c r="P55" s="142"/>
      <c r="Q55" s="18"/>
      <c r="AF55" s="7"/>
      <c r="AG55" s="7"/>
      <c r="AH55" s="7"/>
      <c r="AI55" s="7"/>
      <c r="AJ55" s="7"/>
      <c r="AK55" s="7"/>
      <c r="AL55" s="7"/>
      <c r="AM55" s="7"/>
      <c r="AN55" s="7"/>
      <c r="AR55" s="28"/>
      <c r="AS55" s="7"/>
      <c r="AT55" s="144"/>
      <c r="AU55" s="144"/>
      <c r="AV55" s="144"/>
      <c r="AW55" s="144"/>
      <c r="AX55" s="144"/>
      <c r="AY55" s="144"/>
      <c r="AZ55" s="7"/>
    </row>
    <row r="56" spans="1:52">
      <c r="A56" s="88" t="s">
        <v>73</v>
      </c>
      <c r="B56" s="88"/>
      <c r="C56" s="23" t="str">
        <f>CONCATENATE("m",Stufengrün!R48)</f>
        <v>m0</v>
      </c>
      <c r="D56" s="23" t="s">
        <v>30</v>
      </c>
      <c r="E56" s="28"/>
      <c r="F56" s="28"/>
      <c r="G56" s="28"/>
      <c r="H56" s="36" t="s">
        <v>57</v>
      </c>
      <c r="I56" s="36" t="s">
        <v>51</v>
      </c>
      <c r="J56" s="36" t="s">
        <v>58</v>
      </c>
      <c r="K56" s="36" t="s">
        <v>59</v>
      </c>
      <c r="L56" s="28"/>
      <c r="M56" s="28"/>
      <c r="N56" s="28"/>
      <c r="O56" s="28"/>
      <c r="P56" s="28"/>
      <c r="Q56" s="18"/>
      <c r="AF56" s="7"/>
      <c r="AG56" s="7"/>
      <c r="AH56" s="7"/>
      <c r="AI56" s="7"/>
      <c r="AJ56" s="7"/>
      <c r="AK56" s="7"/>
      <c r="AL56" s="7"/>
      <c r="AM56" s="7"/>
      <c r="AN56" s="7"/>
      <c r="AR56" s="28"/>
      <c r="AS56" s="7"/>
      <c r="AT56" s="144"/>
      <c r="AU56" s="144"/>
      <c r="AV56" s="144"/>
      <c r="AW56" s="144"/>
      <c r="AX56" s="144"/>
      <c r="AY56" s="144"/>
      <c r="AZ56" s="7"/>
    </row>
    <row r="57" spans="1:52">
      <c r="A57" s="88" t="s">
        <v>69</v>
      </c>
      <c r="B57" s="88"/>
      <c r="C57" s="36">
        <f>Stufengrün!S48</f>
        <v>0.38197186342054879</v>
      </c>
      <c r="D57" s="26">
        <f>Stufengrün!U47</f>
        <v>-0.22653102238502199</v>
      </c>
      <c r="E57" s="28"/>
      <c r="F57" s="28"/>
      <c r="G57" s="28"/>
      <c r="H57" s="78" t="e">
        <f>H46</f>
        <v>#DIV/0!</v>
      </c>
      <c r="I57" s="78" t="e">
        <f>I46</f>
        <v>#DIV/0!</v>
      </c>
      <c r="J57" s="78" t="e">
        <f>J46</f>
        <v>#DIV/0!</v>
      </c>
      <c r="K57" s="78" t="e">
        <f>K46</f>
        <v>#DIV/0!</v>
      </c>
      <c r="L57" s="28"/>
      <c r="M57" s="28"/>
      <c r="N57" s="28"/>
      <c r="O57" s="28"/>
      <c r="P57" s="28"/>
      <c r="Q57" s="18"/>
      <c r="AF57" s="7"/>
      <c r="AG57" s="7"/>
      <c r="AH57" s="7"/>
      <c r="AI57" s="7"/>
      <c r="AJ57" s="7"/>
      <c r="AK57" s="7"/>
      <c r="AL57" s="7"/>
      <c r="AM57" s="7"/>
      <c r="AN57" s="7"/>
      <c r="AR57" s="28"/>
      <c r="AS57" s="7"/>
      <c r="AT57" s="144"/>
      <c r="AU57" s="144"/>
      <c r="AV57" s="144"/>
      <c r="AW57" s="144"/>
      <c r="AX57" s="144"/>
      <c r="AY57" s="144"/>
      <c r="AZ57" s="7"/>
    </row>
    <row r="58" spans="1:52">
      <c r="A58" s="95"/>
      <c r="B58" s="95"/>
      <c r="C58" s="28"/>
      <c r="D58" s="28"/>
      <c r="E58" s="28"/>
      <c r="F58" s="28"/>
      <c r="G58" s="28"/>
      <c r="H58" s="37" t="s">
        <v>8</v>
      </c>
      <c r="I58" s="37" t="s">
        <v>8</v>
      </c>
      <c r="J58" s="37" t="s">
        <v>9</v>
      </c>
      <c r="K58" s="37" t="s">
        <v>9</v>
      </c>
      <c r="L58" s="28"/>
      <c r="M58" s="28"/>
      <c r="N58" s="28"/>
      <c r="O58" s="28"/>
      <c r="P58" s="28"/>
      <c r="Q58" s="18"/>
      <c r="AF58" s="7"/>
      <c r="AG58" s="7"/>
      <c r="AH58" s="7"/>
      <c r="AI58" s="7"/>
      <c r="AJ58" s="7"/>
      <c r="AK58" s="7"/>
      <c r="AL58" s="7"/>
      <c r="AM58" s="7"/>
      <c r="AN58" s="7"/>
      <c r="AR58" s="28"/>
      <c r="AS58" s="7"/>
      <c r="AT58" s="144"/>
      <c r="AU58" s="144"/>
      <c r="AV58" s="144"/>
      <c r="AW58" s="144"/>
      <c r="AX58" s="144"/>
      <c r="AY58" s="144"/>
      <c r="AZ58" s="7"/>
    </row>
    <row r="59" spans="1:52">
      <c r="A59" s="88" t="s">
        <v>68</v>
      </c>
      <c r="B59" s="88"/>
      <c r="C59" s="26" t="s">
        <v>15</v>
      </c>
      <c r="D59" s="26" t="s">
        <v>55</v>
      </c>
      <c r="E59" s="26" t="s">
        <v>12</v>
      </c>
      <c r="F59" s="26" t="s">
        <v>10</v>
      </c>
      <c r="G59" s="26" t="s">
        <v>14</v>
      </c>
      <c r="H59" s="26" t="s">
        <v>21</v>
      </c>
      <c r="I59" s="26" t="s">
        <v>16</v>
      </c>
      <c r="J59" s="26" t="s">
        <v>17</v>
      </c>
      <c r="K59" s="26" t="s">
        <v>23</v>
      </c>
      <c r="L59" s="28"/>
      <c r="M59" s="28"/>
      <c r="N59" s="28"/>
      <c r="O59" s="28"/>
      <c r="P59" s="28"/>
      <c r="Q59" s="18"/>
      <c r="AF59" s="7"/>
      <c r="AG59" s="7"/>
      <c r="AH59" s="7"/>
      <c r="AI59" s="7"/>
      <c r="AJ59" s="7"/>
      <c r="AK59" s="7"/>
      <c r="AL59" s="7"/>
      <c r="AM59" s="7"/>
      <c r="AN59" s="7"/>
      <c r="AR59" s="28"/>
      <c r="AS59" s="7"/>
      <c r="AT59" s="144"/>
      <c r="AU59" s="144"/>
      <c r="AV59" s="144"/>
      <c r="AW59" s="144"/>
      <c r="AX59" s="144"/>
      <c r="AY59" s="144"/>
      <c r="AZ59" s="7"/>
    </row>
    <row r="60" spans="1:52">
      <c r="A60" s="28"/>
      <c r="B60" s="28"/>
      <c r="C60" s="23">
        <f>Mü/TAN($C57)</f>
        <v>0.17425898005457305</v>
      </c>
      <c r="D60" s="42" t="e">
        <f>SQRT($J57*$J57+$K57*$K57)</f>
        <v>#DIV/0!</v>
      </c>
      <c r="E60" s="20" t="e">
        <f>ATAN($J57/$K57)</f>
        <v>#DIV/0!</v>
      </c>
      <c r="F60" s="23" t="e">
        <f>($E60-A73-0.0001)/5</f>
        <v>#DIV/0!</v>
      </c>
      <c r="G60" s="23" t="e">
        <f>COS($E60)</f>
        <v>#DIV/0!</v>
      </c>
      <c r="H60" s="23" t="e">
        <f>SIN($E60)</f>
        <v>#DIV/0!</v>
      </c>
      <c r="I60" s="23" t="e">
        <f>$C60+$G60</f>
        <v>#DIV/0!</v>
      </c>
      <c r="J60" s="23" t="e">
        <f>POWER(TAN($E60/2),$C60)</f>
        <v>#DIV/0!</v>
      </c>
      <c r="K60" s="23" t="e">
        <f>-$D60*$D60*SIN($E60)*SIN($E60)/(2*9.81*SIN($C57)*POWER(TAN($E60/2),2*$C60))</f>
        <v>#DIV/0!</v>
      </c>
      <c r="L60" s="28"/>
      <c r="M60" s="28"/>
      <c r="N60" s="28"/>
      <c r="O60" s="28"/>
      <c r="P60" s="28"/>
      <c r="Q60" s="18"/>
      <c r="AF60" s="7"/>
      <c r="AG60" s="7"/>
      <c r="AH60" s="7"/>
      <c r="AI60" s="7"/>
      <c r="AJ60" s="7"/>
      <c r="AK60" s="7"/>
      <c r="AL60" s="7"/>
      <c r="AM60" s="7"/>
      <c r="AN60" s="7"/>
      <c r="AR60" s="28"/>
      <c r="AS60" s="7"/>
      <c r="AT60" s="144"/>
      <c r="AU60" s="144"/>
      <c r="AV60" s="144"/>
      <c r="AW60" s="144"/>
      <c r="AX60" s="144"/>
      <c r="AY60" s="144"/>
      <c r="AZ60" s="7"/>
    </row>
    <row r="61" spans="1:52">
      <c r="A61" s="88" t="s">
        <v>70</v>
      </c>
      <c r="B61" s="8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45"/>
      <c r="N61" s="28"/>
      <c r="O61" s="28"/>
      <c r="P61" s="28"/>
      <c r="Q61" s="18"/>
      <c r="AF61" s="7"/>
      <c r="AG61" s="7"/>
      <c r="AH61" s="7"/>
      <c r="AI61" s="7"/>
      <c r="AJ61" s="7"/>
      <c r="AK61" s="7"/>
      <c r="AL61" s="7"/>
      <c r="AM61" s="7"/>
      <c r="AN61" s="7"/>
      <c r="AR61" s="28"/>
      <c r="AS61" s="7"/>
      <c r="AT61" s="144"/>
      <c r="AU61" s="144"/>
      <c r="AV61" s="144"/>
      <c r="AW61" s="144"/>
      <c r="AX61" s="144"/>
      <c r="AY61" s="144"/>
      <c r="AZ61" s="7"/>
    </row>
    <row r="62" spans="1:52">
      <c r="A62" s="26" t="s">
        <v>11</v>
      </c>
      <c r="B62" s="26" t="s">
        <v>13</v>
      </c>
      <c r="C62" s="26" t="s">
        <v>22</v>
      </c>
      <c r="D62" s="26" t="s">
        <v>18</v>
      </c>
      <c r="E62" s="26" t="s">
        <v>19</v>
      </c>
      <c r="F62" s="26" t="s">
        <v>20</v>
      </c>
      <c r="G62" s="26" t="s">
        <v>2</v>
      </c>
      <c r="H62" s="26" t="s">
        <v>65</v>
      </c>
      <c r="I62" s="26" t="s">
        <v>66</v>
      </c>
      <c r="J62" s="76" t="s">
        <v>3</v>
      </c>
      <c r="K62" s="76" t="s">
        <v>4</v>
      </c>
      <c r="L62" s="44" t="s">
        <v>7</v>
      </c>
      <c r="M62" s="93"/>
      <c r="N62" s="26" t="s">
        <v>61</v>
      </c>
      <c r="O62" s="26" t="s">
        <v>62</v>
      </c>
      <c r="P62" s="26" t="s">
        <v>63</v>
      </c>
      <c r="Q62" s="18"/>
      <c r="AF62" s="7"/>
      <c r="AG62" s="7"/>
      <c r="AH62" s="7"/>
      <c r="AI62" s="7"/>
      <c r="AJ62" s="7"/>
      <c r="AK62" s="7"/>
      <c r="AL62" s="7"/>
      <c r="AM62" s="7"/>
      <c r="AN62" s="7"/>
      <c r="AR62" s="28"/>
      <c r="AS62" s="7"/>
      <c r="AT62" s="144"/>
      <c r="AU62" s="144"/>
      <c r="AV62" s="144"/>
      <c r="AW62" s="144"/>
      <c r="AX62" s="144"/>
      <c r="AY62" s="144"/>
      <c r="AZ62" s="7"/>
    </row>
    <row r="63" spans="1:52">
      <c r="A63" s="19" t="e">
        <f>$E60</f>
        <v>#DIV/0!</v>
      </c>
      <c r="B63" s="26" t="e">
        <f>COS(A63)</f>
        <v>#DIV/0!</v>
      </c>
      <c r="C63" s="26" t="e">
        <f>($C$60+B63)</f>
        <v>#DIV/0!</v>
      </c>
      <c r="D63" s="26" t="e">
        <f>POWER(TAN(A63/2),$C$60)</f>
        <v>#DIV/0!</v>
      </c>
      <c r="E63" s="26" t="e">
        <f>SIN(A63)</f>
        <v>#DIV/0!</v>
      </c>
      <c r="F63" s="77" t="e">
        <f>(C63*$H$60*D63/E63/$I$60/$J$60)</f>
        <v>#DIV/0!</v>
      </c>
      <c r="G63" s="77" t="e">
        <f>$D$60*($C$60+$G$60)/9.81/SIN($C$57)/(1-$C$60*$C$60)*(F63-1)</f>
        <v>#DIV/0!</v>
      </c>
      <c r="H63" s="75" t="e">
        <f>-(-$H$57+$K$60*((POWER(TAN(A63/2),2*$C$60-1)/(2*$C$60-1))+(POWER(TAN(A63/2),2*$C$60+1)/(2*$C$60+1))-(POWER(TAN($E$60/2),2*$C$60-1)/(2*$C$60-1))-(POWER(TAN($E$60/2),2*$C$60+1)/(2*$C$60+1))))</f>
        <v>#DIV/0!</v>
      </c>
      <c r="I63" s="75" t="e">
        <f>-(-$I$57+0.5*$K$60*((POWER(TAN(A63/2),2*$C$60-2)/(2*$C$60-2))-(POWER(TAN(A63/2),2*$C$60+2)/(2*$C$60+2))-(POWER(TAN($E$60/2),2*$C$60-2)/(2*$C$60-2))+(POWER(TAN($E$60/2),2*$C$60+2)/(2*$C$60+2))))</f>
        <v>#DIV/0!</v>
      </c>
      <c r="J63" s="77" t="e">
        <f>-$D$60*SIN(A63)*($C$60+$G$60)/($C$60+B63)*F63</f>
        <v>#DIV/0!</v>
      </c>
      <c r="K63" s="77" t="e">
        <f>-$D$60*COS(A63)*($C$60+$G$60)/($C$60+B63)*F63</f>
        <v>#DIV/0!</v>
      </c>
      <c r="L63" s="91" t="e">
        <f>SQRT(J63*J63+K63*K63)</f>
        <v>#DIV/0!</v>
      </c>
      <c r="M63" s="93"/>
      <c r="N63" s="75" t="e">
        <f>-(-$I$57+0.5*$K$60*((POWER(TAN(A63/2),2*$C$60-2)/(2*$C$60-2))-(POWER(TAN(A63/2),2*$C$60+2)/(2*$C$60+2))-(POWER(TAN($E$60/2),2*$C$60-2)/(2*$C$60-2))+(POWER(TAN($E$60/2),2*$C$60+2)/(2*$C$60+2))))-$D$57</f>
        <v>#DIV/0!</v>
      </c>
      <c r="O63" s="75" t="e">
        <f>-(-$I$57+0.5*$K$60*((POWER(TAN((A63+$M$9)/2),2*$C$60-2)/(2*$C$60-2))-(POWER(TAN((A63+$M$9)/2),2*$C$60+2)/(2*$C$60+2))-(POWER(TAN($E$60/2),2*$C$60-2)/(2*$C$60-2))+(POWER(TAN($E$60/2),2*$C$60+2)/(2*$C$60+2))))-$D$57</f>
        <v>#DIV/0!</v>
      </c>
      <c r="P63" s="109" t="e">
        <f>IF(A63-N63/(O63-N63)*$M$9&lt;A63/10,A63*0.5,A63-N63/(O63-N63)*$M$9)</f>
        <v>#DIV/0!</v>
      </c>
      <c r="Q63" s="18" t="s">
        <v>106</v>
      </c>
      <c r="AF63" s="7"/>
      <c r="AG63" s="7"/>
      <c r="AH63" s="7"/>
      <c r="AI63" s="7"/>
      <c r="AJ63" s="7"/>
      <c r="AK63" s="7"/>
      <c r="AL63" s="7"/>
      <c r="AM63" s="7"/>
      <c r="AN63" s="7"/>
      <c r="AR63" s="28"/>
      <c r="AS63" s="7"/>
      <c r="AT63" s="144"/>
      <c r="AU63" s="144"/>
      <c r="AV63" s="144"/>
      <c r="AW63" s="144"/>
      <c r="AX63" s="144"/>
      <c r="AY63" s="144"/>
      <c r="AZ63" s="7"/>
    </row>
    <row r="64" spans="1:52">
      <c r="A64" s="19" t="e">
        <f>P63</f>
        <v>#DIV/0!</v>
      </c>
      <c r="B64" s="26" t="e">
        <f>COS(A64)</f>
        <v>#DIV/0!</v>
      </c>
      <c r="C64" s="26" t="e">
        <f>($C$60+B64)</f>
        <v>#DIV/0!</v>
      </c>
      <c r="D64" s="26" t="e">
        <f>POWER(TAN(A64/2),$C$60)</f>
        <v>#DIV/0!</v>
      </c>
      <c r="E64" s="26" t="e">
        <f>SIN(A64)</f>
        <v>#DIV/0!</v>
      </c>
      <c r="F64" s="77" t="e">
        <f>(C64*$H$60*D64/E64/$I$60/$J$60)</f>
        <v>#DIV/0!</v>
      </c>
      <c r="G64" s="77" t="e">
        <f>$D$60*($C$60+$G$60)/9.81/SIN($C$57)/(1-$C$60*$C$60)*(F64-1)</f>
        <v>#DIV/0!</v>
      </c>
      <c r="H64" s="75" t="e">
        <f>-(-$H$57+$K$60*((POWER(TAN(A64/2),2*$C$60-1)/(2*$C$60-1))+(POWER(TAN(A64/2),2*$C$60+1)/(2*$C$60+1))-(POWER(TAN($E$60/2),2*$C$60-1)/(2*$C$60-1))-(POWER(TAN($E$60/2),2*$C$60+1)/(2*$C$60+1))))</f>
        <v>#DIV/0!</v>
      </c>
      <c r="I64" s="75" t="e">
        <f>-(-$I$57+0.5*$K$60*((POWER(TAN(A64/2),2*$C$60-2)/(2*$C$60-2))-(POWER(TAN(A64/2),2*$C$60+2)/(2*$C$60+2))-(POWER(TAN($E$60/2),2*$C$60-2)/(2*$C$60-2))+(POWER(TAN($E$60/2),2*$C$60+2)/(2*$C$60+2))))</f>
        <v>#DIV/0!</v>
      </c>
      <c r="J64" s="77" t="e">
        <f>-$D$60*SIN(A64)*($C$60+$G$60)/($C$60+B64)*F64</f>
        <v>#DIV/0!</v>
      </c>
      <c r="K64" s="77" t="e">
        <f>-$D$60*COS(A64)*($C$60+$G$60)/($C$60+B64)*F64</f>
        <v>#DIV/0!</v>
      </c>
      <c r="L64" s="91" t="e">
        <f>SQRT(J64*J64+K64*K64)</f>
        <v>#DIV/0!</v>
      </c>
      <c r="M64" s="93"/>
      <c r="N64" s="75" t="e">
        <f t="shared" ref="N64:N72" si="57">-(-$I$57+0.5*$K$60*((POWER(TAN(A64/2),2*$C$60-2)/(2*$C$60-2))-(POWER(TAN(A64/2),2*$C$60+2)/(2*$C$60+2))-(POWER(TAN($E$60/2),2*$C$60-2)/(2*$C$60-2))+(POWER(TAN($E$60/2),2*$C$60+2)/(2*$C$60+2))))-$D$57</f>
        <v>#DIV/0!</v>
      </c>
      <c r="O64" s="75" t="e">
        <f t="shared" ref="O64:O73" si="58">-(-$I$57+0.5*$K$60*((POWER(TAN((A64+$M$9)/2),2*$C$60-2)/(2*$C$60-2))-(POWER(TAN((A64+$M$9)/2),2*$C$60+2)/(2*$C$60+2))-(POWER(TAN($E$60/2),2*$C$60-2)/(2*$C$60-2))+(POWER(TAN($E$60/2),2*$C$60+2)/(2*$C$60+2))))-$D$57</f>
        <v>#DIV/0!</v>
      </c>
      <c r="P64" s="109" t="e">
        <f t="shared" ref="P64:P73" si="59">IF(A64-N64/(O64-N64)*$M$9&lt;A64/10,A64*0.5,A64-N64/(O64-N64)*$M$9)</f>
        <v>#DIV/0!</v>
      </c>
      <c r="Q64" s="18"/>
      <c r="AF64" s="7"/>
      <c r="AG64" s="7"/>
      <c r="AH64" s="7"/>
      <c r="AI64" s="7"/>
      <c r="AJ64" s="7"/>
      <c r="AK64" s="7"/>
      <c r="AL64" s="7"/>
      <c r="AM64" s="7"/>
      <c r="AN64" s="7"/>
      <c r="AR64" s="28"/>
      <c r="AS64" s="7"/>
      <c r="AT64" s="144"/>
      <c r="AU64" s="144"/>
      <c r="AV64" s="144"/>
      <c r="AW64" s="144"/>
      <c r="AX64" s="144"/>
      <c r="AY64" s="144"/>
      <c r="AZ64" s="7"/>
    </row>
    <row r="65" spans="1:52">
      <c r="A65" s="19" t="e">
        <f t="shared" ref="A65:A73" si="60">P64</f>
        <v>#DIV/0!</v>
      </c>
      <c r="B65" s="26" t="e">
        <f t="shared" ref="B65:B73" si="61">COS(A65)</f>
        <v>#DIV/0!</v>
      </c>
      <c r="C65" s="26" t="e">
        <f t="shared" ref="C65:C73" si="62">($C$60+B65)</f>
        <v>#DIV/0!</v>
      </c>
      <c r="D65" s="26" t="e">
        <f t="shared" ref="D65:D73" si="63">POWER(TAN(A65/2),$C$60)</f>
        <v>#DIV/0!</v>
      </c>
      <c r="E65" s="26" t="e">
        <f t="shared" ref="E65:E73" si="64">SIN(A65)</f>
        <v>#DIV/0!</v>
      </c>
      <c r="F65" s="77" t="e">
        <f t="shared" ref="F65:F73" si="65">(C65*$H$60*D65/E65/$I$60/$J$60)</f>
        <v>#DIV/0!</v>
      </c>
      <c r="G65" s="77" t="e">
        <f t="shared" ref="G65:G73" si="66">$D$60*($C$60+$G$60)/9.81/SIN($C$57)/(1-$C$60*$C$60)*(F65-1)</f>
        <v>#DIV/0!</v>
      </c>
      <c r="H65" s="75" t="e">
        <f t="shared" ref="H65:H73" si="67">-(-$H$57+$K$60*((POWER(TAN(A65/2),2*$C$60-1)/(2*$C$60-1))+(POWER(TAN(A65/2),2*$C$60+1)/(2*$C$60+1))-(POWER(TAN($E$60/2),2*$C$60-1)/(2*$C$60-1))-(POWER(TAN($E$60/2),2*$C$60+1)/(2*$C$60+1))))</f>
        <v>#DIV/0!</v>
      </c>
      <c r="I65" s="75" t="e">
        <f t="shared" ref="I65:I73" si="68">-(-$I$57+0.5*$K$60*((POWER(TAN(A65/2),2*$C$60-2)/(2*$C$60-2))-(POWER(TAN(A65/2),2*$C$60+2)/(2*$C$60+2))-(POWER(TAN($E$60/2),2*$C$60-2)/(2*$C$60-2))+(POWER(TAN($E$60/2),2*$C$60+2)/(2*$C$60+2))))</f>
        <v>#DIV/0!</v>
      </c>
      <c r="J65" s="77" t="e">
        <f t="shared" ref="J65:J73" si="69">-$D$60*SIN(A65)*($C$60+$G$60)/($C$60+B65)*F65</f>
        <v>#DIV/0!</v>
      </c>
      <c r="K65" s="77" t="e">
        <f t="shared" ref="K65:K73" si="70">-$D$60*COS(A65)*($C$60+$G$60)/($C$60+B65)*F65</f>
        <v>#DIV/0!</v>
      </c>
      <c r="L65" s="91" t="e">
        <f t="shared" ref="L65:L73" si="71">SQRT(J65*J65+K65*K65)</f>
        <v>#DIV/0!</v>
      </c>
      <c r="M65" s="93"/>
      <c r="N65" s="75" t="e">
        <f t="shared" si="57"/>
        <v>#DIV/0!</v>
      </c>
      <c r="O65" s="75" t="e">
        <f t="shared" si="58"/>
        <v>#DIV/0!</v>
      </c>
      <c r="P65" s="109" t="e">
        <f t="shared" si="59"/>
        <v>#DIV/0!</v>
      </c>
      <c r="Q65" s="18"/>
      <c r="AF65" s="7"/>
      <c r="AG65" s="7"/>
      <c r="AH65" s="7"/>
      <c r="AI65" s="7"/>
      <c r="AJ65" s="7"/>
      <c r="AK65" s="7"/>
      <c r="AL65" s="7"/>
      <c r="AM65" s="7"/>
      <c r="AN65" s="7"/>
      <c r="AR65" s="28"/>
      <c r="AS65" s="7"/>
      <c r="AT65" s="144"/>
      <c r="AU65" s="144"/>
      <c r="AV65" s="144"/>
      <c r="AW65" s="144"/>
      <c r="AX65" s="144"/>
      <c r="AY65" s="144"/>
      <c r="AZ65" s="7"/>
    </row>
    <row r="66" spans="1:52">
      <c r="A66" s="19" t="e">
        <f t="shared" si="60"/>
        <v>#DIV/0!</v>
      </c>
      <c r="B66" s="26" t="e">
        <f t="shared" si="61"/>
        <v>#DIV/0!</v>
      </c>
      <c r="C66" s="26" t="e">
        <f t="shared" si="62"/>
        <v>#DIV/0!</v>
      </c>
      <c r="D66" s="26" t="e">
        <f t="shared" si="63"/>
        <v>#DIV/0!</v>
      </c>
      <c r="E66" s="26" t="e">
        <f t="shared" si="64"/>
        <v>#DIV/0!</v>
      </c>
      <c r="F66" s="77" t="e">
        <f t="shared" si="65"/>
        <v>#DIV/0!</v>
      </c>
      <c r="G66" s="77" t="e">
        <f t="shared" si="66"/>
        <v>#DIV/0!</v>
      </c>
      <c r="H66" s="75" t="e">
        <f t="shared" si="67"/>
        <v>#DIV/0!</v>
      </c>
      <c r="I66" s="75" t="e">
        <f t="shared" si="68"/>
        <v>#DIV/0!</v>
      </c>
      <c r="J66" s="77" t="e">
        <f t="shared" si="69"/>
        <v>#DIV/0!</v>
      </c>
      <c r="K66" s="77" t="e">
        <f t="shared" si="70"/>
        <v>#DIV/0!</v>
      </c>
      <c r="L66" s="91" t="e">
        <f t="shared" si="71"/>
        <v>#DIV/0!</v>
      </c>
      <c r="M66" s="93"/>
      <c r="N66" s="75" t="e">
        <f t="shared" si="57"/>
        <v>#DIV/0!</v>
      </c>
      <c r="O66" s="75" t="e">
        <f t="shared" si="58"/>
        <v>#DIV/0!</v>
      </c>
      <c r="P66" s="109" t="e">
        <f t="shared" si="59"/>
        <v>#DIV/0!</v>
      </c>
      <c r="Q66" s="18"/>
      <c r="AF66" s="7"/>
      <c r="AG66" s="7"/>
      <c r="AH66" s="7"/>
      <c r="AI66" s="7"/>
      <c r="AJ66" s="7"/>
      <c r="AK66" s="7"/>
      <c r="AL66" s="7"/>
      <c r="AM66" s="7"/>
      <c r="AN66" s="7"/>
      <c r="AR66" s="28"/>
      <c r="AS66" s="7"/>
      <c r="AT66" s="144"/>
      <c r="AU66" s="144"/>
      <c r="AV66" s="144"/>
      <c r="AW66" s="144"/>
      <c r="AX66" s="144"/>
      <c r="AY66" s="144"/>
      <c r="AZ66" s="7"/>
    </row>
    <row r="67" spans="1:52">
      <c r="A67" s="19" t="e">
        <f t="shared" si="60"/>
        <v>#DIV/0!</v>
      </c>
      <c r="B67" s="26" t="e">
        <f t="shared" si="61"/>
        <v>#DIV/0!</v>
      </c>
      <c r="C67" s="26" t="e">
        <f t="shared" si="62"/>
        <v>#DIV/0!</v>
      </c>
      <c r="D67" s="26" t="e">
        <f t="shared" si="63"/>
        <v>#DIV/0!</v>
      </c>
      <c r="E67" s="26" t="e">
        <f t="shared" si="64"/>
        <v>#DIV/0!</v>
      </c>
      <c r="F67" s="77" t="e">
        <f t="shared" si="65"/>
        <v>#DIV/0!</v>
      </c>
      <c r="G67" s="77" t="e">
        <f t="shared" si="66"/>
        <v>#DIV/0!</v>
      </c>
      <c r="H67" s="75" t="e">
        <f t="shared" si="67"/>
        <v>#DIV/0!</v>
      </c>
      <c r="I67" s="75" t="e">
        <f t="shared" si="68"/>
        <v>#DIV/0!</v>
      </c>
      <c r="J67" s="77" t="e">
        <f t="shared" si="69"/>
        <v>#DIV/0!</v>
      </c>
      <c r="K67" s="77" t="e">
        <f t="shared" si="70"/>
        <v>#DIV/0!</v>
      </c>
      <c r="L67" s="91" t="e">
        <f t="shared" si="71"/>
        <v>#DIV/0!</v>
      </c>
      <c r="M67" s="93"/>
      <c r="N67" s="75" t="e">
        <f t="shared" si="57"/>
        <v>#DIV/0!</v>
      </c>
      <c r="O67" s="75" t="e">
        <f t="shared" si="58"/>
        <v>#DIV/0!</v>
      </c>
      <c r="P67" s="109" t="e">
        <f t="shared" si="59"/>
        <v>#DIV/0!</v>
      </c>
      <c r="Q67" s="18"/>
      <c r="AF67" s="7"/>
      <c r="AG67" s="7"/>
      <c r="AH67" s="7"/>
      <c r="AI67" s="7"/>
      <c r="AJ67" s="7"/>
      <c r="AK67" s="7"/>
      <c r="AL67" s="7"/>
      <c r="AM67" s="7"/>
      <c r="AN67" s="7"/>
      <c r="AR67" s="28"/>
      <c r="AS67" s="7"/>
      <c r="AT67" s="144"/>
      <c r="AU67" s="144"/>
      <c r="AV67" s="144"/>
      <c r="AW67" s="144"/>
      <c r="AX67" s="144"/>
      <c r="AY67" s="144"/>
      <c r="AZ67" s="7"/>
    </row>
    <row r="68" spans="1:52">
      <c r="A68" s="19" t="e">
        <f t="shared" si="60"/>
        <v>#DIV/0!</v>
      </c>
      <c r="B68" s="26" t="e">
        <f t="shared" si="61"/>
        <v>#DIV/0!</v>
      </c>
      <c r="C68" s="26" t="e">
        <f t="shared" si="62"/>
        <v>#DIV/0!</v>
      </c>
      <c r="D68" s="26" t="e">
        <f t="shared" si="63"/>
        <v>#DIV/0!</v>
      </c>
      <c r="E68" s="26" t="e">
        <f t="shared" si="64"/>
        <v>#DIV/0!</v>
      </c>
      <c r="F68" s="77" t="e">
        <f t="shared" si="65"/>
        <v>#DIV/0!</v>
      </c>
      <c r="G68" s="77" t="e">
        <f t="shared" si="66"/>
        <v>#DIV/0!</v>
      </c>
      <c r="H68" s="75" t="e">
        <f t="shared" si="67"/>
        <v>#DIV/0!</v>
      </c>
      <c r="I68" s="75" t="e">
        <f t="shared" si="68"/>
        <v>#DIV/0!</v>
      </c>
      <c r="J68" s="77" t="e">
        <f t="shared" si="69"/>
        <v>#DIV/0!</v>
      </c>
      <c r="K68" s="77" t="e">
        <f t="shared" si="70"/>
        <v>#DIV/0!</v>
      </c>
      <c r="L68" s="91" t="e">
        <f t="shared" si="71"/>
        <v>#DIV/0!</v>
      </c>
      <c r="M68" s="93"/>
      <c r="N68" s="75" t="e">
        <f t="shared" si="57"/>
        <v>#DIV/0!</v>
      </c>
      <c r="O68" s="75" t="e">
        <f t="shared" si="58"/>
        <v>#DIV/0!</v>
      </c>
      <c r="P68" s="109" t="e">
        <f t="shared" si="59"/>
        <v>#DIV/0!</v>
      </c>
      <c r="Q68" s="18"/>
      <c r="AF68" s="7"/>
      <c r="AG68" s="7"/>
      <c r="AH68" s="7"/>
      <c r="AI68" s="7"/>
      <c r="AJ68" s="7"/>
      <c r="AK68" s="7"/>
      <c r="AL68" s="7"/>
      <c r="AM68" s="7"/>
      <c r="AN68" s="7"/>
      <c r="AR68" s="28"/>
      <c r="AS68" s="7"/>
      <c r="AT68" s="144"/>
      <c r="AU68" s="144"/>
      <c r="AV68" s="144"/>
      <c r="AW68" s="144"/>
      <c r="AX68" s="144"/>
      <c r="AY68" s="144"/>
      <c r="AZ68" s="7"/>
    </row>
    <row r="69" spans="1:52">
      <c r="A69" s="19" t="e">
        <f t="shared" si="60"/>
        <v>#DIV/0!</v>
      </c>
      <c r="B69" s="26" t="e">
        <f t="shared" si="61"/>
        <v>#DIV/0!</v>
      </c>
      <c r="C69" s="26" t="e">
        <f t="shared" si="62"/>
        <v>#DIV/0!</v>
      </c>
      <c r="D69" s="26" t="e">
        <f t="shared" si="63"/>
        <v>#DIV/0!</v>
      </c>
      <c r="E69" s="26" t="e">
        <f t="shared" si="64"/>
        <v>#DIV/0!</v>
      </c>
      <c r="F69" s="77" t="e">
        <f t="shared" si="65"/>
        <v>#DIV/0!</v>
      </c>
      <c r="G69" s="77" t="e">
        <f t="shared" si="66"/>
        <v>#DIV/0!</v>
      </c>
      <c r="H69" s="75" t="e">
        <f t="shared" si="67"/>
        <v>#DIV/0!</v>
      </c>
      <c r="I69" s="75" t="e">
        <f t="shared" si="68"/>
        <v>#DIV/0!</v>
      </c>
      <c r="J69" s="77" t="e">
        <f t="shared" si="69"/>
        <v>#DIV/0!</v>
      </c>
      <c r="K69" s="77" t="e">
        <f t="shared" si="70"/>
        <v>#DIV/0!</v>
      </c>
      <c r="L69" s="91" t="e">
        <f t="shared" si="71"/>
        <v>#DIV/0!</v>
      </c>
      <c r="M69" s="93"/>
      <c r="N69" s="75" t="e">
        <f t="shared" si="57"/>
        <v>#DIV/0!</v>
      </c>
      <c r="O69" s="75" t="e">
        <f t="shared" si="58"/>
        <v>#DIV/0!</v>
      </c>
      <c r="P69" s="109" t="e">
        <f t="shared" si="59"/>
        <v>#DIV/0!</v>
      </c>
      <c r="Q69" s="18"/>
      <c r="AF69" s="7"/>
      <c r="AG69" s="7"/>
      <c r="AH69" s="7"/>
      <c r="AI69" s="7"/>
      <c r="AJ69" s="7"/>
      <c r="AK69" s="7"/>
      <c r="AL69" s="7"/>
      <c r="AM69" s="7"/>
      <c r="AN69" s="7"/>
      <c r="AR69" s="28"/>
      <c r="AS69" s="7"/>
      <c r="AT69" s="144"/>
      <c r="AU69" s="144"/>
      <c r="AV69" s="144"/>
      <c r="AW69" s="144"/>
      <c r="AX69" s="144"/>
      <c r="AY69" s="144"/>
      <c r="AZ69" s="7"/>
    </row>
    <row r="70" spans="1:52">
      <c r="A70" s="19" t="e">
        <f t="shared" si="60"/>
        <v>#DIV/0!</v>
      </c>
      <c r="B70" s="26" t="e">
        <f t="shared" si="61"/>
        <v>#DIV/0!</v>
      </c>
      <c r="C70" s="26" t="e">
        <f t="shared" si="62"/>
        <v>#DIV/0!</v>
      </c>
      <c r="D70" s="26" t="e">
        <f t="shared" si="63"/>
        <v>#DIV/0!</v>
      </c>
      <c r="E70" s="26" t="e">
        <f t="shared" si="64"/>
        <v>#DIV/0!</v>
      </c>
      <c r="F70" s="77" t="e">
        <f t="shared" si="65"/>
        <v>#DIV/0!</v>
      </c>
      <c r="G70" s="77" t="e">
        <f t="shared" si="66"/>
        <v>#DIV/0!</v>
      </c>
      <c r="H70" s="75" t="e">
        <f t="shared" si="67"/>
        <v>#DIV/0!</v>
      </c>
      <c r="I70" s="75" t="e">
        <f t="shared" si="68"/>
        <v>#DIV/0!</v>
      </c>
      <c r="J70" s="77" t="e">
        <f t="shared" si="69"/>
        <v>#DIV/0!</v>
      </c>
      <c r="K70" s="77" t="e">
        <f t="shared" si="70"/>
        <v>#DIV/0!</v>
      </c>
      <c r="L70" s="91" t="e">
        <f t="shared" si="71"/>
        <v>#DIV/0!</v>
      </c>
      <c r="M70" s="93"/>
      <c r="N70" s="75" t="e">
        <f t="shared" si="57"/>
        <v>#DIV/0!</v>
      </c>
      <c r="O70" s="75" t="e">
        <f t="shared" si="58"/>
        <v>#DIV/0!</v>
      </c>
      <c r="P70" s="109" t="e">
        <f t="shared" si="59"/>
        <v>#DIV/0!</v>
      </c>
      <c r="Q70" s="18"/>
      <c r="AF70" s="7"/>
      <c r="AG70" s="7"/>
      <c r="AH70" s="7"/>
      <c r="AI70" s="7"/>
      <c r="AJ70" s="7"/>
      <c r="AK70" s="7"/>
      <c r="AL70" s="7"/>
      <c r="AM70" s="7"/>
      <c r="AN70" s="7"/>
      <c r="AR70" s="28"/>
      <c r="AS70" s="7"/>
      <c r="AT70" s="144"/>
      <c r="AU70" s="144"/>
      <c r="AV70" s="144"/>
      <c r="AW70" s="144"/>
      <c r="AX70" s="144"/>
      <c r="AY70" s="144"/>
      <c r="AZ70" s="7"/>
    </row>
    <row r="71" spans="1:52">
      <c r="A71" s="19" t="e">
        <f t="shared" si="60"/>
        <v>#DIV/0!</v>
      </c>
      <c r="B71" s="26" t="e">
        <f t="shared" si="61"/>
        <v>#DIV/0!</v>
      </c>
      <c r="C71" s="26" t="e">
        <f t="shared" si="62"/>
        <v>#DIV/0!</v>
      </c>
      <c r="D71" s="26" t="e">
        <f t="shared" si="63"/>
        <v>#DIV/0!</v>
      </c>
      <c r="E71" s="26" t="e">
        <f t="shared" si="64"/>
        <v>#DIV/0!</v>
      </c>
      <c r="F71" s="77" t="e">
        <f t="shared" si="65"/>
        <v>#DIV/0!</v>
      </c>
      <c r="G71" s="77" t="e">
        <f t="shared" si="66"/>
        <v>#DIV/0!</v>
      </c>
      <c r="H71" s="75" t="e">
        <f t="shared" si="67"/>
        <v>#DIV/0!</v>
      </c>
      <c r="I71" s="75" t="e">
        <f t="shared" si="68"/>
        <v>#DIV/0!</v>
      </c>
      <c r="J71" s="77" t="e">
        <f t="shared" si="69"/>
        <v>#DIV/0!</v>
      </c>
      <c r="K71" s="77" t="e">
        <f t="shared" si="70"/>
        <v>#DIV/0!</v>
      </c>
      <c r="L71" s="91" t="e">
        <f t="shared" si="71"/>
        <v>#DIV/0!</v>
      </c>
      <c r="M71" s="93"/>
      <c r="N71" s="75" t="e">
        <f t="shared" si="57"/>
        <v>#DIV/0!</v>
      </c>
      <c r="O71" s="75" t="e">
        <f t="shared" si="58"/>
        <v>#DIV/0!</v>
      </c>
      <c r="P71" s="109" t="e">
        <f t="shared" si="59"/>
        <v>#DIV/0!</v>
      </c>
      <c r="Q71" s="18"/>
      <c r="AF71" s="7"/>
      <c r="AG71" s="7"/>
      <c r="AH71" s="7"/>
      <c r="AI71" s="7"/>
      <c r="AJ71" s="7"/>
      <c r="AK71" s="7"/>
      <c r="AL71" s="7"/>
      <c r="AM71" s="7"/>
      <c r="AN71" s="7"/>
      <c r="AR71" s="28"/>
      <c r="AS71" s="7"/>
      <c r="AT71" s="144"/>
      <c r="AU71" s="144"/>
      <c r="AV71" s="144"/>
      <c r="AW71" s="144"/>
      <c r="AX71" s="144"/>
      <c r="AY71" s="144"/>
      <c r="AZ71" s="7"/>
    </row>
    <row r="72" spans="1:52">
      <c r="A72" s="19" t="e">
        <f t="shared" si="60"/>
        <v>#DIV/0!</v>
      </c>
      <c r="B72" s="26" t="e">
        <f t="shared" si="61"/>
        <v>#DIV/0!</v>
      </c>
      <c r="C72" s="26" t="e">
        <f t="shared" si="62"/>
        <v>#DIV/0!</v>
      </c>
      <c r="D72" s="26" t="e">
        <f t="shared" si="63"/>
        <v>#DIV/0!</v>
      </c>
      <c r="E72" s="26" t="e">
        <f t="shared" si="64"/>
        <v>#DIV/0!</v>
      </c>
      <c r="F72" s="77" t="e">
        <f t="shared" si="65"/>
        <v>#DIV/0!</v>
      </c>
      <c r="G72" s="77" t="e">
        <f t="shared" si="66"/>
        <v>#DIV/0!</v>
      </c>
      <c r="H72" s="75" t="e">
        <f t="shared" si="67"/>
        <v>#DIV/0!</v>
      </c>
      <c r="I72" s="75" t="e">
        <f t="shared" si="68"/>
        <v>#DIV/0!</v>
      </c>
      <c r="J72" s="77" t="e">
        <f t="shared" si="69"/>
        <v>#DIV/0!</v>
      </c>
      <c r="K72" s="77" t="e">
        <f t="shared" si="70"/>
        <v>#DIV/0!</v>
      </c>
      <c r="L72" s="91" t="e">
        <f t="shared" si="71"/>
        <v>#DIV/0!</v>
      </c>
      <c r="M72" s="93"/>
      <c r="N72" s="75" t="e">
        <f t="shared" si="57"/>
        <v>#DIV/0!</v>
      </c>
      <c r="O72" s="75" t="e">
        <f t="shared" si="58"/>
        <v>#DIV/0!</v>
      </c>
      <c r="P72" s="109" t="e">
        <f t="shared" si="59"/>
        <v>#DIV/0!</v>
      </c>
      <c r="Q72" s="18"/>
      <c r="AF72" s="7"/>
      <c r="AG72" s="7"/>
      <c r="AH72" s="7"/>
      <c r="AI72" s="7"/>
      <c r="AJ72" s="7"/>
      <c r="AK72" s="7"/>
      <c r="AL72" s="7"/>
      <c r="AM72" s="7"/>
      <c r="AN72" s="7"/>
      <c r="AR72" s="28"/>
      <c r="AS72" s="7"/>
      <c r="AT72" s="144"/>
      <c r="AU72" s="144"/>
      <c r="AV72" s="144"/>
      <c r="AW72" s="144"/>
      <c r="AX72" s="144"/>
      <c r="AY72" s="144"/>
      <c r="AZ72" s="7"/>
    </row>
    <row r="73" spans="1:52">
      <c r="A73" s="19" t="e">
        <f t="shared" si="60"/>
        <v>#DIV/0!</v>
      </c>
      <c r="B73" s="26" t="e">
        <f t="shared" si="61"/>
        <v>#DIV/0!</v>
      </c>
      <c r="C73" s="26" t="e">
        <f t="shared" si="62"/>
        <v>#DIV/0!</v>
      </c>
      <c r="D73" s="26" t="e">
        <f t="shared" si="63"/>
        <v>#DIV/0!</v>
      </c>
      <c r="E73" s="26" t="e">
        <f t="shared" si="64"/>
        <v>#DIV/0!</v>
      </c>
      <c r="F73" s="77" t="e">
        <f t="shared" si="65"/>
        <v>#DIV/0!</v>
      </c>
      <c r="G73" s="77" t="e">
        <f t="shared" si="66"/>
        <v>#DIV/0!</v>
      </c>
      <c r="H73" s="81" t="e">
        <f t="shared" si="67"/>
        <v>#DIV/0!</v>
      </c>
      <c r="I73" s="81" t="e">
        <f t="shared" si="68"/>
        <v>#DIV/0!</v>
      </c>
      <c r="J73" s="80" t="e">
        <f t="shared" si="69"/>
        <v>#DIV/0!</v>
      </c>
      <c r="K73" s="80" t="e">
        <f t="shared" si="70"/>
        <v>#DIV/0!</v>
      </c>
      <c r="L73" s="91" t="e">
        <f t="shared" si="71"/>
        <v>#DIV/0!</v>
      </c>
      <c r="M73" s="93"/>
      <c r="N73" s="75" t="e">
        <f>-(-$I$57+0.5*$K$60*((POWER(TAN(A73/2),2*$C$60-2)/(2*$C$60-2))-(POWER(TAN(A73/2),2*$C$60+2)/(2*$C$60+2))-(POWER(TAN($E$60/2),2*$C$60-2)/(2*$C$60-2))+(POWER(TAN($E$60/2),2*$C$60+2)/(2*$C$60+2))))-$D$57</f>
        <v>#DIV/0!</v>
      </c>
      <c r="O73" s="75" t="e">
        <f t="shared" si="58"/>
        <v>#DIV/0!</v>
      </c>
      <c r="P73" s="109" t="e">
        <f t="shared" si="59"/>
        <v>#DIV/0!</v>
      </c>
      <c r="Q73" s="18"/>
      <c r="AF73" s="7"/>
      <c r="AG73" s="7"/>
      <c r="AH73" s="7"/>
      <c r="AI73" s="7"/>
      <c r="AJ73" s="7"/>
      <c r="AK73" s="7"/>
      <c r="AL73" s="7"/>
      <c r="AM73" s="7"/>
      <c r="AN73" s="7"/>
      <c r="AR73" s="28"/>
      <c r="AS73" s="7"/>
      <c r="AT73" s="144"/>
      <c r="AU73" s="144"/>
      <c r="AV73" s="144"/>
      <c r="AW73" s="144"/>
      <c r="AX73" s="144"/>
      <c r="AY73" s="144"/>
      <c r="AZ73" s="7"/>
    </row>
    <row r="74" spans="1:52">
      <c r="A74" s="88" t="s">
        <v>60</v>
      </c>
      <c r="B74" s="8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18"/>
      <c r="AF74" s="7"/>
      <c r="AG74" s="7"/>
      <c r="AH74" s="7"/>
      <c r="AI74" s="7"/>
      <c r="AJ74" s="7"/>
      <c r="AK74" s="7"/>
      <c r="AL74" s="7"/>
      <c r="AM74" s="7"/>
      <c r="AN74" s="7"/>
      <c r="AR74" s="28"/>
      <c r="AS74" s="7"/>
      <c r="AT74" s="144"/>
      <c r="AU74" s="144"/>
      <c r="AV74" s="144"/>
      <c r="AW74" s="144"/>
      <c r="AX74" s="144"/>
      <c r="AY74" s="144"/>
      <c r="AZ74" s="7"/>
    </row>
    <row r="75" spans="1:52">
      <c r="A75" s="26" t="s">
        <v>11</v>
      </c>
      <c r="B75" s="26" t="s">
        <v>13</v>
      </c>
      <c r="C75" s="26" t="s">
        <v>22</v>
      </c>
      <c r="D75" s="26" t="s">
        <v>18</v>
      </c>
      <c r="E75" s="26" t="s">
        <v>19</v>
      </c>
      <c r="F75" s="26" t="s">
        <v>20</v>
      </c>
      <c r="G75" s="26" t="s">
        <v>2</v>
      </c>
      <c r="H75" s="26" t="s">
        <v>1</v>
      </c>
      <c r="I75" s="26" t="s">
        <v>0</v>
      </c>
      <c r="J75" s="76" t="s">
        <v>3</v>
      </c>
      <c r="K75" s="76" t="s">
        <v>4</v>
      </c>
      <c r="L75" s="44" t="s">
        <v>7</v>
      </c>
      <c r="M75" s="28"/>
      <c r="N75" s="28"/>
      <c r="O75" s="28"/>
      <c r="P75" s="31"/>
      <c r="Q75" s="18"/>
      <c r="AF75" s="7"/>
      <c r="AG75" s="7"/>
      <c r="AH75" s="7"/>
      <c r="AI75" s="7"/>
      <c r="AJ75" s="7"/>
      <c r="AK75" s="7"/>
      <c r="AL75" s="7"/>
      <c r="AM75" s="7"/>
      <c r="AN75" s="7"/>
      <c r="AR75" s="28"/>
      <c r="AS75" s="7"/>
      <c r="AT75" s="144"/>
      <c r="AU75" s="144"/>
      <c r="AV75" s="144"/>
      <c r="AW75" s="144"/>
      <c r="AX75" s="144"/>
      <c r="AY75" s="144"/>
      <c r="AZ75" s="7"/>
    </row>
    <row r="76" spans="1:52">
      <c r="A76" s="19" t="e">
        <f>$E60</f>
        <v>#DIV/0!</v>
      </c>
      <c r="B76" s="26" t="e">
        <f t="shared" ref="B76:B81" si="72">COS(A76)</f>
        <v>#DIV/0!</v>
      </c>
      <c r="C76" s="26" t="e">
        <f t="shared" ref="C76:C81" si="73">($C$60+B76)</f>
        <v>#DIV/0!</v>
      </c>
      <c r="D76" s="26" t="e">
        <f t="shared" ref="D76:D81" si="74">POWER(TAN(A76/2),$C$60)</f>
        <v>#DIV/0!</v>
      </c>
      <c r="E76" s="26" t="e">
        <f t="shared" ref="E76:E81" si="75">SIN(A76)</f>
        <v>#DIV/0!</v>
      </c>
      <c r="F76" s="77" t="e">
        <f t="shared" ref="F76:F81" si="76">(C76*$H$60*D76/E76/$I$60/$J$60)</f>
        <v>#DIV/0!</v>
      </c>
      <c r="G76" s="77" t="e">
        <f t="shared" ref="G76:G81" si="77">$D$60*($C$60+$G$60)/9.81/SIN($C$57)/(1-$C$60*$C$60)*(F76-1)</f>
        <v>#DIV/0!</v>
      </c>
      <c r="H76" s="109" t="e">
        <f t="shared" ref="H76:H81" si="78">-(-$H$57+$K$60*((POWER(TAN(A76/2),2*$C$60-1)/(2*$C$60-1))+(POWER(TAN(A76/2),2*$C$60+1)/(2*$C$60+1))-(POWER(TAN($E$60/2),2*$C$60-1)/(2*$C$60-1))-(POWER(TAN($E$60/2),2*$C$60+1)/(2*$C$60+1))))</f>
        <v>#DIV/0!</v>
      </c>
      <c r="I76" s="109" t="e">
        <f t="shared" ref="I76:I81" si="79">-(-$I$57+0.5*$K$60*((POWER(TAN(A76/2),2*$C$60-2)/(2*$C$60-2))-(POWER(TAN(A76/2),2*$C$60+2)/(2*$C$60+2))-(POWER(TAN($E$60/2),2*$C$60-2)/(2*$C$60-2))+(POWER(TAN($E$60/2),2*$C$60+2)/(2*$C$60+2))))</f>
        <v>#DIV/0!</v>
      </c>
      <c r="J76" s="77" t="e">
        <f t="shared" ref="J76:J81" si="80">-$D$60*SIN(A76)*($C$60+$G$60)/($C$60+B76)*F76</f>
        <v>#DIV/0!</v>
      </c>
      <c r="K76" s="77" t="e">
        <f t="shared" ref="K76:K81" si="81">-$D$60*COS(A76)*($C$60+$G$60)/($C$60+B76)*F76</f>
        <v>#DIV/0!</v>
      </c>
      <c r="L76" s="91" t="e">
        <f t="shared" ref="L76:L81" si="82">SQRT(J76*J76+K76*K76)</f>
        <v>#DIV/0!</v>
      </c>
      <c r="M76" s="28"/>
      <c r="N76" s="28"/>
      <c r="O76" s="28"/>
      <c r="P76" s="31"/>
      <c r="Q76" s="18"/>
      <c r="AF76" s="7"/>
      <c r="AG76" s="7"/>
      <c r="AH76" s="7"/>
      <c r="AI76" s="7"/>
      <c r="AJ76" s="7"/>
      <c r="AK76" s="7"/>
      <c r="AL76" s="7"/>
      <c r="AM76" s="7"/>
      <c r="AN76" s="7"/>
      <c r="AR76" s="28"/>
      <c r="AS76" s="7"/>
      <c r="AT76" s="144"/>
      <c r="AU76" s="144"/>
      <c r="AV76" s="144"/>
      <c r="AW76" s="144"/>
      <c r="AX76" s="144"/>
      <c r="AY76" s="144"/>
      <c r="AZ76" s="7"/>
    </row>
    <row r="77" spans="1:52">
      <c r="A77" s="20" t="e">
        <f>A76-$F$60</f>
        <v>#DIV/0!</v>
      </c>
      <c r="B77" s="26" t="e">
        <f t="shared" si="72"/>
        <v>#DIV/0!</v>
      </c>
      <c r="C77" s="26" t="e">
        <f t="shared" si="73"/>
        <v>#DIV/0!</v>
      </c>
      <c r="D77" s="26" t="e">
        <f t="shared" si="74"/>
        <v>#DIV/0!</v>
      </c>
      <c r="E77" s="26" t="e">
        <f t="shared" si="75"/>
        <v>#DIV/0!</v>
      </c>
      <c r="F77" s="77" t="e">
        <f t="shared" si="76"/>
        <v>#DIV/0!</v>
      </c>
      <c r="G77" s="77" t="e">
        <f t="shared" si="77"/>
        <v>#DIV/0!</v>
      </c>
      <c r="H77" s="109" t="e">
        <f t="shared" si="78"/>
        <v>#DIV/0!</v>
      </c>
      <c r="I77" s="109" t="e">
        <f t="shared" si="79"/>
        <v>#DIV/0!</v>
      </c>
      <c r="J77" s="77" t="e">
        <f t="shared" si="80"/>
        <v>#DIV/0!</v>
      </c>
      <c r="K77" s="77" t="e">
        <f t="shared" si="81"/>
        <v>#DIV/0!</v>
      </c>
      <c r="L77" s="91" t="e">
        <f t="shared" si="82"/>
        <v>#DIV/0!</v>
      </c>
      <c r="M77" s="28"/>
      <c r="N77" s="28"/>
      <c r="O77" s="28"/>
      <c r="P77" s="31"/>
      <c r="Q77" s="18"/>
      <c r="AF77" s="7"/>
      <c r="AG77" s="7"/>
      <c r="AH77" s="7"/>
      <c r="AI77" s="7"/>
      <c r="AJ77" s="7"/>
      <c r="AK77" s="7"/>
      <c r="AL77" s="7"/>
      <c r="AM77" s="7"/>
      <c r="AN77" s="7"/>
      <c r="AR77" s="28"/>
      <c r="AS77" s="7"/>
      <c r="AT77" s="144"/>
      <c r="AU77" s="144"/>
      <c r="AV77" s="144"/>
      <c r="AW77" s="144"/>
      <c r="AX77" s="144"/>
      <c r="AY77" s="144"/>
      <c r="AZ77" s="7"/>
    </row>
    <row r="78" spans="1:52">
      <c r="A78" s="20" t="e">
        <f>A77-$F$60</f>
        <v>#DIV/0!</v>
      </c>
      <c r="B78" s="26" t="e">
        <f t="shared" si="72"/>
        <v>#DIV/0!</v>
      </c>
      <c r="C78" s="26" t="e">
        <f t="shared" si="73"/>
        <v>#DIV/0!</v>
      </c>
      <c r="D78" s="26" t="e">
        <f t="shared" si="74"/>
        <v>#DIV/0!</v>
      </c>
      <c r="E78" s="26" t="e">
        <f t="shared" si="75"/>
        <v>#DIV/0!</v>
      </c>
      <c r="F78" s="77" t="e">
        <f t="shared" si="76"/>
        <v>#DIV/0!</v>
      </c>
      <c r="G78" s="77" t="e">
        <f t="shared" si="77"/>
        <v>#DIV/0!</v>
      </c>
      <c r="H78" s="109" t="e">
        <f t="shared" si="78"/>
        <v>#DIV/0!</v>
      </c>
      <c r="I78" s="109" t="e">
        <f t="shared" si="79"/>
        <v>#DIV/0!</v>
      </c>
      <c r="J78" s="77" t="e">
        <f t="shared" si="80"/>
        <v>#DIV/0!</v>
      </c>
      <c r="K78" s="77" t="e">
        <f t="shared" si="81"/>
        <v>#DIV/0!</v>
      </c>
      <c r="L78" s="91" t="e">
        <f t="shared" si="82"/>
        <v>#DIV/0!</v>
      </c>
      <c r="M78" s="45"/>
      <c r="N78" s="28"/>
      <c r="O78" s="28"/>
      <c r="P78" s="31"/>
      <c r="Q78" s="18"/>
      <c r="AF78" s="7"/>
      <c r="AG78" s="7"/>
      <c r="AH78" s="7"/>
      <c r="AI78" s="7"/>
      <c r="AJ78" s="7"/>
      <c r="AK78" s="7"/>
      <c r="AL78" s="7"/>
      <c r="AM78" s="7"/>
      <c r="AN78" s="7"/>
      <c r="AR78" s="28"/>
      <c r="AS78" s="7"/>
      <c r="AT78" s="144"/>
      <c r="AU78" s="144"/>
      <c r="AV78" s="144"/>
      <c r="AW78" s="144"/>
      <c r="AX78" s="144"/>
      <c r="AY78" s="144"/>
      <c r="AZ78" s="7"/>
    </row>
    <row r="79" spans="1:52">
      <c r="A79" s="20" t="e">
        <f>A78-$F$60</f>
        <v>#DIV/0!</v>
      </c>
      <c r="B79" s="26" t="e">
        <f t="shared" si="72"/>
        <v>#DIV/0!</v>
      </c>
      <c r="C79" s="26" t="e">
        <f t="shared" si="73"/>
        <v>#DIV/0!</v>
      </c>
      <c r="D79" s="26" t="e">
        <f t="shared" si="74"/>
        <v>#DIV/0!</v>
      </c>
      <c r="E79" s="26" t="e">
        <f t="shared" si="75"/>
        <v>#DIV/0!</v>
      </c>
      <c r="F79" s="77" t="e">
        <f t="shared" si="76"/>
        <v>#DIV/0!</v>
      </c>
      <c r="G79" s="77" t="e">
        <f t="shared" si="77"/>
        <v>#DIV/0!</v>
      </c>
      <c r="H79" s="109" t="e">
        <f t="shared" si="78"/>
        <v>#DIV/0!</v>
      </c>
      <c r="I79" s="109" t="e">
        <f t="shared" si="79"/>
        <v>#DIV/0!</v>
      </c>
      <c r="J79" s="77" t="e">
        <f t="shared" si="80"/>
        <v>#DIV/0!</v>
      </c>
      <c r="K79" s="77" t="e">
        <f t="shared" si="81"/>
        <v>#DIV/0!</v>
      </c>
      <c r="L79" s="91" t="e">
        <f t="shared" si="82"/>
        <v>#DIV/0!</v>
      </c>
      <c r="M79" s="45"/>
      <c r="N79" s="28"/>
      <c r="O79" s="28"/>
      <c r="P79" s="31"/>
      <c r="Q79" s="18"/>
      <c r="AF79" s="7"/>
      <c r="AG79" s="7"/>
      <c r="AH79" s="7"/>
      <c r="AI79" s="7"/>
      <c r="AJ79" s="7"/>
      <c r="AK79" s="7"/>
      <c r="AL79" s="7"/>
      <c r="AM79" s="7"/>
      <c r="AN79" s="7"/>
      <c r="AR79" s="28"/>
      <c r="AS79" s="7"/>
      <c r="AT79" s="144"/>
      <c r="AU79" s="144"/>
      <c r="AV79" s="144"/>
      <c r="AW79" s="144"/>
      <c r="AX79" s="144"/>
      <c r="AY79" s="144"/>
      <c r="AZ79" s="7"/>
    </row>
    <row r="80" spans="1:52">
      <c r="A80" s="20" t="e">
        <f>A79-$F$60</f>
        <v>#DIV/0!</v>
      </c>
      <c r="B80" s="26" t="e">
        <f t="shared" si="72"/>
        <v>#DIV/0!</v>
      </c>
      <c r="C80" s="26" t="e">
        <f t="shared" si="73"/>
        <v>#DIV/0!</v>
      </c>
      <c r="D80" s="26" t="e">
        <f t="shared" si="74"/>
        <v>#DIV/0!</v>
      </c>
      <c r="E80" s="26" t="e">
        <f t="shared" si="75"/>
        <v>#DIV/0!</v>
      </c>
      <c r="F80" s="77" t="e">
        <f t="shared" si="76"/>
        <v>#DIV/0!</v>
      </c>
      <c r="G80" s="77" t="e">
        <f t="shared" si="77"/>
        <v>#DIV/0!</v>
      </c>
      <c r="H80" s="109" t="e">
        <f t="shared" si="78"/>
        <v>#DIV/0!</v>
      </c>
      <c r="I80" s="109" t="e">
        <f t="shared" si="79"/>
        <v>#DIV/0!</v>
      </c>
      <c r="J80" s="77" t="e">
        <f t="shared" si="80"/>
        <v>#DIV/0!</v>
      </c>
      <c r="K80" s="77" t="e">
        <f t="shared" si="81"/>
        <v>#DIV/0!</v>
      </c>
      <c r="L80" s="91" t="e">
        <f t="shared" si="82"/>
        <v>#DIV/0!</v>
      </c>
      <c r="M80" s="45"/>
      <c r="N80" s="28"/>
      <c r="O80" s="28"/>
      <c r="P80" s="89"/>
      <c r="Q80" s="18"/>
      <c r="AF80" s="7"/>
      <c r="AG80" s="7"/>
      <c r="AH80" s="7"/>
      <c r="AI80" s="7"/>
      <c r="AJ80" s="7"/>
      <c r="AK80" s="7"/>
      <c r="AL80" s="7"/>
      <c r="AM80" s="7"/>
      <c r="AN80" s="7"/>
      <c r="AR80" s="28"/>
      <c r="AS80" s="7"/>
      <c r="AT80" s="144"/>
      <c r="AU80" s="144"/>
      <c r="AV80" s="144"/>
      <c r="AW80" s="144"/>
      <c r="AX80" s="144"/>
      <c r="AY80" s="144"/>
      <c r="AZ80" s="7"/>
    </row>
    <row r="81" spans="1:52">
      <c r="A81" s="20" t="e">
        <f>A80-$F$60</f>
        <v>#DIV/0!</v>
      </c>
      <c r="B81" s="26" t="e">
        <f t="shared" si="72"/>
        <v>#DIV/0!</v>
      </c>
      <c r="C81" s="26" t="e">
        <f t="shared" si="73"/>
        <v>#DIV/0!</v>
      </c>
      <c r="D81" s="26" t="e">
        <f t="shared" si="74"/>
        <v>#DIV/0!</v>
      </c>
      <c r="E81" s="26" t="e">
        <f t="shared" si="75"/>
        <v>#DIV/0!</v>
      </c>
      <c r="F81" s="77" t="e">
        <f t="shared" si="76"/>
        <v>#DIV/0!</v>
      </c>
      <c r="G81" s="77" t="e">
        <f t="shared" si="77"/>
        <v>#DIV/0!</v>
      </c>
      <c r="H81" s="109" t="e">
        <f t="shared" si="78"/>
        <v>#DIV/0!</v>
      </c>
      <c r="I81" s="109" t="e">
        <f t="shared" si="79"/>
        <v>#DIV/0!</v>
      </c>
      <c r="J81" s="77" t="e">
        <f t="shared" si="80"/>
        <v>#DIV/0!</v>
      </c>
      <c r="K81" s="77" t="e">
        <f t="shared" si="81"/>
        <v>#DIV/0!</v>
      </c>
      <c r="L81" s="91" t="e">
        <f t="shared" si="82"/>
        <v>#DIV/0!</v>
      </c>
      <c r="M81" s="45"/>
      <c r="N81" s="28"/>
      <c r="O81" s="28"/>
      <c r="P81" s="28"/>
      <c r="Q81" s="18"/>
      <c r="AF81" s="7"/>
      <c r="AG81" s="7"/>
      <c r="AH81" s="7"/>
      <c r="AI81" s="7"/>
      <c r="AJ81" s="7"/>
      <c r="AK81" s="7"/>
      <c r="AL81" s="7"/>
      <c r="AM81" s="7"/>
      <c r="AN81" s="7"/>
      <c r="AR81" s="28"/>
      <c r="AS81" s="7"/>
      <c r="AT81" s="144"/>
      <c r="AU81" s="144"/>
      <c r="AV81" s="144"/>
      <c r="AW81" s="144"/>
      <c r="AX81" s="144"/>
      <c r="AY81" s="144"/>
      <c r="AZ81" s="7"/>
    </row>
    <row r="82" spans="1:52">
      <c r="A82" s="142"/>
      <c r="B82" s="142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AF82" s="7"/>
      <c r="AG82" s="7"/>
      <c r="AH82" s="7"/>
      <c r="AI82" s="7"/>
      <c r="AJ82" s="7"/>
      <c r="AK82" s="7"/>
      <c r="AL82" s="7"/>
      <c r="AM82" s="7"/>
      <c r="AN82" s="7"/>
      <c r="AR82" s="28"/>
      <c r="AS82" s="7"/>
      <c r="AT82" s="144"/>
      <c r="AU82" s="144"/>
      <c r="AV82" s="144"/>
      <c r="AW82" s="144"/>
      <c r="AX82" s="144"/>
      <c r="AY82" s="144"/>
      <c r="AZ82" s="7"/>
    </row>
    <row r="83" spans="1:52">
      <c r="A83" s="88" t="s">
        <v>73</v>
      </c>
      <c r="B83" s="88"/>
      <c r="C83" s="23" t="str">
        <f>CONCATENATE("m",Stufengrün!R47)</f>
        <v>m-1</v>
      </c>
      <c r="D83" s="23" t="s">
        <v>30</v>
      </c>
      <c r="E83" s="28"/>
      <c r="F83" s="28"/>
      <c r="G83" s="28"/>
      <c r="H83" s="36" t="s">
        <v>57</v>
      </c>
      <c r="I83" s="36" t="s">
        <v>51</v>
      </c>
      <c r="J83" s="36" t="s">
        <v>58</v>
      </c>
      <c r="K83" s="36" t="s">
        <v>59</v>
      </c>
      <c r="L83" s="28"/>
      <c r="M83" s="28"/>
      <c r="N83" s="28"/>
      <c r="O83" s="28"/>
      <c r="P83" s="28"/>
      <c r="AF83" s="7"/>
      <c r="AG83" s="7"/>
      <c r="AH83" s="7"/>
      <c r="AI83" s="7"/>
      <c r="AJ83" s="7"/>
      <c r="AK83" s="7"/>
      <c r="AL83" s="7"/>
      <c r="AM83" s="7"/>
      <c r="AN83" s="7"/>
      <c r="AR83" s="28"/>
      <c r="AS83" s="7"/>
      <c r="AT83" s="144"/>
      <c r="AU83" s="144"/>
      <c r="AV83" s="144"/>
      <c r="AW83" s="144"/>
      <c r="AX83" s="144"/>
      <c r="AY83" s="144"/>
      <c r="AZ83" s="7"/>
    </row>
    <row r="84" spans="1:52">
      <c r="A84" s="88" t="s">
        <v>69</v>
      </c>
      <c r="B84" s="88"/>
      <c r="C84" s="36">
        <f>Stufengrün!S47</f>
        <v>0.14505155745746634</v>
      </c>
      <c r="D84" s="26">
        <f>Stufengrün!U46</f>
        <v>-0.77679246641748789</v>
      </c>
      <c r="E84" s="28"/>
      <c r="F84" s="28"/>
      <c r="G84" s="28"/>
      <c r="H84" s="78" t="e">
        <f>H73</f>
        <v>#DIV/0!</v>
      </c>
      <c r="I84" s="78" t="e">
        <f>I73</f>
        <v>#DIV/0!</v>
      </c>
      <c r="J84" s="78" t="e">
        <f>J73</f>
        <v>#DIV/0!</v>
      </c>
      <c r="K84" s="78" t="e">
        <f>K73</f>
        <v>#DIV/0!</v>
      </c>
      <c r="L84" s="28"/>
      <c r="M84" s="28"/>
      <c r="N84" s="28"/>
      <c r="O84" s="28"/>
      <c r="P84" s="28"/>
      <c r="AF84" s="7"/>
      <c r="AG84" s="7"/>
      <c r="AH84" s="7"/>
      <c r="AI84" s="7"/>
      <c r="AJ84" s="7"/>
      <c r="AK84" s="7"/>
      <c r="AL84" s="7"/>
      <c r="AM84" s="7"/>
      <c r="AN84" s="7"/>
      <c r="AR84" s="28"/>
      <c r="AS84" s="7"/>
      <c r="AT84" s="144"/>
      <c r="AU84" s="144"/>
      <c r="AV84" s="144"/>
      <c r="AW84" s="144"/>
      <c r="AX84" s="144"/>
      <c r="AY84" s="144"/>
      <c r="AZ84" s="7"/>
    </row>
    <row r="85" spans="1:52">
      <c r="A85" s="95"/>
      <c r="B85" s="95"/>
      <c r="C85" s="28"/>
      <c r="D85" s="28"/>
      <c r="E85" s="28"/>
      <c r="F85" s="28"/>
      <c r="G85" s="28"/>
      <c r="H85" s="37" t="s">
        <v>8</v>
      </c>
      <c r="I85" s="37" t="s">
        <v>8</v>
      </c>
      <c r="J85" s="37" t="s">
        <v>9</v>
      </c>
      <c r="K85" s="37" t="s">
        <v>9</v>
      </c>
      <c r="L85" s="28"/>
      <c r="M85" s="28"/>
      <c r="N85" s="28"/>
      <c r="O85" s="28"/>
      <c r="P85" s="28"/>
      <c r="AF85" s="7"/>
      <c r="AG85" s="7"/>
      <c r="AH85" s="7"/>
      <c r="AI85" s="7"/>
      <c r="AJ85" s="7"/>
      <c r="AK85" s="7"/>
      <c r="AL85" s="7"/>
      <c r="AM85" s="7"/>
      <c r="AN85" s="7"/>
      <c r="AR85" s="28"/>
      <c r="AS85" s="7"/>
      <c r="AT85" s="144"/>
      <c r="AU85" s="144"/>
      <c r="AV85" s="144"/>
      <c r="AW85" s="144"/>
      <c r="AX85" s="144"/>
      <c r="AY85" s="144"/>
      <c r="AZ85" s="7"/>
    </row>
    <row r="86" spans="1:52">
      <c r="A86" s="88" t="s">
        <v>68</v>
      </c>
      <c r="B86" s="88"/>
      <c r="C86" s="105" t="s">
        <v>15</v>
      </c>
      <c r="D86" s="105" t="s">
        <v>55</v>
      </c>
      <c r="E86" s="105" t="s">
        <v>12</v>
      </c>
      <c r="F86" s="105" t="s">
        <v>10</v>
      </c>
      <c r="G86" s="105" t="s">
        <v>14</v>
      </c>
      <c r="H86" s="105" t="s">
        <v>21</v>
      </c>
      <c r="I86" s="105" t="s">
        <v>16</v>
      </c>
      <c r="J86" s="105" t="s">
        <v>17</v>
      </c>
      <c r="K86" s="105" t="s">
        <v>23</v>
      </c>
      <c r="L86" s="28"/>
      <c r="M86" s="28"/>
      <c r="N86" s="28"/>
      <c r="O86" s="28"/>
      <c r="P86" s="28"/>
      <c r="AF86" s="7"/>
      <c r="AG86" s="7"/>
      <c r="AH86" s="7"/>
      <c r="AI86" s="7"/>
      <c r="AJ86" s="7"/>
      <c r="AK86" s="7"/>
      <c r="AL86" s="7"/>
      <c r="AM86" s="7"/>
      <c r="AN86" s="7"/>
      <c r="AR86" s="28"/>
      <c r="AS86" s="7"/>
      <c r="AT86" s="144"/>
      <c r="AU86" s="144"/>
      <c r="AV86" s="144"/>
      <c r="AW86" s="144"/>
      <c r="AX86" s="144"/>
      <c r="AY86" s="144"/>
      <c r="AZ86" s="7"/>
    </row>
    <row r="87" spans="1:52">
      <c r="A87" s="28"/>
      <c r="B87" s="28"/>
      <c r="C87" s="23">
        <f>Mü/TAN($C84)</f>
        <v>0.47919773462141801</v>
      </c>
      <c r="D87" s="42" t="e">
        <f>SQRT($J84*$J84+$K84*$K84)</f>
        <v>#DIV/0!</v>
      </c>
      <c r="E87" s="20" t="e">
        <f>ATAN($J84/$K84)</f>
        <v>#DIV/0!</v>
      </c>
      <c r="F87" s="23" t="e">
        <f>($E87-A100-0.0001)/5</f>
        <v>#DIV/0!</v>
      </c>
      <c r="G87" s="23" t="e">
        <f>COS($E87)</f>
        <v>#DIV/0!</v>
      </c>
      <c r="H87" s="23" t="e">
        <f>SIN($E87)</f>
        <v>#DIV/0!</v>
      </c>
      <c r="I87" s="23" t="e">
        <f>$C87+$G87</f>
        <v>#DIV/0!</v>
      </c>
      <c r="J87" s="23" t="e">
        <f>POWER(TAN($E87/2),$C87)</f>
        <v>#DIV/0!</v>
      </c>
      <c r="K87" s="23" t="e">
        <f>-$D87*$D87*SIN($E87)*SIN($E87)/(2*9.81*SIN($C84)*POWER(TAN($E87/2),2*$C87))</f>
        <v>#DIV/0!</v>
      </c>
      <c r="L87" s="28"/>
      <c r="M87" s="28"/>
      <c r="N87" s="28"/>
      <c r="O87" s="28"/>
      <c r="P87" s="28"/>
      <c r="AF87" s="7"/>
      <c r="AG87" s="7"/>
      <c r="AH87" s="7"/>
      <c r="AI87" s="7"/>
      <c r="AJ87" s="7"/>
      <c r="AK87" s="7"/>
      <c r="AL87" s="7"/>
      <c r="AM87" s="7"/>
      <c r="AN87" s="7"/>
      <c r="AR87" s="28"/>
      <c r="AS87" s="7"/>
      <c r="AT87" s="144"/>
      <c r="AU87" s="144"/>
      <c r="AV87" s="144"/>
      <c r="AW87" s="144"/>
      <c r="AX87" s="144"/>
      <c r="AY87" s="144"/>
      <c r="AZ87" s="7"/>
    </row>
    <row r="88" spans="1:52">
      <c r="A88" s="88" t="s">
        <v>70</v>
      </c>
      <c r="B88" s="8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45"/>
      <c r="N88" s="28"/>
      <c r="O88" s="28"/>
      <c r="P88" s="28"/>
      <c r="AF88" s="7"/>
      <c r="AG88" s="7"/>
      <c r="AH88" s="7"/>
      <c r="AI88" s="7"/>
      <c r="AJ88" s="7"/>
      <c r="AK88" s="7"/>
      <c r="AL88" s="7"/>
      <c r="AM88" s="7"/>
      <c r="AN88" s="7"/>
      <c r="AR88" s="28"/>
      <c r="AS88" s="7"/>
      <c r="AT88" s="144"/>
      <c r="AU88" s="144"/>
      <c r="AV88" s="144"/>
      <c r="AW88" s="144"/>
      <c r="AX88" s="144"/>
      <c r="AY88" s="144"/>
      <c r="AZ88" s="7"/>
    </row>
    <row r="89" spans="1:52">
      <c r="A89" s="105" t="s">
        <v>11</v>
      </c>
      <c r="B89" s="105" t="s">
        <v>13</v>
      </c>
      <c r="C89" s="105" t="s">
        <v>22</v>
      </c>
      <c r="D89" s="105" t="s">
        <v>18</v>
      </c>
      <c r="E89" s="105" t="s">
        <v>19</v>
      </c>
      <c r="F89" s="105" t="s">
        <v>20</v>
      </c>
      <c r="G89" s="105" t="s">
        <v>2</v>
      </c>
      <c r="H89" s="105" t="s">
        <v>65</v>
      </c>
      <c r="I89" s="105" t="s">
        <v>66</v>
      </c>
      <c r="J89" s="106" t="s">
        <v>3</v>
      </c>
      <c r="K89" s="106" t="s">
        <v>4</v>
      </c>
      <c r="L89" s="107" t="s">
        <v>7</v>
      </c>
      <c r="M89" s="93"/>
      <c r="N89" s="105" t="s">
        <v>61</v>
      </c>
      <c r="O89" s="105" t="s">
        <v>62</v>
      </c>
      <c r="P89" s="105" t="s">
        <v>63</v>
      </c>
      <c r="AF89" s="7"/>
      <c r="AG89" s="7"/>
      <c r="AH89" s="7"/>
      <c r="AI89" s="7"/>
      <c r="AJ89" s="7"/>
      <c r="AK89" s="7"/>
      <c r="AL89" s="7"/>
      <c r="AM89" s="7"/>
      <c r="AN89" s="7"/>
      <c r="AR89" s="28"/>
      <c r="AS89" s="7"/>
      <c r="AT89" s="144"/>
      <c r="AU89" s="144"/>
      <c r="AV89" s="144"/>
      <c r="AW89" s="144"/>
      <c r="AX89" s="144"/>
      <c r="AY89" s="144"/>
      <c r="AZ89" s="7"/>
    </row>
    <row r="90" spans="1:52">
      <c r="A90" s="19" t="e">
        <f>$E87</f>
        <v>#DIV/0!</v>
      </c>
      <c r="B90" s="26" t="e">
        <f>COS(A90)</f>
        <v>#DIV/0!</v>
      </c>
      <c r="C90" s="26" t="e">
        <f>($C$87+B90)</f>
        <v>#DIV/0!</v>
      </c>
      <c r="D90" s="26" t="e">
        <f>POWER(TAN(A90/2),$C$87)</f>
        <v>#DIV/0!</v>
      </c>
      <c r="E90" s="26" t="e">
        <f>SIN(A90)</f>
        <v>#DIV/0!</v>
      </c>
      <c r="F90" s="77" t="e">
        <f>(C90*$H$87*D90/E90/$I$87/$J$87)</f>
        <v>#DIV/0!</v>
      </c>
      <c r="G90" s="77" t="e">
        <f>$D$87*($C$87+$G$87)/9.81/SIN($C$84)/(1-$C$87*$C$84)*(F90-1)</f>
        <v>#DIV/0!</v>
      </c>
      <c r="H90" s="75" t="e">
        <f>-(-$H$84+$K$87*((POWER(TAN(A90/2),2*$C$87-1)/(2*$C$87-1))+(POWER(TAN(A90/2),2*$C$87+1)/(2*$C$87+1))-(POWER(TAN($E$87/2),2*$C$87-1)/(2*$C$87-1))-(POWER(TAN($E$87/2),2*$C$87+1)/(2*$C$87+1))))</f>
        <v>#DIV/0!</v>
      </c>
      <c r="I90" s="75" t="e">
        <f>-(-$I$84+0.5*$K$87*((POWER(TAN(A90/2),2*$C$87-2)/(2*$C$87-2))-(POWER(TAN(A90/2),2*$C$87+2)/(2*$C$87+2))-(POWER(TAN($E$87/2),2*$C$87-2)/(2*$C$87-2))+(POWER(TAN($E$87/2),2*$C$87+2)/(2*$C$87+2))))</f>
        <v>#DIV/0!</v>
      </c>
      <c r="J90" s="77" t="e">
        <f>-$D$87*SIN(A90)*($C$87+$G$87)/($C$87+B90)*F90</f>
        <v>#DIV/0!</v>
      </c>
      <c r="K90" s="77" t="e">
        <f>-$D$87*COS(A90)*($C$87+$G$87)/($C$87+B90)*F90</f>
        <v>#DIV/0!</v>
      </c>
      <c r="L90" s="91" t="e">
        <f>SQRT(J90*J90+K90*K90)</f>
        <v>#DIV/0!</v>
      </c>
      <c r="M90" s="93"/>
      <c r="N90" s="75" t="e">
        <f>-(-$I$84+0.5*$K$87*((POWER(TAN(A90/2),2*$C$87-2)/(2*$C$87-2))-(POWER(TAN(A90/2),2*$C$87+2)/(2*$C$87+2))-(POWER(TAN($E$87/2),2*$C$87-2)/(2*$C$87-2))+(POWER(TAN($E$87/2),2*$C$87+2)/(2*$C$87+2))))-$D$84</f>
        <v>#DIV/0!</v>
      </c>
      <c r="O90" s="75" t="e">
        <f>-(-$I$84+0.5*$K$87*((POWER(TAN((A90+$M$9)/2),2*$C$87-2)/(2*$C$87-2))-(POWER(TAN((A90+$M$9)/2),2*$C$87+2)/(2*$C$87+2))-(POWER(TAN($E$87/2),2*$C$87-2)/(2*$C$87-2))+(POWER(TAN($E$87/2),2*$C$87+2)/(2*$C$87+2))))-$D$84</f>
        <v>#DIV/0!</v>
      </c>
      <c r="P90" s="109" t="e">
        <f>IF(A90-N90/(O90-N90)*$M$9&lt;0,A90*0.5,A90-N90/(O90-N90)*$M$9)</f>
        <v>#DIV/0!</v>
      </c>
      <c r="AF90" s="7"/>
      <c r="AG90" s="7"/>
      <c r="AH90" s="7"/>
      <c r="AI90" s="7"/>
      <c r="AJ90" s="7"/>
      <c r="AK90" s="7"/>
      <c r="AL90" s="7"/>
      <c r="AM90" s="7"/>
      <c r="AN90" s="7"/>
      <c r="AR90" s="28"/>
      <c r="AS90" s="7"/>
      <c r="AT90" s="144"/>
      <c r="AU90" s="144"/>
      <c r="AV90" s="144"/>
      <c r="AW90" s="144"/>
      <c r="AX90" s="144"/>
      <c r="AY90" s="144"/>
      <c r="AZ90" s="7"/>
    </row>
    <row r="91" spans="1:52">
      <c r="A91" s="19" t="e">
        <f>$P90</f>
        <v>#DIV/0!</v>
      </c>
      <c r="B91" s="26" t="e">
        <f>COS(A91)</f>
        <v>#DIV/0!</v>
      </c>
      <c r="C91" s="26" t="e">
        <f>($C$87+B91)</f>
        <v>#DIV/0!</v>
      </c>
      <c r="D91" s="26" t="e">
        <f>POWER(TAN(A91/2),$C$87)</f>
        <v>#DIV/0!</v>
      </c>
      <c r="E91" s="26" t="e">
        <f>SIN(A91)</f>
        <v>#DIV/0!</v>
      </c>
      <c r="F91" s="77" t="e">
        <f>(C91*$H$87*D91/E91/$I$87/$J$87)</f>
        <v>#DIV/0!</v>
      </c>
      <c r="G91" s="77" t="e">
        <f>$D$87*($C$87+$G$87)/9.81/SIN($C$84)/(1-$C$87*$C$84)*(F91-1)</f>
        <v>#DIV/0!</v>
      </c>
      <c r="H91" s="75" t="e">
        <f>-(-$H$84+$K$87*((POWER(TAN(A91/2),2*$C$87-1)/(2*$C$87-1))+(POWER(TAN(A91/2),2*$C$87+1)/(2*$C$87+1))-(POWER(TAN($E$87/2),2*$C$87-1)/(2*$C$87-1))-(POWER(TAN($E$87/2),2*$C$87+1)/(2*$C$87+1))))</f>
        <v>#DIV/0!</v>
      </c>
      <c r="I91" s="75" t="e">
        <f>-(-$I$84+0.5*$K$87*((POWER(TAN(A91/2),2*$C$87-2)/(2*$C$87-2))-(POWER(TAN(A91/2),2*$C$87+2)/(2*$C$87+2))-(POWER(TAN($E$87/2),2*$C$87-2)/(2*$C$87-2))+(POWER(TAN($E$87/2),2*$C$87+2)/(2*$C$87+2))))</f>
        <v>#DIV/0!</v>
      </c>
      <c r="J91" s="77" t="e">
        <f>-$D$87*SIN(A91)*($C$87+$G$87)/($C$87+B91)*F91</f>
        <v>#DIV/0!</v>
      </c>
      <c r="K91" s="77" t="e">
        <f>-$D$87*COS(A91)*($C$87+$G$87)/($C$87+B91)*F91</f>
        <v>#DIV/0!</v>
      </c>
      <c r="L91" s="91" t="e">
        <f>SQRT(J91*J91+K91*K91)</f>
        <v>#DIV/0!</v>
      </c>
      <c r="M91" s="93"/>
      <c r="N91" s="75" t="e">
        <f>-(-$I$84+0.5*$K$87*((POWER(TAN(A91/2),2*$C$87-2)/(2*$C$87-2))-(POWER(TAN(A91/2),2*$C$87+2)/(2*$C$87+2))-(POWER(TAN($E$87/2),2*$C$87-2)/(2*$C$87-2))+(POWER(TAN($E$87/2),2*$C$87+2)/(2*$C$87+2))))-$D$84</f>
        <v>#DIV/0!</v>
      </c>
      <c r="O91" s="75" t="e">
        <f t="shared" ref="O91:O100" si="83">-(-$I$84+0.5*$K$87*((POWER(TAN((A91+$M$9)/2),2*$C$87-2)/(2*$C$87-2))-(POWER(TAN((A91+$M$9)/2),2*$C$87+2)/(2*$C$87+2))-(POWER(TAN($E$87/2),2*$C$87-2)/(2*$C$87-2))+(POWER(TAN($E$87/2),2*$C$87+2)/(2*$C$87+2))))-$D$84</f>
        <v>#DIV/0!</v>
      </c>
      <c r="P91" s="109" t="e">
        <f t="shared" ref="P91:P100" si="84">IF(A91-N91/(O91-N91)*$M$9&lt;0,A91*0.5,A91-N91/(O91-N91)*$M$9)</f>
        <v>#DIV/0!</v>
      </c>
      <c r="AF91" s="7"/>
      <c r="AG91" s="7"/>
      <c r="AH91" s="7"/>
      <c r="AI91" s="7"/>
      <c r="AJ91" s="7"/>
      <c r="AK91" s="7"/>
      <c r="AL91" s="7"/>
      <c r="AM91" s="7"/>
      <c r="AN91" s="7"/>
      <c r="AR91" s="28"/>
      <c r="AS91" s="7"/>
      <c r="AT91" s="144"/>
      <c r="AU91" s="144"/>
      <c r="AV91" s="144"/>
      <c r="AW91" s="144"/>
      <c r="AX91" s="144"/>
      <c r="AY91" s="144"/>
      <c r="AZ91" s="7"/>
    </row>
    <row r="92" spans="1:52">
      <c r="A92" s="19" t="e">
        <f t="shared" ref="A92:A100" si="85">$P91</f>
        <v>#DIV/0!</v>
      </c>
      <c r="B92" s="26" t="e">
        <f t="shared" ref="B92:B100" si="86">COS(A92)</f>
        <v>#DIV/0!</v>
      </c>
      <c r="C92" s="26" t="e">
        <f t="shared" ref="C92:C100" si="87">($C$87+B92)</f>
        <v>#DIV/0!</v>
      </c>
      <c r="D92" s="26" t="e">
        <f t="shared" ref="D92:D100" si="88">POWER(TAN(A92/2),$C$87)</f>
        <v>#DIV/0!</v>
      </c>
      <c r="E92" s="26" t="e">
        <f t="shared" ref="E92:E100" si="89">SIN(A92)</f>
        <v>#DIV/0!</v>
      </c>
      <c r="F92" s="77" t="e">
        <f t="shared" ref="F92:F100" si="90">(C92*$H$87*D92/E92/$I$87/$J$87)</f>
        <v>#DIV/0!</v>
      </c>
      <c r="G92" s="77" t="e">
        <f t="shared" ref="G92:G100" si="91">$D$87*($C$87+$G$87)/9.81/SIN($C$84)/(1-$C$87*$C$84)*(F92-1)</f>
        <v>#DIV/0!</v>
      </c>
      <c r="H92" s="75" t="e">
        <f t="shared" ref="H92:H100" si="92">-(-$H$84+$K$87*((POWER(TAN(A92/2),2*$C$87-1)/(2*$C$87-1))+(POWER(TAN(A92/2),2*$C$87+1)/(2*$C$87+1))-(POWER(TAN($E$87/2),2*$C$87-1)/(2*$C$87-1))-(POWER(TAN($E$87/2),2*$C$87+1)/(2*$C$87+1))))</f>
        <v>#DIV/0!</v>
      </c>
      <c r="I92" s="75" t="e">
        <f t="shared" ref="I92:I100" si="93">-(-$I$84+0.5*$K$87*((POWER(TAN(A92/2),2*$C$87-2)/(2*$C$87-2))-(POWER(TAN(A92/2),2*$C$87+2)/(2*$C$87+2))-(POWER(TAN($E$87/2),2*$C$87-2)/(2*$C$87-2))+(POWER(TAN($E$87/2),2*$C$87+2)/(2*$C$87+2))))</f>
        <v>#DIV/0!</v>
      </c>
      <c r="J92" s="77" t="e">
        <f t="shared" ref="J92:J100" si="94">-$D$87*SIN(A92)*($C$87+$G$87)/($C$87+B92)*F92</f>
        <v>#DIV/0!</v>
      </c>
      <c r="K92" s="77" t="e">
        <f t="shared" ref="K92:K100" si="95">-$D$87*COS(A92)*($C$87+$G$87)/($C$87+B92)*F92</f>
        <v>#DIV/0!</v>
      </c>
      <c r="L92" s="91" t="e">
        <f t="shared" ref="L92:L100" si="96">SQRT(J92*J92+K92*K92)</f>
        <v>#DIV/0!</v>
      </c>
      <c r="M92" s="93"/>
      <c r="N92" s="75" t="e">
        <f t="shared" ref="N92:N100" si="97">-(-$I$84+0.5*$K$87*((POWER(TAN(A92/2),2*$C$87-2)/(2*$C$87-2))-(POWER(TAN(A92/2),2*$C$87+2)/(2*$C$87+2))-(POWER(TAN($E$87/2),2*$C$87-2)/(2*$C$87-2))+(POWER(TAN($E$87/2),2*$C$87+2)/(2*$C$87+2))))-$D$84</f>
        <v>#DIV/0!</v>
      </c>
      <c r="O92" s="75" t="e">
        <f t="shared" si="83"/>
        <v>#DIV/0!</v>
      </c>
      <c r="P92" s="109" t="e">
        <f t="shared" si="84"/>
        <v>#DIV/0!</v>
      </c>
      <c r="AF92" s="7"/>
      <c r="AG92" s="7"/>
      <c r="AH92" s="7"/>
      <c r="AI92" s="7"/>
      <c r="AJ92" s="7"/>
      <c r="AK92" s="7"/>
      <c r="AL92" s="7"/>
      <c r="AM92" s="7"/>
      <c r="AN92" s="7"/>
      <c r="AR92" s="28"/>
      <c r="AS92" s="7"/>
      <c r="AT92" s="144"/>
      <c r="AU92" s="144"/>
      <c r="AV92" s="144"/>
      <c r="AW92" s="144"/>
      <c r="AX92" s="144"/>
      <c r="AY92" s="144"/>
      <c r="AZ92" s="7"/>
    </row>
    <row r="93" spans="1:52">
      <c r="A93" s="19" t="e">
        <f t="shared" si="85"/>
        <v>#DIV/0!</v>
      </c>
      <c r="B93" s="26" t="e">
        <f t="shared" si="86"/>
        <v>#DIV/0!</v>
      </c>
      <c r="C93" s="26" t="e">
        <f t="shared" si="87"/>
        <v>#DIV/0!</v>
      </c>
      <c r="D93" s="26" t="e">
        <f t="shared" si="88"/>
        <v>#DIV/0!</v>
      </c>
      <c r="E93" s="26" t="e">
        <f t="shared" si="89"/>
        <v>#DIV/0!</v>
      </c>
      <c r="F93" s="77" t="e">
        <f t="shared" si="90"/>
        <v>#DIV/0!</v>
      </c>
      <c r="G93" s="77" t="e">
        <f t="shared" si="91"/>
        <v>#DIV/0!</v>
      </c>
      <c r="H93" s="75" t="e">
        <f t="shared" si="92"/>
        <v>#DIV/0!</v>
      </c>
      <c r="I93" s="75" t="e">
        <f t="shared" si="93"/>
        <v>#DIV/0!</v>
      </c>
      <c r="J93" s="77" t="e">
        <f t="shared" si="94"/>
        <v>#DIV/0!</v>
      </c>
      <c r="K93" s="77" t="e">
        <f t="shared" si="95"/>
        <v>#DIV/0!</v>
      </c>
      <c r="L93" s="91" t="e">
        <f t="shared" si="96"/>
        <v>#DIV/0!</v>
      </c>
      <c r="M93" s="93"/>
      <c r="N93" s="75" t="e">
        <f t="shared" si="97"/>
        <v>#DIV/0!</v>
      </c>
      <c r="O93" s="75" t="e">
        <f t="shared" si="83"/>
        <v>#DIV/0!</v>
      </c>
      <c r="P93" s="109" t="e">
        <f t="shared" si="84"/>
        <v>#DIV/0!</v>
      </c>
      <c r="AF93" s="7"/>
      <c r="AG93" s="7"/>
      <c r="AH93" s="7"/>
      <c r="AI93" s="7"/>
      <c r="AJ93" s="7"/>
      <c r="AK93" s="7"/>
      <c r="AL93" s="7"/>
      <c r="AM93" s="7"/>
      <c r="AN93" s="7"/>
      <c r="AR93" s="28"/>
      <c r="AS93" s="7"/>
      <c r="AT93" s="144"/>
      <c r="AU93" s="144"/>
      <c r="AV93" s="144"/>
      <c r="AW93" s="144"/>
      <c r="AX93" s="144"/>
      <c r="AY93" s="144"/>
      <c r="AZ93" s="7"/>
    </row>
    <row r="94" spans="1:52">
      <c r="A94" s="19" t="e">
        <f t="shared" si="85"/>
        <v>#DIV/0!</v>
      </c>
      <c r="B94" s="26" t="e">
        <f t="shared" si="86"/>
        <v>#DIV/0!</v>
      </c>
      <c r="C94" s="26" t="e">
        <f t="shared" si="87"/>
        <v>#DIV/0!</v>
      </c>
      <c r="D94" s="26" t="e">
        <f t="shared" si="88"/>
        <v>#DIV/0!</v>
      </c>
      <c r="E94" s="26" t="e">
        <f t="shared" si="89"/>
        <v>#DIV/0!</v>
      </c>
      <c r="F94" s="77" t="e">
        <f t="shared" si="90"/>
        <v>#DIV/0!</v>
      </c>
      <c r="G94" s="77" t="e">
        <f t="shared" si="91"/>
        <v>#DIV/0!</v>
      </c>
      <c r="H94" s="75" t="e">
        <f t="shared" si="92"/>
        <v>#DIV/0!</v>
      </c>
      <c r="I94" s="75" t="e">
        <f t="shared" si="93"/>
        <v>#DIV/0!</v>
      </c>
      <c r="J94" s="77" t="e">
        <f t="shared" si="94"/>
        <v>#DIV/0!</v>
      </c>
      <c r="K94" s="77" t="e">
        <f t="shared" si="95"/>
        <v>#DIV/0!</v>
      </c>
      <c r="L94" s="91" t="e">
        <f t="shared" si="96"/>
        <v>#DIV/0!</v>
      </c>
      <c r="M94" s="93"/>
      <c r="N94" s="75" t="e">
        <f t="shared" si="97"/>
        <v>#DIV/0!</v>
      </c>
      <c r="O94" s="75" t="e">
        <f t="shared" si="83"/>
        <v>#DIV/0!</v>
      </c>
      <c r="P94" s="109" t="e">
        <f t="shared" si="84"/>
        <v>#DIV/0!</v>
      </c>
      <c r="AF94" s="7"/>
      <c r="AG94" s="7"/>
      <c r="AH94" s="7"/>
      <c r="AI94" s="7"/>
      <c r="AJ94" s="7"/>
      <c r="AK94" s="7"/>
      <c r="AL94" s="7"/>
      <c r="AM94" s="7"/>
      <c r="AN94" s="7"/>
      <c r="AR94" s="28"/>
      <c r="AS94" s="7"/>
      <c r="AT94" s="144"/>
      <c r="AU94" s="144"/>
      <c r="AV94" s="144"/>
      <c r="AW94" s="144"/>
      <c r="AX94" s="144"/>
      <c r="AY94" s="144"/>
      <c r="AZ94" s="7"/>
    </row>
    <row r="95" spans="1:52">
      <c r="A95" s="19" t="e">
        <f t="shared" si="85"/>
        <v>#DIV/0!</v>
      </c>
      <c r="B95" s="26" t="e">
        <f t="shared" si="86"/>
        <v>#DIV/0!</v>
      </c>
      <c r="C95" s="26" t="e">
        <f t="shared" si="87"/>
        <v>#DIV/0!</v>
      </c>
      <c r="D95" s="26" t="e">
        <f t="shared" si="88"/>
        <v>#DIV/0!</v>
      </c>
      <c r="E95" s="26" t="e">
        <f t="shared" si="89"/>
        <v>#DIV/0!</v>
      </c>
      <c r="F95" s="77" t="e">
        <f t="shared" si="90"/>
        <v>#DIV/0!</v>
      </c>
      <c r="G95" s="77" t="e">
        <f t="shared" si="91"/>
        <v>#DIV/0!</v>
      </c>
      <c r="H95" s="75" t="e">
        <f t="shared" si="92"/>
        <v>#DIV/0!</v>
      </c>
      <c r="I95" s="75" t="e">
        <f t="shared" si="93"/>
        <v>#DIV/0!</v>
      </c>
      <c r="J95" s="77" t="e">
        <f t="shared" si="94"/>
        <v>#DIV/0!</v>
      </c>
      <c r="K95" s="77" t="e">
        <f t="shared" si="95"/>
        <v>#DIV/0!</v>
      </c>
      <c r="L95" s="91" t="e">
        <f t="shared" si="96"/>
        <v>#DIV/0!</v>
      </c>
      <c r="M95" s="93"/>
      <c r="N95" s="75" t="e">
        <f t="shared" si="97"/>
        <v>#DIV/0!</v>
      </c>
      <c r="O95" s="75" t="e">
        <f t="shared" si="83"/>
        <v>#DIV/0!</v>
      </c>
      <c r="P95" s="109" t="e">
        <f t="shared" si="84"/>
        <v>#DIV/0!</v>
      </c>
      <c r="AF95" s="7"/>
      <c r="AG95" s="7"/>
      <c r="AH95" s="7"/>
      <c r="AI95" s="7"/>
      <c r="AJ95" s="7"/>
      <c r="AK95" s="7"/>
      <c r="AL95" s="7"/>
      <c r="AM95" s="7"/>
      <c r="AN95" s="7"/>
      <c r="AR95" s="28"/>
      <c r="AS95" s="7"/>
      <c r="AT95" s="144"/>
      <c r="AU95" s="144"/>
      <c r="AV95" s="144"/>
      <c r="AW95" s="144"/>
      <c r="AX95" s="144"/>
      <c r="AY95" s="144"/>
      <c r="AZ95" s="7"/>
    </row>
    <row r="96" spans="1:52">
      <c r="A96" s="19" t="e">
        <f t="shared" si="85"/>
        <v>#DIV/0!</v>
      </c>
      <c r="B96" s="26" t="e">
        <f t="shared" si="86"/>
        <v>#DIV/0!</v>
      </c>
      <c r="C96" s="26" t="e">
        <f t="shared" si="87"/>
        <v>#DIV/0!</v>
      </c>
      <c r="D96" s="26" t="e">
        <f t="shared" si="88"/>
        <v>#DIV/0!</v>
      </c>
      <c r="E96" s="26" t="e">
        <f t="shared" si="89"/>
        <v>#DIV/0!</v>
      </c>
      <c r="F96" s="77" t="e">
        <f t="shared" si="90"/>
        <v>#DIV/0!</v>
      </c>
      <c r="G96" s="77" t="e">
        <f t="shared" si="91"/>
        <v>#DIV/0!</v>
      </c>
      <c r="H96" s="75" t="e">
        <f t="shared" si="92"/>
        <v>#DIV/0!</v>
      </c>
      <c r="I96" s="75" t="e">
        <f t="shared" si="93"/>
        <v>#DIV/0!</v>
      </c>
      <c r="J96" s="77" t="e">
        <f t="shared" si="94"/>
        <v>#DIV/0!</v>
      </c>
      <c r="K96" s="77" t="e">
        <f t="shared" si="95"/>
        <v>#DIV/0!</v>
      </c>
      <c r="L96" s="91" t="e">
        <f t="shared" si="96"/>
        <v>#DIV/0!</v>
      </c>
      <c r="M96" s="93"/>
      <c r="N96" s="75" t="e">
        <f t="shared" si="97"/>
        <v>#DIV/0!</v>
      </c>
      <c r="O96" s="75" t="e">
        <f t="shared" si="83"/>
        <v>#DIV/0!</v>
      </c>
      <c r="P96" s="109" t="e">
        <f t="shared" si="84"/>
        <v>#DIV/0!</v>
      </c>
      <c r="AF96" s="7"/>
      <c r="AG96" s="7"/>
      <c r="AH96" s="7"/>
      <c r="AI96" s="7"/>
      <c r="AJ96" s="7"/>
      <c r="AK96" s="7"/>
      <c r="AL96" s="7"/>
      <c r="AM96" s="7"/>
      <c r="AN96" s="7"/>
      <c r="AR96" s="28"/>
      <c r="AS96" s="7"/>
      <c r="AT96" s="144"/>
      <c r="AU96" s="144"/>
      <c r="AV96" s="144"/>
      <c r="AW96" s="144"/>
      <c r="AX96" s="144"/>
      <c r="AY96" s="144"/>
      <c r="AZ96" s="7"/>
    </row>
    <row r="97" spans="1:60">
      <c r="A97" s="19" t="e">
        <f t="shared" si="85"/>
        <v>#DIV/0!</v>
      </c>
      <c r="B97" s="26" t="e">
        <f t="shared" si="86"/>
        <v>#DIV/0!</v>
      </c>
      <c r="C97" s="26" t="e">
        <f t="shared" si="87"/>
        <v>#DIV/0!</v>
      </c>
      <c r="D97" s="26" t="e">
        <f t="shared" si="88"/>
        <v>#DIV/0!</v>
      </c>
      <c r="E97" s="26" t="e">
        <f t="shared" si="89"/>
        <v>#DIV/0!</v>
      </c>
      <c r="F97" s="77" t="e">
        <f t="shared" si="90"/>
        <v>#DIV/0!</v>
      </c>
      <c r="G97" s="77" t="e">
        <f t="shared" si="91"/>
        <v>#DIV/0!</v>
      </c>
      <c r="H97" s="75" t="e">
        <f t="shared" si="92"/>
        <v>#DIV/0!</v>
      </c>
      <c r="I97" s="75" t="e">
        <f t="shared" si="93"/>
        <v>#DIV/0!</v>
      </c>
      <c r="J97" s="77" t="e">
        <f t="shared" si="94"/>
        <v>#DIV/0!</v>
      </c>
      <c r="K97" s="77" t="e">
        <f t="shared" si="95"/>
        <v>#DIV/0!</v>
      </c>
      <c r="L97" s="91" t="e">
        <f t="shared" si="96"/>
        <v>#DIV/0!</v>
      </c>
      <c r="M97" s="93"/>
      <c r="N97" s="75" t="e">
        <f t="shared" si="97"/>
        <v>#DIV/0!</v>
      </c>
      <c r="O97" s="75" t="e">
        <f t="shared" si="83"/>
        <v>#DIV/0!</v>
      </c>
      <c r="P97" s="109" t="e">
        <f t="shared" si="84"/>
        <v>#DIV/0!</v>
      </c>
      <c r="AF97" s="7"/>
      <c r="AG97" s="7"/>
      <c r="AH97" s="7"/>
      <c r="AI97" s="7"/>
      <c r="AJ97" s="7"/>
      <c r="AK97" s="7"/>
      <c r="AL97" s="7"/>
      <c r="AM97" s="7"/>
      <c r="AN97" s="7"/>
      <c r="AR97" s="28"/>
      <c r="AS97" s="7"/>
      <c r="AT97" s="144"/>
      <c r="AU97" s="144"/>
      <c r="AV97" s="144"/>
      <c r="AW97" s="144"/>
      <c r="AX97" s="144"/>
      <c r="AY97" s="144"/>
      <c r="AZ97" s="7"/>
    </row>
    <row r="98" spans="1:60">
      <c r="A98" s="19" t="e">
        <f t="shared" si="85"/>
        <v>#DIV/0!</v>
      </c>
      <c r="B98" s="26" t="e">
        <f t="shared" si="86"/>
        <v>#DIV/0!</v>
      </c>
      <c r="C98" s="26" t="e">
        <f t="shared" si="87"/>
        <v>#DIV/0!</v>
      </c>
      <c r="D98" s="26" t="e">
        <f t="shared" si="88"/>
        <v>#DIV/0!</v>
      </c>
      <c r="E98" s="26" t="e">
        <f t="shared" si="89"/>
        <v>#DIV/0!</v>
      </c>
      <c r="F98" s="77" t="e">
        <f t="shared" si="90"/>
        <v>#DIV/0!</v>
      </c>
      <c r="G98" s="77" t="e">
        <f t="shared" si="91"/>
        <v>#DIV/0!</v>
      </c>
      <c r="H98" s="75" t="e">
        <f t="shared" si="92"/>
        <v>#DIV/0!</v>
      </c>
      <c r="I98" s="75" t="e">
        <f t="shared" si="93"/>
        <v>#DIV/0!</v>
      </c>
      <c r="J98" s="77" t="e">
        <f t="shared" si="94"/>
        <v>#DIV/0!</v>
      </c>
      <c r="K98" s="77" t="e">
        <f t="shared" si="95"/>
        <v>#DIV/0!</v>
      </c>
      <c r="L98" s="91" t="e">
        <f t="shared" si="96"/>
        <v>#DIV/0!</v>
      </c>
      <c r="M98" s="93"/>
      <c r="N98" s="75" t="e">
        <f t="shared" si="97"/>
        <v>#DIV/0!</v>
      </c>
      <c r="O98" s="75" t="e">
        <f t="shared" si="83"/>
        <v>#DIV/0!</v>
      </c>
      <c r="P98" s="109" t="e">
        <f t="shared" si="84"/>
        <v>#DIV/0!</v>
      </c>
      <c r="AF98" s="7"/>
      <c r="AG98" s="7"/>
      <c r="AH98" s="7"/>
      <c r="AI98" s="7"/>
      <c r="AJ98" s="7"/>
      <c r="AK98" s="7"/>
      <c r="AL98" s="7"/>
      <c r="AM98" s="7"/>
      <c r="AN98" s="7"/>
      <c r="AR98" s="28"/>
      <c r="AS98" s="7"/>
      <c r="AT98" s="144"/>
      <c r="AU98" s="144"/>
      <c r="AV98" s="144"/>
      <c r="AW98" s="144"/>
      <c r="AX98" s="144"/>
      <c r="AY98" s="144"/>
      <c r="AZ98" s="7"/>
    </row>
    <row r="99" spans="1:60">
      <c r="A99" s="19" t="e">
        <f t="shared" si="85"/>
        <v>#DIV/0!</v>
      </c>
      <c r="B99" s="26" t="e">
        <f t="shared" si="86"/>
        <v>#DIV/0!</v>
      </c>
      <c r="C99" s="26" t="e">
        <f t="shared" si="87"/>
        <v>#DIV/0!</v>
      </c>
      <c r="D99" s="26" t="e">
        <f t="shared" si="88"/>
        <v>#DIV/0!</v>
      </c>
      <c r="E99" s="26" t="e">
        <f t="shared" si="89"/>
        <v>#DIV/0!</v>
      </c>
      <c r="F99" s="77" t="e">
        <f t="shared" si="90"/>
        <v>#DIV/0!</v>
      </c>
      <c r="G99" s="77" t="e">
        <f t="shared" si="91"/>
        <v>#DIV/0!</v>
      </c>
      <c r="H99" s="75" t="e">
        <f t="shared" si="92"/>
        <v>#DIV/0!</v>
      </c>
      <c r="I99" s="75" t="e">
        <f t="shared" si="93"/>
        <v>#DIV/0!</v>
      </c>
      <c r="J99" s="77" t="e">
        <f t="shared" si="94"/>
        <v>#DIV/0!</v>
      </c>
      <c r="K99" s="77" t="e">
        <f t="shared" si="95"/>
        <v>#DIV/0!</v>
      </c>
      <c r="L99" s="91" t="e">
        <f t="shared" si="96"/>
        <v>#DIV/0!</v>
      </c>
      <c r="M99" s="93"/>
      <c r="N99" s="75" t="e">
        <f t="shared" si="97"/>
        <v>#DIV/0!</v>
      </c>
      <c r="O99" s="75" t="e">
        <f t="shared" si="83"/>
        <v>#DIV/0!</v>
      </c>
      <c r="P99" s="109" t="e">
        <f t="shared" si="84"/>
        <v>#DIV/0!</v>
      </c>
      <c r="AF99" s="7"/>
      <c r="AG99" s="7"/>
      <c r="AH99" s="7"/>
      <c r="AI99" s="7"/>
      <c r="AJ99" s="7"/>
      <c r="AK99" s="7"/>
      <c r="AL99" s="7"/>
      <c r="AM99" s="7"/>
      <c r="AN99" s="7"/>
      <c r="AR99" s="28"/>
      <c r="AS99" s="7"/>
      <c r="AT99" s="144"/>
      <c r="AU99" s="144"/>
      <c r="AV99" s="144"/>
      <c r="AW99" s="144"/>
      <c r="AX99" s="144"/>
      <c r="AY99" s="144"/>
      <c r="AZ99" s="7"/>
    </row>
    <row r="100" spans="1:60">
      <c r="A100" s="19" t="e">
        <f t="shared" si="85"/>
        <v>#DIV/0!</v>
      </c>
      <c r="B100" s="26" t="e">
        <f t="shared" si="86"/>
        <v>#DIV/0!</v>
      </c>
      <c r="C100" s="26" t="e">
        <f t="shared" si="87"/>
        <v>#DIV/0!</v>
      </c>
      <c r="D100" s="26" t="e">
        <f t="shared" si="88"/>
        <v>#DIV/0!</v>
      </c>
      <c r="E100" s="26" t="e">
        <f t="shared" si="89"/>
        <v>#DIV/0!</v>
      </c>
      <c r="F100" s="77" t="e">
        <f t="shared" si="90"/>
        <v>#DIV/0!</v>
      </c>
      <c r="G100" s="77" t="e">
        <f t="shared" si="91"/>
        <v>#DIV/0!</v>
      </c>
      <c r="H100" s="81" t="e">
        <f t="shared" si="92"/>
        <v>#DIV/0!</v>
      </c>
      <c r="I100" s="81" t="e">
        <f t="shared" si="93"/>
        <v>#DIV/0!</v>
      </c>
      <c r="J100" s="80" t="e">
        <f t="shared" si="94"/>
        <v>#DIV/0!</v>
      </c>
      <c r="K100" s="80" t="e">
        <f t="shared" si="95"/>
        <v>#DIV/0!</v>
      </c>
      <c r="L100" s="91" t="e">
        <f t="shared" si="96"/>
        <v>#DIV/0!</v>
      </c>
      <c r="M100" s="93"/>
      <c r="N100" s="75" t="e">
        <f t="shared" si="97"/>
        <v>#DIV/0!</v>
      </c>
      <c r="O100" s="75" t="e">
        <f t="shared" si="83"/>
        <v>#DIV/0!</v>
      </c>
      <c r="P100" s="109" t="e">
        <f t="shared" si="84"/>
        <v>#DIV/0!</v>
      </c>
      <c r="AF100" s="7"/>
      <c r="AG100" s="7"/>
      <c r="AH100" s="7"/>
      <c r="AI100" s="7"/>
      <c r="AJ100" s="7"/>
      <c r="AK100" s="7"/>
      <c r="AL100" s="7"/>
      <c r="AM100" s="7"/>
      <c r="AN100" s="7"/>
      <c r="AR100" s="28"/>
      <c r="AS100" s="7"/>
      <c r="AT100" s="144"/>
      <c r="AU100" s="144"/>
      <c r="AV100" s="144"/>
      <c r="AW100" s="144"/>
      <c r="AX100" s="144"/>
      <c r="AY100" s="144"/>
      <c r="AZ100" s="7"/>
    </row>
    <row r="101" spans="1:60">
      <c r="A101" s="88" t="s">
        <v>60</v>
      </c>
      <c r="B101" s="8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AF101" s="7"/>
      <c r="AG101" s="7"/>
      <c r="AH101" s="7"/>
      <c r="AI101" s="7"/>
      <c r="AJ101" s="7"/>
      <c r="AK101" s="7"/>
      <c r="AL101" s="7"/>
      <c r="AM101" s="7"/>
      <c r="AN101" s="7"/>
      <c r="AR101" s="28"/>
      <c r="AS101" s="7"/>
      <c r="AT101" s="144"/>
      <c r="AU101" s="144"/>
      <c r="AV101" s="144"/>
      <c r="AW101" s="144"/>
      <c r="AX101" s="144"/>
      <c r="AY101" s="144"/>
      <c r="AZ101" s="7"/>
    </row>
    <row r="102" spans="1:60">
      <c r="A102" s="26" t="s">
        <v>11</v>
      </c>
      <c r="B102" s="26" t="s">
        <v>13</v>
      </c>
      <c r="C102" s="26" t="s">
        <v>22</v>
      </c>
      <c r="D102" s="26" t="s">
        <v>18</v>
      </c>
      <c r="E102" s="26" t="s">
        <v>19</v>
      </c>
      <c r="F102" s="26" t="s">
        <v>20</v>
      </c>
      <c r="G102" s="26" t="s">
        <v>2</v>
      </c>
      <c r="H102" s="26" t="s">
        <v>1</v>
      </c>
      <c r="I102" s="26" t="s">
        <v>0</v>
      </c>
      <c r="J102" s="76" t="s">
        <v>3</v>
      </c>
      <c r="K102" s="76" t="s">
        <v>4</v>
      </c>
      <c r="L102" s="44" t="s">
        <v>7</v>
      </c>
      <c r="M102" s="28"/>
      <c r="N102" s="28"/>
      <c r="O102" s="28"/>
      <c r="P102" s="31"/>
      <c r="AF102" s="7"/>
      <c r="AG102" s="7"/>
      <c r="AH102" s="7"/>
      <c r="AI102" s="7"/>
      <c r="AJ102" s="7"/>
      <c r="AK102" s="7"/>
      <c r="AL102" s="7"/>
      <c r="AM102" s="7"/>
      <c r="AN102" s="7"/>
      <c r="AR102" s="28"/>
      <c r="AS102" s="7"/>
      <c r="AT102" s="144"/>
      <c r="AU102" s="144"/>
      <c r="AV102" s="144"/>
      <c r="AW102" s="144"/>
      <c r="AX102" s="144"/>
      <c r="AY102" s="144"/>
      <c r="AZ102" s="7"/>
    </row>
    <row r="103" spans="1:60">
      <c r="A103" s="19" t="e">
        <f>$E87</f>
        <v>#DIV/0!</v>
      </c>
      <c r="B103" s="26" t="e">
        <f t="shared" ref="B103:B108" si="98">COS(A103)</f>
        <v>#DIV/0!</v>
      </c>
      <c r="C103" s="26" t="e">
        <f t="shared" ref="C103:C108" si="99">($C$87+B103)</f>
        <v>#DIV/0!</v>
      </c>
      <c r="D103" s="26" t="e">
        <f t="shared" ref="D103:D108" si="100">POWER(TAN(A103/2),$C$87)</f>
        <v>#DIV/0!</v>
      </c>
      <c r="E103" s="26" t="e">
        <f t="shared" ref="E103:E108" si="101">SIN(A103)</f>
        <v>#DIV/0!</v>
      </c>
      <c r="F103" s="77" t="e">
        <f t="shared" ref="F103:F108" si="102">(C103*$H$87*D103/E103/$I$87/$J$87)</f>
        <v>#DIV/0!</v>
      </c>
      <c r="G103" s="77" t="e">
        <f t="shared" ref="G103:G108" si="103">$D$87*($C$87+$G$87)/9.81/SIN($C$84)/(1-$C$87*$C$84)*(F103-1)</f>
        <v>#DIV/0!</v>
      </c>
      <c r="H103" s="99" t="e">
        <f t="shared" ref="H103:H108" si="104">-(-$H$84+$K$87*((POWER(TAN(A103/2),2*$C$87-1)/(2*$C$87-1))+(POWER(TAN(A103/2),2*$C$87+1)/(2*$C$87+1))-(POWER(TAN($E$87/2),2*$C$87-1)/(2*$C$87-1))-(POWER(TAN($E$87/2),2*$C$87+1)/(2*$C$87+1))))</f>
        <v>#DIV/0!</v>
      </c>
      <c r="I103" s="99" t="e">
        <f t="shared" ref="I103:I108" si="105">-(-$I$84+0.5*$K$87*((POWER(TAN(A103/2),2*$C$87-2)/(2*$C$87-2))-(POWER(TAN(A103/2),2*$C$87+2)/(2*$C$87+2))-(POWER(TAN($E$87/2),2*$C$87-2)/(2*$C$87-2))+(POWER(TAN($E$87/2),2*$C$87+2)/(2*$C$87+2))))</f>
        <v>#DIV/0!</v>
      </c>
      <c r="J103" s="77" t="e">
        <f t="shared" ref="J103:J108" si="106">-$D$87*SIN(A103)*($C$87+$G$87)/($C$87+B103)*F103</f>
        <v>#DIV/0!</v>
      </c>
      <c r="K103" s="77" t="e">
        <f t="shared" ref="K103:K108" si="107">-$D$87*COS(A103)*($C$87+$G$87)/($C$87+B103)*F103</f>
        <v>#DIV/0!</v>
      </c>
      <c r="L103" s="91" t="e">
        <f t="shared" ref="L103:L108" si="108">SQRT(J103*J103+K103*K103)</f>
        <v>#DIV/0!</v>
      </c>
      <c r="M103" s="28"/>
      <c r="N103" s="28"/>
      <c r="O103" s="28"/>
      <c r="P103" s="31"/>
      <c r="AF103" s="7"/>
      <c r="AG103" s="7"/>
      <c r="AH103" s="7"/>
      <c r="AI103" s="7"/>
      <c r="AJ103" s="7"/>
      <c r="AK103" s="7"/>
      <c r="AL103" s="7"/>
      <c r="AM103" s="7"/>
      <c r="AN103" s="7"/>
      <c r="AR103" s="28"/>
      <c r="AS103" s="7"/>
      <c r="AT103" s="144"/>
      <c r="AU103" s="144"/>
      <c r="AV103" s="144"/>
      <c r="AW103" s="144"/>
      <c r="AX103" s="144"/>
      <c r="AY103" s="144"/>
      <c r="AZ103" s="7"/>
    </row>
    <row r="104" spans="1:60">
      <c r="A104" s="20" t="e">
        <f>A103-$F$87</f>
        <v>#DIV/0!</v>
      </c>
      <c r="B104" s="26" t="e">
        <f t="shared" si="98"/>
        <v>#DIV/0!</v>
      </c>
      <c r="C104" s="26" t="e">
        <f t="shared" si="99"/>
        <v>#DIV/0!</v>
      </c>
      <c r="D104" s="26" t="e">
        <f t="shared" si="100"/>
        <v>#DIV/0!</v>
      </c>
      <c r="E104" s="26" t="e">
        <f t="shared" si="101"/>
        <v>#DIV/0!</v>
      </c>
      <c r="F104" s="77" t="e">
        <f t="shared" si="102"/>
        <v>#DIV/0!</v>
      </c>
      <c r="G104" s="77" t="e">
        <f t="shared" si="103"/>
        <v>#DIV/0!</v>
      </c>
      <c r="H104" s="99" t="e">
        <f t="shared" si="104"/>
        <v>#DIV/0!</v>
      </c>
      <c r="I104" s="99" t="e">
        <f t="shared" si="105"/>
        <v>#DIV/0!</v>
      </c>
      <c r="J104" s="77" t="e">
        <f t="shared" si="106"/>
        <v>#DIV/0!</v>
      </c>
      <c r="K104" s="77" t="e">
        <f t="shared" si="107"/>
        <v>#DIV/0!</v>
      </c>
      <c r="L104" s="91" t="e">
        <f t="shared" si="108"/>
        <v>#DIV/0!</v>
      </c>
      <c r="M104" s="28"/>
      <c r="N104" s="28"/>
      <c r="O104" s="28"/>
      <c r="P104" s="31"/>
      <c r="AF104" s="7"/>
      <c r="AG104" s="7"/>
      <c r="AH104" s="7"/>
      <c r="AI104" s="7"/>
      <c r="AJ104" s="7"/>
      <c r="AK104" s="7"/>
      <c r="AL104" s="7"/>
      <c r="AM104" s="7"/>
      <c r="AN104" s="7"/>
      <c r="AR104" s="28"/>
      <c r="AS104" s="7"/>
      <c r="AT104" s="144"/>
      <c r="AU104" s="144"/>
      <c r="AV104" s="144"/>
      <c r="AW104" s="144"/>
      <c r="AX104" s="144"/>
      <c r="AY104" s="144"/>
      <c r="AZ104" s="7"/>
    </row>
    <row r="105" spans="1:60">
      <c r="A105" s="20" t="e">
        <f>A104-$F$87</f>
        <v>#DIV/0!</v>
      </c>
      <c r="B105" s="26" t="e">
        <f t="shared" si="98"/>
        <v>#DIV/0!</v>
      </c>
      <c r="C105" s="26" t="e">
        <f t="shared" si="99"/>
        <v>#DIV/0!</v>
      </c>
      <c r="D105" s="26" t="e">
        <f t="shared" si="100"/>
        <v>#DIV/0!</v>
      </c>
      <c r="E105" s="26" t="e">
        <f t="shared" si="101"/>
        <v>#DIV/0!</v>
      </c>
      <c r="F105" s="77" t="e">
        <f t="shared" si="102"/>
        <v>#DIV/0!</v>
      </c>
      <c r="G105" s="77" t="e">
        <f t="shared" si="103"/>
        <v>#DIV/0!</v>
      </c>
      <c r="H105" s="99" t="e">
        <f t="shared" si="104"/>
        <v>#DIV/0!</v>
      </c>
      <c r="I105" s="99" t="e">
        <f t="shared" si="105"/>
        <v>#DIV/0!</v>
      </c>
      <c r="J105" s="77" t="e">
        <f t="shared" si="106"/>
        <v>#DIV/0!</v>
      </c>
      <c r="K105" s="77" t="e">
        <f t="shared" si="107"/>
        <v>#DIV/0!</v>
      </c>
      <c r="L105" s="91" t="e">
        <f t="shared" si="108"/>
        <v>#DIV/0!</v>
      </c>
      <c r="M105" s="45"/>
      <c r="N105" s="28"/>
      <c r="O105" s="28"/>
      <c r="P105" s="31"/>
      <c r="AF105" s="7"/>
      <c r="AG105" s="7"/>
      <c r="AH105" s="7"/>
      <c r="AI105" s="7"/>
      <c r="AJ105" s="7"/>
      <c r="AK105" s="7"/>
      <c r="AL105" s="7"/>
      <c r="AM105" s="7"/>
      <c r="AN105" s="7"/>
      <c r="AR105" s="28"/>
      <c r="AS105" s="7"/>
      <c r="AT105" s="144"/>
      <c r="AU105" s="144"/>
      <c r="AV105" s="144"/>
      <c r="AW105" s="144"/>
      <c r="AX105" s="144"/>
      <c r="AY105" s="144"/>
      <c r="AZ105" s="7"/>
    </row>
    <row r="106" spans="1:60">
      <c r="A106" s="20" t="e">
        <f>A105-$F$87</f>
        <v>#DIV/0!</v>
      </c>
      <c r="B106" s="26" t="e">
        <f t="shared" si="98"/>
        <v>#DIV/0!</v>
      </c>
      <c r="C106" s="26" t="e">
        <f t="shared" si="99"/>
        <v>#DIV/0!</v>
      </c>
      <c r="D106" s="26" t="e">
        <f t="shared" si="100"/>
        <v>#DIV/0!</v>
      </c>
      <c r="E106" s="26" t="e">
        <f t="shared" si="101"/>
        <v>#DIV/0!</v>
      </c>
      <c r="F106" s="77" t="e">
        <f t="shared" si="102"/>
        <v>#DIV/0!</v>
      </c>
      <c r="G106" s="77" t="e">
        <f t="shared" si="103"/>
        <v>#DIV/0!</v>
      </c>
      <c r="H106" s="99" t="e">
        <f t="shared" si="104"/>
        <v>#DIV/0!</v>
      </c>
      <c r="I106" s="99" t="e">
        <f t="shared" si="105"/>
        <v>#DIV/0!</v>
      </c>
      <c r="J106" s="77" t="e">
        <f t="shared" si="106"/>
        <v>#DIV/0!</v>
      </c>
      <c r="K106" s="77" t="e">
        <f t="shared" si="107"/>
        <v>#DIV/0!</v>
      </c>
      <c r="L106" s="91" t="e">
        <f t="shared" si="108"/>
        <v>#DIV/0!</v>
      </c>
      <c r="M106" s="45"/>
      <c r="N106" s="28"/>
      <c r="O106" s="28"/>
      <c r="P106" s="31"/>
      <c r="AF106" s="7"/>
      <c r="AG106" s="7"/>
      <c r="AH106" s="7"/>
      <c r="AI106" s="7"/>
      <c r="AJ106" s="7"/>
      <c r="AK106" s="7"/>
      <c r="AL106" s="7"/>
      <c r="AM106" s="7"/>
      <c r="AN106" s="7"/>
      <c r="AR106" s="28"/>
      <c r="AS106" s="7"/>
      <c r="AT106" s="144"/>
      <c r="AU106" s="144"/>
      <c r="AV106" s="144"/>
      <c r="AW106" s="144"/>
      <c r="AX106" s="144"/>
      <c r="AY106" s="144"/>
      <c r="AZ106" s="7"/>
    </row>
    <row r="107" spans="1:60">
      <c r="A107" s="20" t="e">
        <f>A106-$F$87</f>
        <v>#DIV/0!</v>
      </c>
      <c r="B107" s="26" t="e">
        <f t="shared" si="98"/>
        <v>#DIV/0!</v>
      </c>
      <c r="C107" s="26" t="e">
        <f t="shared" si="99"/>
        <v>#DIV/0!</v>
      </c>
      <c r="D107" s="26" t="e">
        <f t="shared" si="100"/>
        <v>#DIV/0!</v>
      </c>
      <c r="E107" s="26" t="e">
        <f t="shared" si="101"/>
        <v>#DIV/0!</v>
      </c>
      <c r="F107" s="77" t="e">
        <f t="shared" si="102"/>
        <v>#DIV/0!</v>
      </c>
      <c r="G107" s="77" t="e">
        <f t="shared" si="103"/>
        <v>#DIV/0!</v>
      </c>
      <c r="H107" s="99" t="e">
        <f t="shared" si="104"/>
        <v>#DIV/0!</v>
      </c>
      <c r="I107" s="99" t="e">
        <f t="shared" si="105"/>
        <v>#DIV/0!</v>
      </c>
      <c r="J107" s="77" t="e">
        <f t="shared" si="106"/>
        <v>#DIV/0!</v>
      </c>
      <c r="K107" s="77" t="e">
        <f t="shared" si="107"/>
        <v>#DIV/0!</v>
      </c>
      <c r="L107" s="91" t="e">
        <f t="shared" si="108"/>
        <v>#DIV/0!</v>
      </c>
      <c r="M107" s="45"/>
      <c r="N107" s="28"/>
      <c r="O107" s="28"/>
      <c r="P107" s="89"/>
      <c r="AF107" s="7"/>
      <c r="AG107" s="7"/>
      <c r="AH107" s="7"/>
      <c r="AI107" s="7"/>
      <c r="AJ107" s="7"/>
      <c r="AK107" s="7"/>
      <c r="AL107" s="7"/>
      <c r="AM107" s="7"/>
      <c r="AN107" s="7"/>
      <c r="AR107" s="28"/>
      <c r="AS107" s="7"/>
      <c r="AT107" s="144"/>
      <c r="AU107" s="144"/>
      <c r="AV107" s="144"/>
      <c r="AW107" s="144"/>
      <c r="AX107" s="144"/>
      <c r="AY107" s="144"/>
      <c r="AZ107" s="7"/>
    </row>
    <row r="108" spans="1:60">
      <c r="A108" s="20" t="e">
        <f>A107-$F$87</f>
        <v>#DIV/0!</v>
      </c>
      <c r="B108" s="26" t="e">
        <f t="shared" si="98"/>
        <v>#DIV/0!</v>
      </c>
      <c r="C108" s="26" t="e">
        <f t="shared" si="99"/>
        <v>#DIV/0!</v>
      </c>
      <c r="D108" s="26" t="e">
        <f t="shared" si="100"/>
        <v>#DIV/0!</v>
      </c>
      <c r="E108" s="26" t="e">
        <f t="shared" si="101"/>
        <v>#DIV/0!</v>
      </c>
      <c r="F108" s="77" t="e">
        <f t="shared" si="102"/>
        <v>#DIV/0!</v>
      </c>
      <c r="G108" s="77" t="e">
        <f t="shared" si="103"/>
        <v>#DIV/0!</v>
      </c>
      <c r="H108" s="99" t="e">
        <f t="shared" si="104"/>
        <v>#DIV/0!</v>
      </c>
      <c r="I108" s="99" t="e">
        <f t="shared" si="105"/>
        <v>#DIV/0!</v>
      </c>
      <c r="J108" s="77" t="e">
        <f t="shared" si="106"/>
        <v>#DIV/0!</v>
      </c>
      <c r="K108" s="77" t="e">
        <f t="shared" si="107"/>
        <v>#DIV/0!</v>
      </c>
      <c r="L108" s="91" t="e">
        <f t="shared" si="108"/>
        <v>#DIV/0!</v>
      </c>
      <c r="M108" s="45"/>
      <c r="N108" s="28"/>
      <c r="O108" s="28"/>
      <c r="P108" s="28"/>
      <c r="AF108" s="7"/>
      <c r="AG108" s="7"/>
      <c r="AH108" s="7"/>
      <c r="AI108" s="7"/>
      <c r="AJ108" s="7"/>
      <c r="AK108" s="7"/>
      <c r="AL108" s="7"/>
      <c r="AM108" s="7"/>
      <c r="AN108" s="7"/>
      <c r="AR108" s="28"/>
      <c r="AS108" s="7"/>
      <c r="AT108" s="144"/>
      <c r="AU108" s="144"/>
      <c r="AV108" s="144"/>
      <c r="AW108" s="144"/>
      <c r="AX108" s="144"/>
      <c r="AY108" s="144"/>
      <c r="AZ108" s="7"/>
    </row>
    <row r="109" spans="1:60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AI109" s="9"/>
      <c r="AJ109" s="7"/>
      <c r="AK109" s="7"/>
      <c r="AL109" s="7"/>
      <c r="AM109" s="7"/>
      <c r="AN109" s="7"/>
      <c r="AR109" s="28"/>
      <c r="AS109" s="7"/>
      <c r="AT109" s="144"/>
      <c r="AU109" s="144"/>
      <c r="AV109" s="144"/>
      <c r="AW109" s="144"/>
      <c r="AX109" s="144"/>
      <c r="AY109" s="144"/>
      <c r="AZ109" s="7"/>
      <c r="BA109" s="7"/>
      <c r="BB109" s="7"/>
      <c r="BC109" s="7"/>
      <c r="BD109" s="7"/>
      <c r="BE109" s="7"/>
      <c r="BF109" s="7"/>
      <c r="BG109" s="7"/>
      <c r="BH109" s="7"/>
    </row>
    <row r="110" spans="1:60">
      <c r="A110" s="88" t="s">
        <v>73</v>
      </c>
      <c r="B110" s="88"/>
      <c r="C110" s="23" t="str">
        <f>CONCATENATE("m",Stufengrün!R46)</f>
        <v>m-2</v>
      </c>
      <c r="D110" s="23" t="s">
        <v>30</v>
      </c>
      <c r="E110" s="28"/>
      <c r="F110" s="28"/>
      <c r="G110" s="28"/>
      <c r="H110" s="36" t="s">
        <v>57</v>
      </c>
      <c r="I110" s="36" t="s">
        <v>51</v>
      </c>
      <c r="J110" s="36" t="s">
        <v>58</v>
      </c>
      <c r="K110" s="36" t="s">
        <v>59</v>
      </c>
      <c r="L110" s="28"/>
      <c r="M110" s="28"/>
      <c r="N110" s="28"/>
      <c r="O110" s="28"/>
      <c r="P110" s="28"/>
      <c r="AI110" s="9"/>
      <c r="AJ110" s="10"/>
      <c r="AK110" s="10"/>
      <c r="AL110" s="10"/>
      <c r="AM110" s="10"/>
      <c r="AN110" s="10"/>
      <c r="AO110" s="10"/>
      <c r="AP110" s="7"/>
      <c r="AQ110" s="7"/>
      <c r="BA110" s="7"/>
      <c r="BB110" s="7"/>
      <c r="BC110" s="7"/>
      <c r="BD110" s="7"/>
      <c r="BE110" s="7"/>
      <c r="BF110" s="7"/>
      <c r="BG110" s="7"/>
      <c r="BH110" s="7"/>
    </row>
    <row r="111" spans="1:60">
      <c r="A111" s="88" t="s">
        <v>69</v>
      </c>
      <c r="B111" s="88"/>
      <c r="C111" s="90">
        <f>Stufengrün!S46</f>
        <v>1.0323563876231049E-2</v>
      </c>
      <c r="D111" s="26"/>
      <c r="E111" s="28"/>
      <c r="F111" s="28"/>
      <c r="G111" s="28"/>
      <c r="H111" s="78" t="e">
        <f>H100</f>
        <v>#DIV/0!</v>
      </c>
      <c r="I111" s="78" t="e">
        <f>I100</f>
        <v>#DIV/0!</v>
      </c>
      <c r="J111" s="78" t="e">
        <f>J100</f>
        <v>#DIV/0!</v>
      </c>
      <c r="K111" s="78" t="e">
        <f>K100</f>
        <v>#DIV/0!</v>
      </c>
      <c r="L111" s="28"/>
      <c r="M111" s="28"/>
      <c r="N111" s="28"/>
      <c r="O111" s="28"/>
      <c r="P111" s="28"/>
      <c r="AI111" s="9"/>
      <c r="AJ111" s="10"/>
      <c r="AK111" s="10"/>
      <c r="AL111" s="10"/>
      <c r="AM111" s="10"/>
      <c r="AN111" s="10"/>
      <c r="AO111" s="10"/>
      <c r="AP111" s="7"/>
      <c r="AQ111" s="7"/>
      <c r="BA111" s="7"/>
      <c r="BB111" s="15"/>
      <c r="BC111" s="15"/>
      <c r="BD111" s="15"/>
      <c r="BE111" s="15"/>
      <c r="BF111" s="15"/>
      <c r="BG111" s="15"/>
      <c r="BH111" s="7"/>
    </row>
    <row r="112" spans="1:60">
      <c r="A112" s="95"/>
      <c r="B112" s="95"/>
      <c r="C112" s="28"/>
      <c r="D112" s="28"/>
      <c r="E112" s="28"/>
      <c r="F112" s="28"/>
      <c r="G112" s="28"/>
      <c r="H112" s="37" t="s">
        <v>8</v>
      </c>
      <c r="I112" s="37" t="s">
        <v>8</v>
      </c>
      <c r="J112" s="37" t="s">
        <v>9</v>
      </c>
      <c r="K112" s="37" t="s">
        <v>9</v>
      </c>
      <c r="L112" s="28"/>
      <c r="M112" s="28"/>
      <c r="N112" s="28"/>
      <c r="O112" s="28"/>
      <c r="P112" s="28"/>
      <c r="AI112" s="9"/>
      <c r="AJ112" s="10"/>
      <c r="AK112" s="10"/>
      <c r="AL112" s="10"/>
      <c r="AM112" s="10"/>
      <c r="AN112" s="10"/>
      <c r="AO112" s="10"/>
      <c r="AP112" s="7"/>
      <c r="AQ112" s="7"/>
      <c r="BA112" s="7"/>
      <c r="BB112" s="16"/>
      <c r="BC112" s="16"/>
      <c r="BD112" s="16"/>
      <c r="BE112" s="16"/>
      <c r="BF112" s="16"/>
      <c r="BG112" s="16"/>
      <c r="BH112" s="7"/>
    </row>
    <row r="113" spans="1:43">
      <c r="A113" s="88" t="s">
        <v>68</v>
      </c>
      <c r="B113" s="88"/>
      <c r="C113" s="26" t="s">
        <v>15</v>
      </c>
      <c r="D113" s="26" t="s">
        <v>55</v>
      </c>
      <c r="E113" s="26" t="s">
        <v>12</v>
      </c>
      <c r="F113" s="26" t="s">
        <v>10</v>
      </c>
      <c r="G113" s="26" t="s">
        <v>14</v>
      </c>
      <c r="H113" s="26" t="s">
        <v>21</v>
      </c>
      <c r="I113" s="26" t="s">
        <v>16</v>
      </c>
      <c r="J113" s="26" t="s">
        <v>17</v>
      </c>
      <c r="K113" s="26" t="s">
        <v>23</v>
      </c>
      <c r="L113" s="28"/>
      <c r="M113" s="28"/>
      <c r="N113" s="28"/>
      <c r="O113" s="28"/>
      <c r="P113" s="28"/>
      <c r="AI113" s="9"/>
      <c r="AJ113" s="11"/>
      <c r="AK113" s="12"/>
      <c r="AL113" s="12"/>
      <c r="AM113" s="12"/>
      <c r="AN113" s="11"/>
      <c r="AO113" s="10"/>
      <c r="AP113" s="7"/>
      <c r="AQ113" s="7"/>
    </row>
    <row r="114" spans="1:43">
      <c r="A114" s="28"/>
      <c r="B114" s="28"/>
      <c r="C114" s="23">
        <f>Mü/TAN($C111)</f>
        <v>6.7803632591293521</v>
      </c>
      <c r="D114" s="42" t="e">
        <f>SQRT($J111*$J111+$K111*$K111)</f>
        <v>#DIV/0!</v>
      </c>
      <c r="E114" s="20" t="e">
        <f>ATAN($J111/$K111)</f>
        <v>#DIV/0!</v>
      </c>
      <c r="F114" s="23" t="e">
        <f>($E114-0.0001)/100</f>
        <v>#DIV/0!</v>
      </c>
      <c r="G114" s="23" t="e">
        <f>COS($E114)</f>
        <v>#DIV/0!</v>
      </c>
      <c r="H114" s="23" t="e">
        <f>SIN($E114)</f>
        <v>#DIV/0!</v>
      </c>
      <c r="I114" s="23" t="e">
        <f>$C114+$G114</f>
        <v>#DIV/0!</v>
      </c>
      <c r="J114" s="23" t="e">
        <f>POWER(TAN($E114/2),$C114)</f>
        <v>#DIV/0!</v>
      </c>
      <c r="K114" s="23" t="e">
        <f>-$D114*$D114*SIN($E114)*SIN($E114)/(2*9.81*SIN($C111)*POWER(TAN($E114/2),2*$C114))</f>
        <v>#DIV/0!</v>
      </c>
      <c r="L114" s="28"/>
      <c r="M114" s="28"/>
      <c r="N114" s="28"/>
      <c r="O114" s="28"/>
      <c r="P114" s="28"/>
      <c r="AI114" s="9"/>
      <c r="AJ114" s="11"/>
      <c r="AK114" s="12"/>
      <c r="AL114" s="12"/>
      <c r="AM114" s="12"/>
      <c r="AN114" s="11"/>
      <c r="AO114" s="10"/>
      <c r="AP114" s="7"/>
      <c r="AQ114" s="7"/>
    </row>
    <row r="115" spans="1:43">
      <c r="A115" s="88" t="s">
        <v>70</v>
      </c>
      <c r="B115" s="88"/>
      <c r="C115" s="28"/>
      <c r="D115" s="102" t="s">
        <v>75</v>
      </c>
      <c r="E115" s="102"/>
      <c r="F115" s="102"/>
      <c r="G115" s="102"/>
      <c r="H115" s="28"/>
      <c r="I115" s="28"/>
      <c r="J115" s="28"/>
      <c r="K115" s="28"/>
      <c r="L115" s="28"/>
      <c r="M115" s="45"/>
      <c r="N115" s="28"/>
      <c r="O115" s="28"/>
      <c r="P115" s="28"/>
      <c r="AI115" s="9"/>
      <c r="AJ115" s="11"/>
      <c r="AK115" s="12"/>
      <c r="AL115" s="12"/>
      <c r="AM115" s="12"/>
      <c r="AN115" s="11"/>
      <c r="AO115" s="10"/>
      <c r="AP115" s="7"/>
      <c r="AQ115" s="13"/>
    </row>
    <row r="116" spans="1:43">
      <c r="A116" s="26" t="s">
        <v>11</v>
      </c>
      <c r="B116" s="26" t="s">
        <v>13</v>
      </c>
      <c r="C116" s="26" t="s">
        <v>22</v>
      </c>
      <c r="D116" s="26" t="s">
        <v>18</v>
      </c>
      <c r="E116" s="26" t="s">
        <v>19</v>
      </c>
      <c r="F116" s="26" t="s">
        <v>20</v>
      </c>
      <c r="G116" s="26" t="s">
        <v>2</v>
      </c>
      <c r="H116" s="26" t="s">
        <v>65</v>
      </c>
      <c r="I116" s="26" t="s">
        <v>66</v>
      </c>
      <c r="J116" s="76" t="s">
        <v>3</v>
      </c>
      <c r="K116" s="76" t="s">
        <v>4</v>
      </c>
      <c r="L116" s="44" t="s">
        <v>7</v>
      </c>
      <c r="M116" s="93"/>
      <c r="N116" s="28"/>
      <c r="O116" s="28"/>
      <c r="P116" s="28"/>
      <c r="AI116" s="9"/>
      <c r="AJ116" s="11"/>
      <c r="AK116" s="12"/>
      <c r="AL116" s="12"/>
      <c r="AM116" s="12"/>
      <c r="AN116" s="11"/>
      <c r="AO116" s="10"/>
      <c r="AP116" s="7"/>
      <c r="AQ116" s="7"/>
    </row>
    <row r="117" spans="1:43">
      <c r="A117" s="88" t="s">
        <v>60</v>
      </c>
      <c r="B117" s="8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AI117" s="9"/>
      <c r="AJ117" s="11"/>
      <c r="AK117" s="12"/>
      <c r="AL117" s="12"/>
      <c r="AM117" s="12"/>
      <c r="AN117" s="11"/>
      <c r="AO117" s="10"/>
      <c r="AP117" s="7"/>
      <c r="AQ117" s="7"/>
    </row>
    <row r="118" spans="1:43">
      <c r="A118" s="26" t="s">
        <v>11</v>
      </c>
      <c r="B118" s="26" t="s">
        <v>13</v>
      </c>
      <c r="C118" s="26" t="s">
        <v>22</v>
      </c>
      <c r="D118" s="26" t="s">
        <v>18</v>
      </c>
      <c r="E118" s="26" t="s">
        <v>19</v>
      </c>
      <c r="F118" s="26" t="s">
        <v>20</v>
      </c>
      <c r="G118" s="26" t="s">
        <v>2</v>
      </c>
      <c r="H118" s="26" t="s">
        <v>1</v>
      </c>
      <c r="I118" s="26" t="s">
        <v>0</v>
      </c>
      <c r="J118" s="76" t="s">
        <v>3</v>
      </c>
      <c r="K118" s="76" t="s">
        <v>4</v>
      </c>
      <c r="L118" s="44" t="s">
        <v>7</v>
      </c>
      <c r="M118" s="28"/>
      <c r="N118" s="28"/>
      <c r="O118" s="28"/>
      <c r="P118" s="28"/>
      <c r="AI118" s="9"/>
      <c r="AJ118" s="10"/>
      <c r="AK118" s="10"/>
      <c r="AL118" s="10"/>
      <c r="AM118" s="10"/>
      <c r="AN118" s="10"/>
      <c r="AO118" s="10"/>
      <c r="AP118" s="7"/>
      <c r="AQ118" s="7"/>
    </row>
    <row r="119" spans="1:43">
      <c r="A119" s="19" t="e">
        <f>$E114</f>
        <v>#DIV/0!</v>
      </c>
      <c r="B119" s="26" t="e">
        <f>COS(A119)</f>
        <v>#DIV/0!</v>
      </c>
      <c r="C119" s="26" t="e">
        <f>($C$114+B119)</f>
        <v>#DIV/0!</v>
      </c>
      <c r="D119" s="26" t="e">
        <f>POWER(TAN(A119/2),$C$114)</f>
        <v>#DIV/0!</v>
      </c>
      <c r="E119" s="26" t="e">
        <f>SIN(A119)</f>
        <v>#DIV/0!</v>
      </c>
      <c r="F119" s="77" t="e">
        <f>(C119*$H$114*D119/E119/$I$114/$J$114)</f>
        <v>#DIV/0!</v>
      </c>
      <c r="G119" s="77" t="e">
        <f>$D$114*($C$114+$G$114)/9.81/SIN($C$111)/(1-$C$114*$C$114)*(F119-1)</f>
        <v>#DIV/0!</v>
      </c>
      <c r="H119" s="81" t="e">
        <f>-(-$H$111+$K$114*((POWER(TAN(A119/2),2*$C$114-1)/(2*$C$114-1))+(POWER(TAN(A119/2),2*$C$114+1)/(2*$C$114+1))-(POWER(TAN($E$114/2),2*$C$114-1)/(2*$C$114-1))-(POWER(TAN($E$114/2),2*$C$114+1)/(2*$C$114+1))))</f>
        <v>#DIV/0!</v>
      </c>
      <c r="I119" s="81" t="e">
        <f>-(-$I$111+0.5*$K$114*((POWER(TAN(A119/2),2*$C$114-2)/(2*$C$114-2))-(POWER(TAN(A119/2),2*$C$114+2)/(2*$C$114+2))-(POWER(TAN($E$114/2),2*$C$114-2)/(2*$C$114-2))+(POWER(TAN($E$114/2),2*$C$114+2)/(2*$C$114+2))))</f>
        <v>#DIV/0!</v>
      </c>
      <c r="J119" s="77" t="e">
        <f>-$D$114*SIN(A119)*($C$114+$G$114)/($C$114+B119)*F119</f>
        <v>#DIV/0!</v>
      </c>
      <c r="K119" s="77" t="e">
        <f>-$D$114*COS(A119)*($C$114+$G$114)/($C$114+B119)*F119</f>
        <v>#DIV/0!</v>
      </c>
      <c r="L119" s="91" t="e">
        <f>SQRT(J119*J119+K119*K119)</f>
        <v>#DIV/0!</v>
      </c>
      <c r="M119" s="28"/>
      <c r="N119" s="28"/>
      <c r="O119" s="28"/>
      <c r="P119" s="28"/>
      <c r="AI119" s="7"/>
      <c r="AJ119" s="10"/>
      <c r="AK119" s="10"/>
      <c r="AL119" s="10"/>
      <c r="AM119" s="10"/>
      <c r="AN119" s="10"/>
      <c r="AO119" s="10"/>
      <c r="AP119" s="7"/>
      <c r="AQ119" s="7"/>
    </row>
    <row r="120" spans="1:43">
      <c r="A120" s="20" t="e">
        <f>A119-$F$114</f>
        <v>#DIV/0!</v>
      </c>
      <c r="B120" s="26" t="e">
        <f t="shared" ref="B120:B149" si="109">COS(A120)</f>
        <v>#DIV/0!</v>
      </c>
      <c r="C120" s="26" t="e">
        <f t="shared" ref="C120:C149" si="110">($C$114+B120)</f>
        <v>#DIV/0!</v>
      </c>
      <c r="D120" s="26" t="e">
        <f t="shared" ref="D120:D149" si="111">POWER(TAN(A120/2),$C$114)</f>
        <v>#DIV/0!</v>
      </c>
      <c r="E120" s="26" t="e">
        <f t="shared" ref="E120:E149" si="112">SIN(A120)</f>
        <v>#DIV/0!</v>
      </c>
      <c r="F120" s="77" t="e">
        <f t="shared" ref="F120:F149" si="113">(C120*$H$114*D120/E120/$I$114/$J$114)</f>
        <v>#DIV/0!</v>
      </c>
      <c r="G120" s="77" t="e">
        <f t="shared" ref="G120:G149" si="114">$D$114*($C$114+$G$114)/9.81/SIN($C$111)/(1-$C$114*$C$114)*(F120-1)</f>
        <v>#DIV/0!</v>
      </c>
      <c r="H120" s="81" t="e">
        <f t="shared" ref="H120:H149" si="115">-(-$H$111+$K$114*((POWER(TAN(A120/2),2*$C$114-1)/(2*$C$114-1))+(POWER(TAN(A120/2),2*$C$114+1)/(2*$C$114+1))-(POWER(TAN($E$114/2),2*$C$114-1)/(2*$C$114-1))-(POWER(TAN($E$114/2),2*$C$114+1)/(2*$C$114+1))))</f>
        <v>#DIV/0!</v>
      </c>
      <c r="I120" s="81" t="e">
        <f t="shared" ref="I120:I149" si="116">-(-$I$111+0.5*$K$114*((POWER(TAN(A120/2),2*$C$114-2)/(2*$C$114-2))-(POWER(TAN(A120/2),2*$C$114+2)/(2*$C$114+2))-(POWER(TAN($E$114/2),2*$C$114-2)/(2*$C$114-2))+(POWER(TAN($E$114/2),2*$C$114+2)/(2*$C$114+2))))</f>
        <v>#DIV/0!</v>
      </c>
      <c r="J120" s="77" t="e">
        <f t="shared" ref="J120:J149" si="117">-$D$114*SIN(A120)*($C$114+$G$114)/($C$114+B120)*F120</f>
        <v>#DIV/0!</v>
      </c>
      <c r="K120" s="77" t="e">
        <f t="shared" ref="K120:K149" si="118">-$D$114*COS(A120)*($C$114+$G$114)/($C$114+B120)*F120</f>
        <v>#DIV/0!</v>
      </c>
      <c r="L120" s="91" t="e">
        <f t="shared" ref="L120:L149" si="119">SQRT(J120*J120+K120*K120)</f>
        <v>#DIV/0!</v>
      </c>
      <c r="M120" s="28"/>
      <c r="N120" s="28"/>
      <c r="O120" s="28"/>
      <c r="P120" s="28"/>
      <c r="AI120" s="7"/>
      <c r="AJ120" s="7"/>
      <c r="AK120" s="7"/>
      <c r="AL120" s="7"/>
      <c r="AM120" s="7"/>
      <c r="AN120" s="7"/>
      <c r="AO120" s="7"/>
      <c r="AP120" s="7"/>
      <c r="AQ120" s="7"/>
    </row>
    <row r="121" spans="1:43">
      <c r="A121" s="20" t="e">
        <f t="shared" ref="A121:A149" si="120">A120-$F$114</f>
        <v>#DIV/0!</v>
      </c>
      <c r="B121" s="26" t="e">
        <f t="shared" si="109"/>
        <v>#DIV/0!</v>
      </c>
      <c r="C121" s="26" t="e">
        <f t="shared" si="110"/>
        <v>#DIV/0!</v>
      </c>
      <c r="D121" s="26" t="e">
        <f t="shared" si="111"/>
        <v>#DIV/0!</v>
      </c>
      <c r="E121" s="26" t="e">
        <f t="shared" si="112"/>
        <v>#DIV/0!</v>
      </c>
      <c r="F121" s="77" t="e">
        <f t="shared" si="113"/>
        <v>#DIV/0!</v>
      </c>
      <c r="G121" s="77" t="e">
        <f t="shared" si="114"/>
        <v>#DIV/0!</v>
      </c>
      <c r="H121" s="81" t="e">
        <f t="shared" si="115"/>
        <v>#DIV/0!</v>
      </c>
      <c r="I121" s="81" t="e">
        <f t="shared" si="116"/>
        <v>#DIV/0!</v>
      </c>
      <c r="J121" s="77" t="e">
        <f t="shared" si="117"/>
        <v>#DIV/0!</v>
      </c>
      <c r="K121" s="77" t="e">
        <f t="shared" si="118"/>
        <v>#DIV/0!</v>
      </c>
      <c r="L121" s="91" t="e">
        <f t="shared" si="119"/>
        <v>#DIV/0!</v>
      </c>
      <c r="M121" s="45"/>
      <c r="N121" s="28"/>
      <c r="O121" s="28"/>
      <c r="P121" s="31"/>
      <c r="AI121" s="7"/>
      <c r="AJ121" s="7"/>
      <c r="AK121" s="7"/>
      <c r="AL121" s="7"/>
      <c r="AM121" s="7"/>
      <c r="AN121" s="7"/>
      <c r="AO121" s="7"/>
      <c r="AP121" s="7"/>
      <c r="AQ121" s="7"/>
    </row>
    <row r="122" spans="1:43">
      <c r="A122" s="20" t="e">
        <f t="shared" si="120"/>
        <v>#DIV/0!</v>
      </c>
      <c r="B122" s="26" t="e">
        <f t="shared" si="109"/>
        <v>#DIV/0!</v>
      </c>
      <c r="C122" s="26" t="e">
        <f t="shared" si="110"/>
        <v>#DIV/0!</v>
      </c>
      <c r="D122" s="26" t="e">
        <f t="shared" si="111"/>
        <v>#DIV/0!</v>
      </c>
      <c r="E122" s="26" t="e">
        <f t="shared" si="112"/>
        <v>#DIV/0!</v>
      </c>
      <c r="F122" s="77" t="e">
        <f t="shared" si="113"/>
        <v>#DIV/0!</v>
      </c>
      <c r="G122" s="77" t="e">
        <f t="shared" si="114"/>
        <v>#DIV/0!</v>
      </c>
      <c r="H122" s="81" t="e">
        <f t="shared" si="115"/>
        <v>#DIV/0!</v>
      </c>
      <c r="I122" s="81" t="e">
        <f t="shared" si="116"/>
        <v>#DIV/0!</v>
      </c>
      <c r="J122" s="77" t="e">
        <f t="shared" si="117"/>
        <v>#DIV/0!</v>
      </c>
      <c r="K122" s="77" t="e">
        <f t="shared" si="118"/>
        <v>#DIV/0!</v>
      </c>
      <c r="L122" s="91" t="e">
        <f t="shared" si="119"/>
        <v>#DIV/0!</v>
      </c>
      <c r="M122" s="45"/>
      <c r="N122" s="28"/>
      <c r="O122" s="28"/>
      <c r="P122" s="31"/>
      <c r="AI122" s="7"/>
      <c r="AJ122" s="7"/>
      <c r="AK122" s="7"/>
      <c r="AL122" s="7"/>
      <c r="AM122" s="7"/>
      <c r="AN122" s="7"/>
      <c r="AO122" s="7"/>
      <c r="AP122" s="7"/>
      <c r="AQ122" s="7"/>
    </row>
    <row r="123" spans="1:43">
      <c r="A123" s="20" t="e">
        <f t="shared" si="120"/>
        <v>#DIV/0!</v>
      </c>
      <c r="B123" s="26" t="e">
        <f t="shared" si="109"/>
        <v>#DIV/0!</v>
      </c>
      <c r="C123" s="26" t="e">
        <f t="shared" si="110"/>
        <v>#DIV/0!</v>
      </c>
      <c r="D123" s="26" t="e">
        <f t="shared" si="111"/>
        <v>#DIV/0!</v>
      </c>
      <c r="E123" s="26" t="e">
        <f t="shared" si="112"/>
        <v>#DIV/0!</v>
      </c>
      <c r="F123" s="77" t="e">
        <f t="shared" si="113"/>
        <v>#DIV/0!</v>
      </c>
      <c r="G123" s="77" t="e">
        <f t="shared" si="114"/>
        <v>#DIV/0!</v>
      </c>
      <c r="H123" s="81" t="e">
        <f t="shared" si="115"/>
        <v>#DIV/0!</v>
      </c>
      <c r="I123" s="81" t="e">
        <f t="shared" si="116"/>
        <v>#DIV/0!</v>
      </c>
      <c r="J123" s="77" t="e">
        <f t="shared" si="117"/>
        <v>#DIV/0!</v>
      </c>
      <c r="K123" s="77" t="e">
        <f t="shared" si="118"/>
        <v>#DIV/0!</v>
      </c>
      <c r="L123" s="91" t="e">
        <f t="shared" si="119"/>
        <v>#DIV/0!</v>
      </c>
      <c r="M123" s="45"/>
      <c r="N123" s="28"/>
      <c r="O123" s="28"/>
      <c r="P123" s="89"/>
      <c r="AI123" s="7"/>
      <c r="AJ123" s="7"/>
      <c r="AK123" s="7"/>
      <c r="AL123" s="7"/>
      <c r="AM123" s="7"/>
      <c r="AN123" s="7"/>
      <c r="AO123" s="7"/>
      <c r="AP123" s="7"/>
      <c r="AQ123" s="7"/>
    </row>
    <row r="124" spans="1:43">
      <c r="A124" s="20" t="e">
        <f t="shared" si="120"/>
        <v>#DIV/0!</v>
      </c>
      <c r="B124" s="26" t="e">
        <f t="shared" si="109"/>
        <v>#DIV/0!</v>
      </c>
      <c r="C124" s="26" t="e">
        <f t="shared" si="110"/>
        <v>#DIV/0!</v>
      </c>
      <c r="D124" s="26" t="e">
        <f t="shared" si="111"/>
        <v>#DIV/0!</v>
      </c>
      <c r="E124" s="26" t="e">
        <f t="shared" si="112"/>
        <v>#DIV/0!</v>
      </c>
      <c r="F124" s="77" t="e">
        <f t="shared" si="113"/>
        <v>#DIV/0!</v>
      </c>
      <c r="G124" s="77" t="e">
        <f t="shared" si="114"/>
        <v>#DIV/0!</v>
      </c>
      <c r="H124" s="81" t="e">
        <f t="shared" si="115"/>
        <v>#DIV/0!</v>
      </c>
      <c r="I124" s="81" t="e">
        <f t="shared" si="116"/>
        <v>#DIV/0!</v>
      </c>
      <c r="J124" s="77" t="e">
        <f t="shared" si="117"/>
        <v>#DIV/0!</v>
      </c>
      <c r="K124" s="77" t="e">
        <f t="shared" si="118"/>
        <v>#DIV/0!</v>
      </c>
      <c r="L124" s="91" t="e">
        <f t="shared" si="119"/>
        <v>#DIV/0!</v>
      </c>
      <c r="M124" s="45"/>
      <c r="N124" s="28"/>
      <c r="O124" s="28"/>
      <c r="P124" s="28"/>
      <c r="AI124" s="7"/>
      <c r="AJ124" s="7"/>
      <c r="AK124" s="7"/>
      <c r="AL124" s="7"/>
      <c r="AM124" s="7"/>
      <c r="AN124" s="7"/>
      <c r="AO124" s="7"/>
      <c r="AP124" s="7"/>
      <c r="AQ124" s="7"/>
    </row>
    <row r="125" spans="1:43">
      <c r="A125" s="20" t="e">
        <f t="shared" si="120"/>
        <v>#DIV/0!</v>
      </c>
      <c r="B125" s="26" t="e">
        <f t="shared" si="109"/>
        <v>#DIV/0!</v>
      </c>
      <c r="C125" s="26" t="e">
        <f t="shared" si="110"/>
        <v>#DIV/0!</v>
      </c>
      <c r="D125" s="26" t="e">
        <f t="shared" si="111"/>
        <v>#DIV/0!</v>
      </c>
      <c r="E125" s="26" t="e">
        <f t="shared" si="112"/>
        <v>#DIV/0!</v>
      </c>
      <c r="F125" s="77" t="e">
        <f t="shared" si="113"/>
        <v>#DIV/0!</v>
      </c>
      <c r="G125" s="77" t="e">
        <f t="shared" si="114"/>
        <v>#DIV/0!</v>
      </c>
      <c r="H125" s="81" t="e">
        <f t="shared" si="115"/>
        <v>#DIV/0!</v>
      </c>
      <c r="I125" s="81" t="e">
        <f t="shared" si="116"/>
        <v>#DIV/0!</v>
      </c>
      <c r="J125" s="77" t="e">
        <f t="shared" si="117"/>
        <v>#DIV/0!</v>
      </c>
      <c r="K125" s="77" t="e">
        <f t="shared" si="118"/>
        <v>#DIV/0!</v>
      </c>
      <c r="L125" s="91" t="e">
        <f t="shared" si="119"/>
        <v>#DIV/0!</v>
      </c>
      <c r="AJ125" s="7"/>
      <c r="AK125" s="7"/>
      <c r="AL125" s="7"/>
      <c r="AM125" s="7"/>
      <c r="AN125" s="7"/>
      <c r="AO125" s="7"/>
      <c r="AP125" s="7"/>
      <c r="AQ125" s="7"/>
    </row>
    <row r="126" spans="1:43">
      <c r="A126" s="20" t="e">
        <f t="shared" si="120"/>
        <v>#DIV/0!</v>
      </c>
      <c r="B126" s="26" t="e">
        <f t="shared" si="109"/>
        <v>#DIV/0!</v>
      </c>
      <c r="C126" s="26" t="e">
        <f t="shared" si="110"/>
        <v>#DIV/0!</v>
      </c>
      <c r="D126" s="26" t="e">
        <f t="shared" si="111"/>
        <v>#DIV/0!</v>
      </c>
      <c r="E126" s="26" t="e">
        <f t="shared" si="112"/>
        <v>#DIV/0!</v>
      </c>
      <c r="F126" s="77" t="e">
        <f t="shared" si="113"/>
        <v>#DIV/0!</v>
      </c>
      <c r="G126" s="77" t="e">
        <f t="shared" si="114"/>
        <v>#DIV/0!</v>
      </c>
      <c r="H126" s="81" t="e">
        <f t="shared" si="115"/>
        <v>#DIV/0!</v>
      </c>
      <c r="I126" s="81" t="e">
        <f t="shared" si="116"/>
        <v>#DIV/0!</v>
      </c>
      <c r="J126" s="77" t="e">
        <f t="shared" si="117"/>
        <v>#DIV/0!</v>
      </c>
      <c r="K126" s="77" t="e">
        <f t="shared" si="118"/>
        <v>#DIV/0!</v>
      </c>
      <c r="L126" s="91" t="e">
        <f t="shared" si="119"/>
        <v>#DIV/0!</v>
      </c>
    </row>
    <row r="127" spans="1:43">
      <c r="A127" s="20" t="e">
        <f t="shared" si="120"/>
        <v>#DIV/0!</v>
      </c>
      <c r="B127" s="26" t="e">
        <f t="shared" si="109"/>
        <v>#DIV/0!</v>
      </c>
      <c r="C127" s="26" t="e">
        <f t="shared" si="110"/>
        <v>#DIV/0!</v>
      </c>
      <c r="D127" s="26" t="e">
        <f t="shared" si="111"/>
        <v>#DIV/0!</v>
      </c>
      <c r="E127" s="26" t="e">
        <f t="shared" si="112"/>
        <v>#DIV/0!</v>
      </c>
      <c r="F127" s="77" t="e">
        <f t="shared" si="113"/>
        <v>#DIV/0!</v>
      </c>
      <c r="G127" s="77" t="e">
        <f t="shared" si="114"/>
        <v>#DIV/0!</v>
      </c>
      <c r="H127" s="81" t="e">
        <f t="shared" si="115"/>
        <v>#DIV/0!</v>
      </c>
      <c r="I127" s="81" t="e">
        <f t="shared" si="116"/>
        <v>#DIV/0!</v>
      </c>
      <c r="J127" s="77" t="e">
        <f t="shared" si="117"/>
        <v>#DIV/0!</v>
      </c>
      <c r="K127" s="77" t="e">
        <f t="shared" si="118"/>
        <v>#DIV/0!</v>
      </c>
      <c r="L127" s="91" t="e">
        <f t="shared" si="119"/>
        <v>#DIV/0!</v>
      </c>
    </row>
    <row r="128" spans="1:43">
      <c r="A128" s="20" t="e">
        <f t="shared" si="120"/>
        <v>#DIV/0!</v>
      </c>
      <c r="B128" s="26" t="e">
        <f t="shared" si="109"/>
        <v>#DIV/0!</v>
      </c>
      <c r="C128" s="26" t="e">
        <f t="shared" si="110"/>
        <v>#DIV/0!</v>
      </c>
      <c r="D128" s="26" t="e">
        <f t="shared" si="111"/>
        <v>#DIV/0!</v>
      </c>
      <c r="E128" s="26" t="e">
        <f t="shared" si="112"/>
        <v>#DIV/0!</v>
      </c>
      <c r="F128" s="77" t="e">
        <f t="shared" si="113"/>
        <v>#DIV/0!</v>
      </c>
      <c r="G128" s="77" t="e">
        <f t="shared" si="114"/>
        <v>#DIV/0!</v>
      </c>
      <c r="H128" s="81" t="e">
        <f t="shared" si="115"/>
        <v>#DIV/0!</v>
      </c>
      <c r="I128" s="81" t="e">
        <f t="shared" si="116"/>
        <v>#DIV/0!</v>
      </c>
      <c r="J128" s="77" t="e">
        <f t="shared" si="117"/>
        <v>#DIV/0!</v>
      </c>
      <c r="K128" s="77" t="e">
        <f t="shared" si="118"/>
        <v>#DIV/0!</v>
      </c>
      <c r="L128" s="91" t="e">
        <f t="shared" si="119"/>
        <v>#DIV/0!</v>
      </c>
    </row>
    <row r="129" spans="1:12">
      <c r="A129" s="20" t="e">
        <f t="shared" si="120"/>
        <v>#DIV/0!</v>
      </c>
      <c r="B129" s="26" t="e">
        <f t="shared" si="109"/>
        <v>#DIV/0!</v>
      </c>
      <c r="C129" s="26" t="e">
        <f t="shared" si="110"/>
        <v>#DIV/0!</v>
      </c>
      <c r="D129" s="26" t="e">
        <f t="shared" si="111"/>
        <v>#DIV/0!</v>
      </c>
      <c r="E129" s="26" t="e">
        <f t="shared" si="112"/>
        <v>#DIV/0!</v>
      </c>
      <c r="F129" s="77" t="e">
        <f t="shared" si="113"/>
        <v>#DIV/0!</v>
      </c>
      <c r="G129" s="77" t="e">
        <f t="shared" si="114"/>
        <v>#DIV/0!</v>
      </c>
      <c r="H129" s="81" t="e">
        <f t="shared" si="115"/>
        <v>#DIV/0!</v>
      </c>
      <c r="I129" s="81" t="e">
        <f t="shared" si="116"/>
        <v>#DIV/0!</v>
      </c>
      <c r="J129" s="77" t="e">
        <f t="shared" si="117"/>
        <v>#DIV/0!</v>
      </c>
      <c r="K129" s="77" t="e">
        <f t="shared" si="118"/>
        <v>#DIV/0!</v>
      </c>
      <c r="L129" s="91" t="e">
        <f t="shared" si="119"/>
        <v>#DIV/0!</v>
      </c>
    </row>
    <row r="130" spans="1:12">
      <c r="A130" s="20" t="e">
        <f t="shared" si="120"/>
        <v>#DIV/0!</v>
      </c>
      <c r="B130" s="26" t="e">
        <f t="shared" si="109"/>
        <v>#DIV/0!</v>
      </c>
      <c r="C130" s="26" t="e">
        <f t="shared" si="110"/>
        <v>#DIV/0!</v>
      </c>
      <c r="D130" s="26" t="e">
        <f t="shared" si="111"/>
        <v>#DIV/0!</v>
      </c>
      <c r="E130" s="26" t="e">
        <f t="shared" si="112"/>
        <v>#DIV/0!</v>
      </c>
      <c r="F130" s="77" t="e">
        <f t="shared" si="113"/>
        <v>#DIV/0!</v>
      </c>
      <c r="G130" s="77" t="e">
        <f t="shared" si="114"/>
        <v>#DIV/0!</v>
      </c>
      <c r="H130" s="81" t="e">
        <f t="shared" si="115"/>
        <v>#DIV/0!</v>
      </c>
      <c r="I130" s="81" t="e">
        <f t="shared" si="116"/>
        <v>#DIV/0!</v>
      </c>
      <c r="J130" s="77" t="e">
        <f t="shared" si="117"/>
        <v>#DIV/0!</v>
      </c>
      <c r="K130" s="77" t="e">
        <f t="shared" si="118"/>
        <v>#DIV/0!</v>
      </c>
      <c r="L130" s="91" t="e">
        <f t="shared" si="119"/>
        <v>#DIV/0!</v>
      </c>
    </row>
    <row r="131" spans="1:12">
      <c r="A131" s="20" t="e">
        <f t="shared" si="120"/>
        <v>#DIV/0!</v>
      </c>
      <c r="B131" s="26" t="e">
        <f t="shared" si="109"/>
        <v>#DIV/0!</v>
      </c>
      <c r="C131" s="26" t="e">
        <f t="shared" si="110"/>
        <v>#DIV/0!</v>
      </c>
      <c r="D131" s="26" t="e">
        <f t="shared" si="111"/>
        <v>#DIV/0!</v>
      </c>
      <c r="E131" s="26" t="e">
        <f t="shared" si="112"/>
        <v>#DIV/0!</v>
      </c>
      <c r="F131" s="77" t="e">
        <f t="shared" si="113"/>
        <v>#DIV/0!</v>
      </c>
      <c r="G131" s="77" t="e">
        <f t="shared" si="114"/>
        <v>#DIV/0!</v>
      </c>
      <c r="H131" s="81" t="e">
        <f t="shared" si="115"/>
        <v>#DIV/0!</v>
      </c>
      <c r="I131" s="81" t="e">
        <f t="shared" si="116"/>
        <v>#DIV/0!</v>
      </c>
      <c r="J131" s="77" t="e">
        <f t="shared" si="117"/>
        <v>#DIV/0!</v>
      </c>
      <c r="K131" s="77" t="e">
        <f t="shared" si="118"/>
        <v>#DIV/0!</v>
      </c>
      <c r="L131" s="91" t="e">
        <f t="shared" si="119"/>
        <v>#DIV/0!</v>
      </c>
    </row>
    <row r="132" spans="1:12">
      <c r="A132" s="20" t="e">
        <f t="shared" si="120"/>
        <v>#DIV/0!</v>
      </c>
      <c r="B132" s="26" t="e">
        <f t="shared" si="109"/>
        <v>#DIV/0!</v>
      </c>
      <c r="C132" s="26" t="e">
        <f t="shared" si="110"/>
        <v>#DIV/0!</v>
      </c>
      <c r="D132" s="26" t="e">
        <f t="shared" si="111"/>
        <v>#DIV/0!</v>
      </c>
      <c r="E132" s="26" t="e">
        <f t="shared" si="112"/>
        <v>#DIV/0!</v>
      </c>
      <c r="F132" s="77" t="e">
        <f t="shared" si="113"/>
        <v>#DIV/0!</v>
      </c>
      <c r="G132" s="77" t="e">
        <f t="shared" si="114"/>
        <v>#DIV/0!</v>
      </c>
      <c r="H132" s="75" t="e">
        <f t="shared" si="115"/>
        <v>#DIV/0!</v>
      </c>
      <c r="I132" s="75" t="e">
        <f t="shared" si="116"/>
        <v>#DIV/0!</v>
      </c>
      <c r="J132" s="77" t="e">
        <f t="shared" si="117"/>
        <v>#DIV/0!</v>
      </c>
      <c r="K132" s="77" t="e">
        <f t="shared" si="118"/>
        <v>#DIV/0!</v>
      </c>
      <c r="L132" s="91" t="e">
        <f t="shared" si="119"/>
        <v>#DIV/0!</v>
      </c>
    </row>
    <row r="133" spans="1:12">
      <c r="A133" s="20" t="e">
        <f t="shared" si="120"/>
        <v>#DIV/0!</v>
      </c>
      <c r="B133" s="26" t="e">
        <f t="shared" si="109"/>
        <v>#DIV/0!</v>
      </c>
      <c r="C133" s="26" t="e">
        <f t="shared" si="110"/>
        <v>#DIV/0!</v>
      </c>
      <c r="D133" s="26" t="e">
        <f t="shared" si="111"/>
        <v>#DIV/0!</v>
      </c>
      <c r="E133" s="26" t="e">
        <f t="shared" si="112"/>
        <v>#DIV/0!</v>
      </c>
      <c r="F133" s="77" t="e">
        <f t="shared" si="113"/>
        <v>#DIV/0!</v>
      </c>
      <c r="G133" s="77" t="e">
        <f t="shared" si="114"/>
        <v>#DIV/0!</v>
      </c>
      <c r="H133" s="75" t="e">
        <f t="shared" si="115"/>
        <v>#DIV/0!</v>
      </c>
      <c r="I133" s="75" t="e">
        <f t="shared" si="116"/>
        <v>#DIV/0!</v>
      </c>
      <c r="J133" s="77" t="e">
        <f t="shared" si="117"/>
        <v>#DIV/0!</v>
      </c>
      <c r="K133" s="77" t="e">
        <f t="shared" si="118"/>
        <v>#DIV/0!</v>
      </c>
      <c r="L133" s="91" t="e">
        <f t="shared" si="119"/>
        <v>#DIV/0!</v>
      </c>
    </row>
    <row r="134" spans="1:12">
      <c r="A134" s="20" t="e">
        <f t="shared" si="120"/>
        <v>#DIV/0!</v>
      </c>
      <c r="B134" s="26" t="e">
        <f t="shared" si="109"/>
        <v>#DIV/0!</v>
      </c>
      <c r="C134" s="26" t="e">
        <f t="shared" si="110"/>
        <v>#DIV/0!</v>
      </c>
      <c r="D134" s="26" t="e">
        <f t="shared" si="111"/>
        <v>#DIV/0!</v>
      </c>
      <c r="E134" s="26" t="e">
        <f t="shared" si="112"/>
        <v>#DIV/0!</v>
      </c>
      <c r="F134" s="77" t="e">
        <f t="shared" si="113"/>
        <v>#DIV/0!</v>
      </c>
      <c r="G134" s="77" t="e">
        <f t="shared" si="114"/>
        <v>#DIV/0!</v>
      </c>
      <c r="H134" s="75" t="e">
        <f t="shared" si="115"/>
        <v>#DIV/0!</v>
      </c>
      <c r="I134" s="75" t="e">
        <f t="shared" si="116"/>
        <v>#DIV/0!</v>
      </c>
      <c r="J134" s="77" t="e">
        <f t="shared" si="117"/>
        <v>#DIV/0!</v>
      </c>
      <c r="K134" s="77" t="e">
        <f t="shared" si="118"/>
        <v>#DIV/0!</v>
      </c>
      <c r="L134" s="91" t="e">
        <f t="shared" si="119"/>
        <v>#DIV/0!</v>
      </c>
    </row>
    <row r="135" spans="1:12">
      <c r="A135" s="20" t="e">
        <f t="shared" si="120"/>
        <v>#DIV/0!</v>
      </c>
      <c r="B135" s="26" t="e">
        <f t="shared" si="109"/>
        <v>#DIV/0!</v>
      </c>
      <c r="C135" s="26" t="e">
        <f t="shared" si="110"/>
        <v>#DIV/0!</v>
      </c>
      <c r="D135" s="26" t="e">
        <f t="shared" si="111"/>
        <v>#DIV/0!</v>
      </c>
      <c r="E135" s="26" t="e">
        <f t="shared" si="112"/>
        <v>#DIV/0!</v>
      </c>
      <c r="F135" s="77" t="e">
        <f t="shared" si="113"/>
        <v>#DIV/0!</v>
      </c>
      <c r="G135" s="77" t="e">
        <f t="shared" si="114"/>
        <v>#DIV/0!</v>
      </c>
      <c r="H135" s="75" t="e">
        <f t="shared" si="115"/>
        <v>#DIV/0!</v>
      </c>
      <c r="I135" s="75" t="e">
        <f t="shared" si="116"/>
        <v>#DIV/0!</v>
      </c>
      <c r="J135" s="77" t="e">
        <f t="shared" si="117"/>
        <v>#DIV/0!</v>
      </c>
      <c r="K135" s="77" t="e">
        <f t="shared" si="118"/>
        <v>#DIV/0!</v>
      </c>
      <c r="L135" s="91" t="e">
        <f t="shared" si="119"/>
        <v>#DIV/0!</v>
      </c>
    </row>
    <row r="136" spans="1:12">
      <c r="A136" s="20" t="e">
        <f t="shared" si="120"/>
        <v>#DIV/0!</v>
      </c>
      <c r="B136" s="26" t="e">
        <f t="shared" si="109"/>
        <v>#DIV/0!</v>
      </c>
      <c r="C136" s="26" t="e">
        <f t="shared" si="110"/>
        <v>#DIV/0!</v>
      </c>
      <c r="D136" s="26" t="e">
        <f t="shared" si="111"/>
        <v>#DIV/0!</v>
      </c>
      <c r="E136" s="26" t="e">
        <f t="shared" si="112"/>
        <v>#DIV/0!</v>
      </c>
      <c r="F136" s="77" t="e">
        <f t="shared" si="113"/>
        <v>#DIV/0!</v>
      </c>
      <c r="G136" s="77" t="e">
        <f t="shared" si="114"/>
        <v>#DIV/0!</v>
      </c>
      <c r="H136" s="75" t="e">
        <f t="shared" si="115"/>
        <v>#DIV/0!</v>
      </c>
      <c r="I136" s="75" t="e">
        <f t="shared" si="116"/>
        <v>#DIV/0!</v>
      </c>
      <c r="J136" s="77" t="e">
        <f t="shared" si="117"/>
        <v>#DIV/0!</v>
      </c>
      <c r="K136" s="77" t="e">
        <f t="shared" si="118"/>
        <v>#DIV/0!</v>
      </c>
      <c r="L136" s="91" t="e">
        <f t="shared" si="119"/>
        <v>#DIV/0!</v>
      </c>
    </row>
    <row r="137" spans="1:12">
      <c r="A137" s="20" t="e">
        <f t="shared" si="120"/>
        <v>#DIV/0!</v>
      </c>
      <c r="B137" s="26" t="e">
        <f t="shared" si="109"/>
        <v>#DIV/0!</v>
      </c>
      <c r="C137" s="26" t="e">
        <f t="shared" si="110"/>
        <v>#DIV/0!</v>
      </c>
      <c r="D137" s="26" t="e">
        <f t="shared" si="111"/>
        <v>#DIV/0!</v>
      </c>
      <c r="E137" s="26" t="e">
        <f t="shared" si="112"/>
        <v>#DIV/0!</v>
      </c>
      <c r="F137" s="77" t="e">
        <f t="shared" si="113"/>
        <v>#DIV/0!</v>
      </c>
      <c r="G137" s="77" t="e">
        <f t="shared" si="114"/>
        <v>#DIV/0!</v>
      </c>
      <c r="H137" s="75" t="e">
        <f t="shared" si="115"/>
        <v>#DIV/0!</v>
      </c>
      <c r="I137" s="75" t="e">
        <f t="shared" si="116"/>
        <v>#DIV/0!</v>
      </c>
      <c r="J137" s="77" t="e">
        <f t="shared" si="117"/>
        <v>#DIV/0!</v>
      </c>
      <c r="K137" s="77" t="e">
        <f t="shared" si="118"/>
        <v>#DIV/0!</v>
      </c>
      <c r="L137" s="91" t="e">
        <f t="shared" si="119"/>
        <v>#DIV/0!</v>
      </c>
    </row>
    <row r="138" spans="1:12">
      <c r="A138" s="20" t="e">
        <f t="shared" si="120"/>
        <v>#DIV/0!</v>
      </c>
      <c r="B138" s="26" t="e">
        <f t="shared" si="109"/>
        <v>#DIV/0!</v>
      </c>
      <c r="C138" s="26" t="e">
        <f t="shared" si="110"/>
        <v>#DIV/0!</v>
      </c>
      <c r="D138" s="26" t="e">
        <f t="shared" si="111"/>
        <v>#DIV/0!</v>
      </c>
      <c r="E138" s="26" t="e">
        <f t="shared" si="112"/>
        <v>#DIV/0!</v>
      </c>
      <c r="F138" s="77" t="e">
        <f t="shared" si="113"/>
        <v>#DIV/0!</v>
      </c>
      <c r="G138" s="77" t="e">
        <f t="shared" si="114"/>
        <v>#DIV/0!</v>
      </c>
      <c r="H138" s="75" t="e">
        <f t="shared" si="115"/>
        <v>#DIV/0!</v>
      </c>
      <c r="I138" s="75" t="e">
        <f t="shared" si="116"/>
        <v>#DIV/0!</v>
      </c>
      <c r="J138" s="77" t="e">
        <f t="shared" si="117"/>
        <v>#DIV/0!</v>
      </c>
      <c r="K138" s="77" t="e">
        <f t="shared" si="118"/>
        <v>#DIV/0!</v>
      </c>
      <c r="L138" s="91" t="e">
        <f t="shared" si="119"/>
        <v>#DIV/0!</v>
      </c>
    </row>
    <row r="139" spans="1:12">
      <c r="A139" s="20" t="e">
        <f t="shared" si="120"/>
        <v>#DIV/0!</v>
      </c>
      <c r="B139" s="26" t="e">
        <f t="shared" si="109"/>
        <v>#DIV/0!</v>
      </c>
      <c r="C139" s="26" t="e">
        <f t="shared" si="110"/>
        <v>#DIV/0!</v>
      </c>
      <c r="D139" s="26" t="e">
        <f t="shared" si="111"/>
        <v>#DIV/0!</v>
      </c>
      <c r="E139" s="26" t="e">
        <f t="shared" si="112"/>
        <v>#DIV/0!</v>
      </c>
      <c r="F139" s="77" t="e">
        <f t="shared" si="113"/>
        <v>#DIV/0!</v>
      </c>
      <c r="G139" s="77" t="e">
        <f t="shared" si="114"/>
        <v>#DIV/0!</v>
      </c>
      <c r="H139" s="75" t="e">
        <f t="shared" si="115"/>
        <v>#DIV/0!</v>
      </c>
      <c r="I139" s="75" t="e">
        <f t="shared" si="116"/>
        <v>#DIV/0!</v>
      </c>
      <c r="J139" s="77" t="e">
        <f t="shared" si="117"/>
        <v>#DIV/0!</v>
      </c>
      <c r="K139" s="77" t="e">
        <f t="shared" si="118"/>
        <v>#DIV/0!</v>
      </c>
      <c r="L139" s="91" t="e">
        <f t="shared" si="119"/>
        <v>#DIV/0!</v>
      </c>
    </row>
    <row r="140" spans="1:12">
      <c r="A140" s="20" t="e">
        <f t="shared" si="120"/>
        <v>#DIV/0!</v>
      </c>
      <c r="B140" s="26" t="e">
        <f t="shared" si="109"/>
        <v>#DIV/0!</v>
      </c>
      <c r="C140" s="26" t="e">
        <f t="shared" si="110"/>
        <v>#DIV/0!</v>
      </c>
      <c r="D140" s="26" t="e">
        <f t="shared" si="111"/>
        <v>#DIV/0!</v>
      </c>
      <c r="E140" s="26" t="e">
        <f t="shared" si="112"/>
        <v>#DIV/0!</v>
      </c>
      <c r="F140" s="77" t="e">
        <f t="shared" si="113"/>
        <v>#DIV/0!</v>
      </c>
      <c r="G140" s="77" t="e">
        <f t="shared" si="114"/>
        <v>#DIV/0!</v>
      </c>
      <c r="H140" s="75" t="e">
        <f t="shared" si="115"/>
        <v>#DIV/0!</v>
      </c>
      <c r="I140" s="75" t="e">
        <f t="shared" si="116"/>
        <v>#DIV/0!</v>
      </c>
      <c r="J140" s="77" t="e">
        <f t="shared" si="117"/>
        <v>#DIV/0!</v>
      </c>
      <c r="K140" s="77" t="e">
        <f t="shared" si="118"/>
        <v>#DIV/0!</v>
      </c>
      <c r="L140" s="91" t="e">
        <f t="shared" si="119"/>
        <v>#DIV/0!</v>
      </c>
    </row>
    <row r="141" spans="1:12">
      <c r="A141" s="20" t="e">
        <f t="shared" si="120"/>
        <v>#DIV/0!</v>
      </c>
      <c r="B141" s="26" t="e">
        <f t="shared" si="109"/>
        <v>#DIV/0!</v>
      </c>
      <c r="C141" s="26" t="e">
        <f t="shared" si="110"/>
        <v>#DIV/0!</v>
      </c>
      <c r="D141" s="26" t="e">
        <f t="shared" si="111"/>
        <v>#DIV/0!</v>
      </c>
      <c r="E141" s="26" t="e">
        <f t="shared" si="112"/>
        <v>#DIV/0!</v>
      </c>
      <c r="F141" s="77" t="e">
        <f t="shared" si="113"/>
        <v>#DIV/0!</v>
      </c>
      <c r="G141" s="77" t="e">
        <f t="shared" si="114"/>
        <v>#DIV/0!</v>
      </c>
      <c r="H141" s="75" t="e">
        <f t="shared" si="115"/>
        <v>#DIV/0!</v>
      </c>
      <c r="I141" s="75" t="e">
        <f t="shared" si="116"/>
        <v>#DIV/0!</v>
      </c>
      <c r="J141" s="77" t="e">
        <f t="shared" si="117"/>
        <v>#DIV/0!</v>
      </c>
      <c r="K141" s="77" t="e">
        <f t="shared" si="118"/>
        <v>#DIV/0!</v>
      </c>
      <c r="L141" s="91" t="e">
        <f t="shared" si="119"/>
        <v>#DIV/0!</v>
      </c>
    </row>
    <row r="142" spans="1:12">
      <c r="A142" s="20" t="e">
        <f t="shared" si="120"/>
        <v>#DIV/0!</v>
      </c>
      <c r="B142" s="26" t="e">
        <f t="shared" si="109"/>
        <v>#DIV/0!</v>
      </c>
      <c r="C142" s="26" t="e">
        <f t="shared" si="110"/>
        <v>#DIV/0!</v>
      </c>
      <c r="D142" s="26" t="e">
        <f t="shared" si="111"/>
        <v>#DIV/0!</v>
      </c>
      <c r="E142" s="26" t="e">
        <f t="shared" si="112"/>
        <v>#DIV/0!</v>
      </c>
      <c r="F142" s="77" t="e">
        <f t="shared" si="113"/>
        <v>#DIV/0!</v>
      </c>
      <c r="G142" s="77" t="e">
        <f t="shared" si="114"/>
        <v>#DIV/0!</v>
      </c>
      <c r="H142" s="75" t="e">
        <f t="shared" si="115"/>
        <v>#DIV/0!</v>
      </c>
      <c r="I142" s="75" t="e">
        <f t="shared" si="116"/>
        <v>#DIV/0!</v>
      </c>
      <c r="J142" s="77" t="e">
        <f t="shared" si="117"/>
        <v>#DIV/0!</v>
      </c>
      <c r="K142" s="77" t="e">
        <f t="shared" si="118"/>
        <v>#DIV/0!</v>
      </c>
      <c r="L142" s="91" t="e">
        <f t="shared" si="119"/>
        <v>#DIV/0!</v>
      </c>
    </row>
    <row r="143" spans="1:12">
      <c r="A143" s="20" t="e">
        <f t="shared" si="120"/>
        <v>#DIV/0!</v>
      </c>
      <c r="B143" s="26" t="e">
        <f t="shared" si="109"/>
        <v>#DIV/0!</v>
      </c>
      <c r="C143" s="26" t="e">
        <f t="shared" si="110"/>
        <v>#DIV/0!</v>
      </c>
      <c r="D143" s="26" t="e">
        <f t="shared" si="111"/>
        <v>#DIV/0!</v>
      </c>
      <c r="E143" s="26" t="e">
        <f t="shared" si="112"/>
        <v>#DIV/0!</v>
      </c>
      <c r="F143" s="77" t="e">
        <f t="shared" si="113"/>
        <v>#DIV/0!</v>
      </c>
      <c r="G143" s="77" t="e">
        <f t="shared" si="114"/>
        <v>#DIV/0!</v>
      </c>
      <c r="H143" s="75" t="e">
        <f t="shared" si="115"/>
        <v>#DIV/0!</v>
      </c>
      <c r="I143" s="75" t="e">
        <f t="shared" si="116"/>
        <v>#DIV/0!</v>
      </c>
      <c r="J143" s="77" t="e">
        <f t="shared" si="117"/>
        <v>#DIV/0!</v>
      </c>
      <c r="K143" s="77" t="e">
        <f t="shared" si="118"/>
        <v>#DIV/0!</v>
      </c>
      <c r="L143" s="91" t="e">
        <f t="shared" si="119"/>
        <v>#DIV/0!</v>
      </c>
    </row>
    <row r="144" spans="1:12">
      <c r="A144" s="20" t="e">
        <f t="shared" si="120"/>
        <v>#DIV/0!</v>
      </c>
      <c r="B144" s="26" t="e">
        <f t="shared" si="109"/>
        <v>#DIV/0!</v>
      </c>
      <c r="C144" s="26" t="e">
        <f t="shared" si="110"/>
        <v>#DIV/0!</v>
      </c>
      <c r="D144" s="26" t="e">
        <f t="shared" si="111"/>
        <v>#DIV/0!</v>
      </c>
      <c r="E144" s="26" t="e">
        <f t="shared" si="112"/>
        <v>#DIV/0!</v>
      </c>
      <c r="F144" s="77" t="e">
        <f t="shared" si="113"/>
        <v>#DIV/0!</v>
      </c>
      <c r="G144" s="77" t="e">
        <f t="shared" si="114"/>
        <v>#DIV/0!</v>
      </c>
      <c r="H144" s="75" t="e">
        <f t="shared" si="115"/>
        <v>#DIV/0!</v>
      </c>
      <c r="I144" s="75" t="e">
        <f t="shared" si="116"/>
        <v>#DIV/0!</v>
      </c>
      <c r="J144" s="77" t="e">
        <f t="shared" si="117"/>
        <v>#DIV/0!</v>
      </c>
      <c r="K144" s="77" t="e">
        <f t="shared" si="118"/>
        <v>#DIV/0!</v>
      </c>
      <c r="L144" s="91" t="e">
        <f t="shared" si="119"/>
        <v>#DIV/0!</v>
      </c>
    </row>
    <row r="145" spans="1:16">
      <c r="A145" s="20" t="e">
        <f t="shared" si="120"/>
        <v>#DIV/0!</v>
      </c>
      <c r="B145" s="26" t="e">
        <f t="shared" si="109"/>
        <v>#DIV/0!</v>
      </c>
      <c r="C145" s="26" t="e">
        <f t="shared" si="110"/>
        <v>#DIV/0!</v>
      </c>
      <c r="D145" s="26" t="e">
        <f t="shared" si="111"/>
        <v>#DIV/0!</v>
      </c>
      <c r="E145" s="26" t="e">
        <f t="shared" si="112"/>
        <v>#DIV/0!</v>
      </c>
      <c r="F145" s="77" t="e">
        <f t="shared" si="113"/>
        <v>#DIV/0!</v>
      </c>
      <c r="G145" s="77" t="e">
        <f t="shared" si="114"/>
        <v>#DIV/0!</v>
      </c>
      <c r="H145" s="75" t="e">
        <f t="shared" si="115"/>
        <v>#DIV/0!</v>
      </c>
      <c r="I145" s="75" t="e">
        <f t="shared" si="116"/>
        <v>#DIV/0!</v>
      </c>
      <c r="J145" s="77" t="e">
        <f t="shared" si="117"/>
        <v>#DIV/0!</v>
      </c>
      <c r="K145" s="77" t="e">
        <f t="shared" si="118"/>
        <v>#DIV/0!</v>
      </c>
      <c r="L145" s="91" t="e">
        <f t="shared" si="119"/>
        <v>#DIV/0!</v>
      </c>
    </row>
    <row r="146" spans="1:16">
      <c r="A146" s="20" t="e">
        <f t="shared" si="120"/>
        <v>#DIV/0!</v>
      </c>
      <c r="B146" s="26" t="e">
        <f t="shared" si="109"/>
        <v>#DIV/0!</v>
      </c>
      <c r="C146" s="26" t="e">
        <f t="shared" si="110"/>
        <v>#DIV/0!</v>
      </c>
      <c r="D146" s="26" t="e">
        <f t="shared" si="111"/>
        <v>#DIV/0!</v>
      </c>
      <c r="E146" s="26" t="e">
        <f t="shared" si="112"/>
        <v>#DIV/0!</v>
      </c>
      <c r="F146" s="77" t="e">
        <f t="shared" si="113"/>
        <v>#DIV/0!</v>
      </c>
      <c r="G146" s="77" t="e">
        <f t="shared" si="114"/>
        <v>#DIV/0!</v>
      </c>
      <c r="H146" s="75" t="e">
        <f t="shared" si="115"/>
        <v>#DIV/0!</v>
      </c>
      <c r="I146" s="75" t="e">
        <f t="shared" si="116"/>
        <v>#DIV/0!</v>
      </c>
      <c r="J146" s="77" t="e">
        <f t="shared" si="117"/>
        <v>#DIV/0!</v>
      </c>
      <c r="K146" s="77" t="e">
        <f t="shared" si="118"/>
        <v>#DIV/0!</v>
      </c>
      <c r="L146" s="91" t="e">
        <f t="shared" si="119"/>
        <v>#DIV/0!</v>
      </c>
    </row>
    <row r="147" spans="1:16">
      <c r="A147" s="20" t="e">
        <f t="shared" si="120"/>
        <v>#DIV/0!</v>
      </c>
      <c r="B147" s="26" t="e">
        <f t="shared" si="109"/>
        <v>#DIV/0!</v>
      </c>
      <c r="C147" s="26" t="e">
        <f t="shared" si="110"/>
        <v>#DIV/0!</v>
      </c>
      <c r="D147" s="26" t="e">
        <f t="shared" si="111"/>
        <v>#DIV/0!</v>
      </c>
      <c r="E147" s="26" t="e">
        <f t="shared" si="112"/>
        <v>#DIV/0!</v>
      </c>
      <c r="F147" s="77" t="e">
        <f t="shared" si="113"/>
        <v>#DIV/0!</v>
      </c>
      <c r="G147" s="77" t="e">
        <f t="shared" si="114"/>
        <v>#DIV/0!</v>
      </c>
      <c r="H147" s="75" t="e">
        <f t="shared" si="115"/>
        <v>#DIV/0!</v>
      </c>
      <c r="I147" s="75" t="e">
        <f t="shared" si="116"/>
        <v>#DIV/0!</v>
      </c>
      <c r="J147" s="77" t="e">
        <f t="shared" si="117"/>
        <v>#DIV/0!</v>
      </c>
      <c r="K147" s="77" t="e">
        <f t="shared" si="118"/>
        <v>#DIV/0!</v>
      </c>
      <c r="L147" s="91" t="e">
        <f t="shared" si="119"/>
        <v>#DIV/0!</v>
      </c>
    </row>
    <row r="148" spans="1:16">
      <c r="A148" s="20" t="e">
        <f t="shared" si="120"/>
        <v>#DIV/0!</v>
      </c>
      <c r="B148" s="26" t="e">
        <f t="shared" si="109"/>
        <v>#DIV/0!</v>
      </c>
      <c r="C148" s="26" t="e">
        <f t="shared" si="110"/>
        <v>#DIV/0!</v>
      </c>
      <c r="D148" s="26" t="e">
        <f t="shared" si="111"/>
        <v>#DIV/0!</v>
      </c>
      <c r="E148" s="26" t="e">
        <f t="shared" si="112"/>
        <v>#DIV/0!</v>
      </c>
      <c r="F148" s="77" t="e">
        <f t="shared" si="113"/>
        <v>#DIV/0!</v>
      </c>
      <c r="G148" s="77" t="e">
        <f t="shared" si="114"/>
        <v>#DIV/0!</v>
      </c>
      <c r="H148" s="75" t="e">
        <f t="shared" si="115"/>
        <v>#DIV/0!</v>
      </c>
      <c r="I148" s="75" t="e">
        <f t="shared" si="116"/>
        <v>#DIV/0!</v>
      </c>
      <c r="J148" s="77" t="e">
        <f t="shared" si="117"/>
        <v>#DIV/0!</v>
      </c>
      <c r="K148" s="77" t="e">
        <f t="shared" si="118"/>
        <v>#DIV/0!</v>
      </c>
      <c r="L148" s="91" t="e">
        <f t="shared" si="119"/>
        <v>#DIV/0!</v>
      </c>
    </row>
    <row r="149" spans="1:16">
      <c r="A149" s="20" t="e">
        <f t="shared" si="120"/>
        <v>#DIV/0!</v>
      </c>
      <c r="B149" s="26" t="e">
        <f t="shared" si="109"/>
        <v>#DIV/0!</v>
      </c>
      <c r="C149" s="26" t="e">
        <f t="shared" si="110"/>
        <v>#DIV/0!</v>
      </c>
      <c r="D149" s="26" t="e">
        <f t="shared" si="111"/>
        <v>#DIV/0!</v>
      </c>
      <c r="E149" s="26" t="e">
        <f t="shared" si="112"/>
        <v>#DIV/0!</v>
      </c>
      <c r="F149" s="77" t="e">
        <f t="shared" si="113"/>
        <v>#DIV/0!</v>
      </c>
      <c r="G149" s="77" t="e">
        <f t="shared" si="114"/>
        <v>#DIV/0!</v>
      </c>
      <c r="H149" s="113" t="e">
        <f t="shared" si="115"/>
        <v>#DIV/0!</v>
      </c>
      <c r="I149" s="113" t="e">
        <f t="shared" si="116"/>
        <v>#DIV/0!</v>
      </c>
      <c r="J149" s="77" t="e">
        <f t="shared" si="117"/>
        <v>#DIV/0!</v>
      </c>
      <c r="K149" s="77" t="e">
        <f t="shared" si="118"/>
        <v>#DIV/0!</v>
      </c>
      <c r="L149" s="91" t="e">
        <f t="shared" si="119"/>
        <v>#DIV/0!</v>
      </c>
    </row>
    <row r="150" spans="1:16">
      <c r="G150" s="145" t="s">
        <v>67</v>
      </c>
      <c r="H150" s="365" t="e">
        <f>SQRT(H149*H149+POWER((I149-$M$3),2))</f>
        <v>#DIV/0!</v>
      </c>
      <c r="I150" s="365"/>
    </row>
    <row r="151" spans="1:1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</sheetData>
  <mergeCells count="2">
    <mergeCell ref="A1:C1"/>
    <mergeCell ref="H150:I150"/>
  </mergeCells>
  <conditionalFormatting sqref="AB36:AE36">
    <cfRule type="cellIs" dxfId="7" priority="1" operator="greaterThan">
      <formula>0.01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H259"/>
  <sheetViews>
    <sheetView workbookViewId="0">
      <selection activeCell="P36" sqref="P36"/>
    </sheetView>
  </sheetViews>
  <sheetFormatPr baseColWidth="10" defaultRowHeight="15"/>
  <cols>
    <col min="1" max="56" width="5.7109375" customWidth="1"/>
    <col min="57" max="59" width="11.42578125" customWidth="1"/>
  </cols>
  <sheetData>
    <row r="1" spans="1:56">
      <c r="A1" s="363" t="s">
        <v>6</v>
      </c>
      <c r="B1" s="363"/>
      <c r="C1" s="363"/>
      <c r="D1" s="142" t="s">
        <v>72</v>
      </c>
      <c r="E1" s="142"/>
      <c r="F1" s="143">
        <f>Stufengrün!Z43</f>
        <v>9</v>
      </c>
      <c r="G1" s="142" t="s">
        <v>71</v>
      </c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6"/>
      <c r="AV1" s="6"/>
      <c r="AW1" s="6"/>
      <c r="AX1" s="6"/>
      <c r="AY1" s="6"/>
      <c r="AZ1" s="6"/>
      <c r="BA1" s="6"/>
      <c r="BB1" s="6"/>
      <c r="BC1" s="6"/>
      <c r="BD1" s="6"/>
    </row>
    <row r="2" spans="1:56">
      <c r="A2" s="88" t="s">
        <v>73</v>
      </c>
      <c r="B2" s="88"/>
      <c r="C2" s="23" t="str">
        <f>CONCATENATE("m",Stufengrün!Z52)</f>
        <v>m4</v>
      </c>
      <c r="D2" s="23" t="s">
        <v>30</v>
      </c>
      <c r="E2" s="28"/>
      <c r="F2" s="28"/>
      <c r="G2" s="28"/>
      <c r="H2" s="36" t="s">
        <v>57</v>
      </c>
      <c r="I2" s="36" t="s">
        <v>51</v>
      </c>
      <c r="J2" s="36" t="s">
        <v>58</v>
      </c>
      <c r="K2" s="36" t="s">
        <v>59</v>
      </c>
      <c r="L2" s="28"/>
      <c r="M2" s="185" t="s">
        <v>95</v>
      </c>
      <c r="N2" s="28"/>
      <c r="O2" s="28"/>
      <c r="P2" s="28"/>
      <c r="R2" s="88" t="s">
        <v>74</v>
      </c>
      <c r="S2" s="88"/>
      <c r="T2" s="26" t="s">
        <v>65</v>
      </c>
      <c r="U2" s="26" t="s">
        <v>66</v>
      </c>
    </row>
    <row r="3" spans="1:56">
      <c r="A3" s="88" t="s">
        <v>69</v>
      </c>
      <c r="B3" s="88"/>
      <c r="C3" s="90">
        <f>Stufengrün!AA52</f>
        <v>1.0323563876231049E-2</v>
      </c>
      <c r="D3" s="26">
        <f>Stufengrün!AC51</f>
        <v>1.142674178769717</v>
      </c>
      <c r="E3" s="28"/>
      <c r="F3" s="28"/>
      <c r="G3" s="28"/>
      <c r="H3" s="79">
        <v>4</v>
      </c>
      <c r="I3" s="186">
        <v>2</v>
      </c>
      <c r="J3" s="79">
        <f>'Do-17'!J3</f>
        <v>-2.2349999999999999</v>
      </c>
      <c r="K3" s="79">
        <f>'Do-17'!K3</f>
        <v>-0.41799999999999998</v>
      </c>
      <c r="L3" s="28"/>
      <c r="M3" s="185">
        <f>Ystart</f>
        <v>-2</v>
      </c>
      <c r="N3" s="37" t="s">
        <v>88</v>
      </c>
      <c r="O3" s="28"/>
      <c r="P3" s="28"/>
      <c r="T3" s="110">
        <f>H22</f>
        <v>4</v>
      </c>
      <c r="U3" s="110">
        <f>I22</f>
        <v>2</v>
      </c>
    </row>
    <row r="4" spans="1:56">
      <c r="A4" s="28"/>
      <c r="B4" s="28"/>
      <c r="C4" s="28"/>
      <c r="D4" s="28"/>
      <c r="E4" s="28"/>
      <c r="F4" s="28"/>
      <c r="G4" s="28"/>
      <c r="H4" s="37" t="s">
        <v>8</v>
      </c>
      <c r="I4" s="37" t="s">
        <v>8</v>
      </c>
      <c r="J4" s="37" t="s">
        <v>9</v>
      </c>
      <c r="K4" s="37" t="s">
        <v>9</v>
      </c>
      <c r="L4" s="28"/>
      <c r="M4" s="28"/>
      <c r="N4" s="28"/>
      <c r="O4" s="28"/>
      <c r="P4" s="28"/>
      <c r="T4" s="110">
        <f t="shared" ref="T4:U8" si="0">H23</f>
        <v>2.5271728312796169</v>
      </c>
      <c r="U4" s="110">
        <f t="shared" si="0"/>
        <v>1.698875429669259</v>
      </c>
    </row>
    <row r="5" spans="1:56">
      <c r="A5" s="88" t="s">
        <v>68</v>
      </c>
      <c r="B5" s="88"/>
      <c r="C5" s="26" t="s">
        <v>15</v>
      </c>
      <c r="D5" s="26" t="s">
        <v>55</v>
      </c>
      <c r="E5" s="26" t="s">
        <v>12</v>
      </c>
      <c r="F5" s="26" t="s">
        <v>10</v>
      </c>
      <c r="G5" s="26" t="s">
        <v>14</v>
      </c>
      <c r="H5" s="26" t="s">
        <v>21</v>
      </c>
      <c r="I5" s="26" t="s">
        <v>16</v>
      </c>
      <c r="J5" s="26" t="s">
        <v>17</v>
      </c>
      <c r="K5" s="26" t="s">
        <v>23</v>
      </c>
      <c r="L5" s="28"/>
      <c r="M5" s="28"/>
      <c r="N5" s="28"/>
      <c r="O5" s="28"/>
      <c r="P5" s="28"/>
      <c r="T5" s="110">
        <f t="shared" si="0"/>
        <v>1.6256616432007251</v>
      </c>
      <c r="U5" s="110">
        <f t="shared" si="0"/>
        <v>1.4800082699225863</v>
      </c>
    </row>
    <row r="6" spans="1:56">
      <c r="A6" s="28"/>
      <c r="B6" s="28"/>
      <c r="C6" s="23">
        <f>Mü/TAN($C3)</f>
        <v>6.7803632591293521</v>
      </c>
      <c r="D6" s="42">
        <f>SQRT($J3*$J3+$K3*$K3)</f>
        <v>2.2737521852655798</v>
      </c>
      <c r="E6" s="20">
        <f>ATAN($J3/$K3)</f>
        <v>1.3859076624425977</v>
      </c>
      <c r="F6" s="23">
        <f>($E6-A19-0.0001)/5</f>
        <v>3.6495962370902559E-2</v>
      </c>
      <c r="G6" s="23">
        <f>COS($E6)</f>
        <v>0.18383709654408828</v>
      </c>
      <c r="H6" s="23">
        <f>SIN($E6)</f>
        <v>0.98295672434458659</v>
      </c>
      <c r="I6" s="23">
        <f>$C6+$G6</f>
        <v>6.96420035567344</v>
      </c>
      <c r="J6" s="23">
        <f>POWER(TAN($E6/2),$C6)</f>
        <v>0.28342261226772447</v>
      </c>
      <c r="K6" s="23">
        <f>-$D6*$D6*SIN($E6)*SIN($E6)/(2*9.81*SIN($C3)*POWER(TAN($E6/2),2*$C6))</f>
        <v>-307.01890877024579</v>
      </c>
      <c r="L6" s="28"/>
      <c r="M6" s="28"/>
      <c r="N6" s="28"/>
      <c r="O6" s="28"/>
      <c r="P6" s="28"/>
      <c r="T6" s="110">
        <f t="shared" si="0"/>
        <v>1.0747843393684509</v>
      </c>
      <c r="U6" s="110">
        <f t="shared" si="0"/>
        <v>1.324778734688008</v>
      </c>
    </row>
    <row r="7" spans="1:56">
      <c r="A7" s="88" t="s">
        <v>70</v>
      </c>
      <c r="B7" s="88"/>
      <c r="C7" s="28"/>
      <c r="D7" s="28"/>
      <c r="E7" s="28"/>
      <c r="F7" s="28"/>
      <c r="G7" s="28"/>
      <c r="H7" s="28"/>
      <c r="I7" s="28"/>
      <c r="J7" s="28"/>
      <c r="K7" s="28"/>
      <c r="L7" s="28"/>
      <c r="M7" s="45"/>
      <c r="N7" s="28"/>
      <c r="O7" s="28"/>
      <c r="P7" s="28"/>
      <c r="T7" s="110">
        <f t="shared" si="0"/>
        <v>0.73897727637272315</v>
      </c>
      <c r="U7" s="110">
        <f t="shared" si="0"/>
        <v>1.2167822984338943</v>
      </c>
    </row>
    <row r="8" spans="1:56">
      <c r="A8" s="26" t="s">
        <v>11</v>
      </c>
      <c r="B8" s="26" t="s">
        <v>13</v>
      </c>
      <c r="C8" s="26" t="s">
        <v>22</v>
      </c>
      <c r="D8" s="26" t="s">
        <v>18</v>
      </c>
      <c r="E8" s="26" t="s">
        <v>19</v>
      </c>
      <c r="F8" s="26" t="s">
        <v>20</v>
      </c>
      <c r="G8" s="26" t="s">
        <v>2</v>
      </c>
      <c r="H8" s="26" t="s">
        <v>65</v>
      </c>
      <c r="I8" s="26" t="s">
        <v>66</v>
      </c>
      <c r="J8" s="76" t="s">
        <v>3</v>
      </c>
      <c r="K8" s="76" t="s">
        <v>4</v>
      </c>
      <c r="L8" s="44" t="s">
        <v>7</v>
      </c>
      <c r="M8" s="26" t="s">
        <v>64</v>
      </c>
      <c r="N8" s="26" t="s">
        <v>61</v>
      </c>
      <c r="O8" s="26" t="s">
        <v>62</v>
      </c>
      <c r="P8" s="26" t="s">
        <v>63</v>
      </c>
      <c r="T8" s="110">
        <f t="shared" si="0"/>
        <v>0.5349209286910277</v>
      </c>
      <c r="U8" s="110">
        <f t="shared" si="0"/>
        <v>1.1428398641736117</v>
      </c>
    </row>
    <row r="9" spans="1:56">
      <c r="A9" s="20">
        <f>$E6</f>
        <v>1.3859076624425977</v>
      </c>
      <c r="B9" s="23">
        <f>COS(A9)</f>
        <v>0.18383709654408828</v>
      </c>
      <c r="C9" s="23">
        <f>($C$6+B9)</f>
        <v>6.96420035567344</v>
      </c>
      <c r="D9" s="23">
        <f>POWER(TAN(A9/2),$C$6)</f>
        <v>0.28342261226772447</v>
      </c>
      <c r="E9" s="23">
        <f>SIN(A9)</f>
        <v>0.98295672434458659</v>
      </c>
      <c r="F9" s="71">
        <f>(C9*$H$6*D9/E9/$I$6/$J$6)</f>
        <v>1</v>
      </c>
      <c r="G9" s="71">
        <f t="shared" ref="G9:G19" si="1">$D$6*($C$6+$G$6)/9.81/SIN($C$3)/(1-$C$6*$C$6)*(F9-1)</f>
        <v>0</v>
      </c>
      <c r="H9" s="75">
        <f t="shared" ref="H9:H19" si="2">-(-$H$3+$K$6*((POWER(TAN(A9/2),2*$C$6-1)/(2*$C$6-1))+(POWER(TAN(A9/2),2*$C$6+1)/(2*$C$6+1))-(POWER(TAN($E$6/2),2*$C$6-1)/(2*$C$6-1))-(POWER(TAN($E$6/2),2*$C$6+1)/(2*$C$6+1))))</f>
        <v>4</v>
      </c>
      <c r="I9" s="75">
        <f t="shared" ref="I9:I19" si="3">-(-$I$3+0.5*$K$6*((POWER(TAN(A9/2),2*$C$6-2)/(2*$C$6-2))-(POWER(TAN(A9/2),2*$C$6+2)/(2*$C$6+2))-(POWER(TAN($E$6/2),2*$C$6-2)/(2*$C$6-2))+(POWER(TAN($E$6/2),2*$C$6+2)/(2*$C$6+2))))</f>
        <v>2</v>
      </c>
      <c r="J9" s="71">
        <f t="shared" ref="J9:J19" si="4">-$D$6*SIN(A9)*($C$6+$G$6)/($C$6+B9)*F9</f>
        <v>-2.2349999999999999</v>
      </c>
      <c r="K9" s="71">
        <f t="shared" ref="K9:K19" si="5">-$D$6*COS(A9)*($C$6+$G$6)/($C$6+B9)*F9</f>
        <v>-0.41800000000000009</v>
      </c>
      <c r="L9" s="42">
        <f>SQRT(J9*J9+K9*K9)</f>
        <v>2.2737521852655798</v>
      </c>
      <c r="M9" s="23">
        <v>1E-3</v>
      </c>
      <c r="N9" s="75">
        <f t="shared" ref="N9:N19" si="6">-(-$I$3+0.5*$K$6*((POWER(TAN(A9/2),2*$C$6-2)/(2*$C$6-2))-(POWER(TAN(A9/2),2*$C$6+2)/(2*$C$6+2))-(POWER(TAN($E$6/2),2*$C$6-2)/(2*$C$6-2))+(POWER(TAN($E$6/2),2*$C$6+2)/(2*$C$6+2))))-$D$3</f>
        <v>0.857325821230283</v>
      </c>
      <c r="O9" s="75">
        <f>-(-$I$3+0.5*$K$6*((POWER(TAN((A9+$M$9)/2),2*$C$6-2)/(2*$C$6-2))-(POWER(TAN((A9+$M$9)/2),2*$C$6+2)/(2*$C$6+2))-(POWER(TAN($E$6/2),2*$C$6-2)/(2*$C$6-2))+(POWER(TAN($E$6/2),2*$C$6+2)/(2*$C$6+2))))-$D$3</f>
        <v>0.86691112579335816</v>
      </c>
      <c r="P9" s="109">
        <f>IF(A9-N9/(O9-N9)*$M$9&lt;0,A9*0.5,A9-N9/(O9-N9)*$M$9)</f>
        <v>1.296465974326301</v>
      </c>
      <c r="T9" s="119">
        <f>H49</f>
        <v>0.53449046096795616</v>
      </c>
      <c r="U9" s="119">
        <f>I49</f>
        <v>1.1426741787697181</v>
      </c>
    </row>
    <row r="10" spans="1:56">
      <c r="A10" s="20">
        <f t="shared" ref="A10:A19" si="7">P9</f>
        <v>1.296465974326301</v>
      </c>
      <c r="B10" s="23">
        <f t="shared" ref="B10:B19" si="8">COS(A10)</f>
        <v>0.2709023904619296</v>
      </c>
      <c r="C10" s="23">
        <f t="shared" ref="C10:C19" si="9">($C$6+B10)</f>
        <v>7.051265649591282</v>
      </c>
      <c r="D10" s="23">
        <f t="shared" ref="D10:D19" si="10">POWER(TAN(A10/2),$C$6)</f>
        <v>0.15200548436226255</v>
      </c>
      <c r="E10" s="23">
        <f t="shared" ref="E10:E19" si="11">SIN(A10)</f>
        <v>0.96260682256153385</v>
      </c>
      <c r="F10" s="71">
        <f t="shared" ref="F10:F19" si="12">(C10*$H$6*D10/E10/$I$6/$J$6)</f>
        <v>0.55450573623728205</v>
      </c>
      <c r="G10" s="71">
        <f t="shared" si="1"/>
        <v>1.5488542585290384</v>
      </c>
      <c r="H10" s="75">
        <f t="shared" si="2"/>
        <v>1.3435993802241097</v>
      </c>
      <c r="I10" s="75">
        <f t="shared" si="3"/>
        <v>1.4032169900525648</v>
      </c>
      <c r="J10" s="71">
        <f t="shared" si="4"/>
        <v>-1.1986773208791877</v>
      </c>
      <c r="K10" s="71">
        <f t="shared" si="5"/>
        <v>-0.33733871816383854</v>
      </c>
      <c r="L10" s="42">
        <f t="shared" ref="L10:L19" si="13">SQRT(J10*J10+K10*K10)</f>
        <v>1.245240832274034</v>
      </c>
      <c r="M10" s="28"/>
      <c r="N10" s="75">
        <f t="shared" si="6"/>
        <v>0.26054281128284784</v>
      </c>
      <c r="O10" s="75">
        <f t="shared" ref="O10:O19" si="14">-(-$I$3+0.5*$K$6*((POWER(TAN((A10+$M$9)/2),2*$C$6-2)/(2*$C$6-2))-(POWER(TAN((A10+$M$9)/2),2*$C$6+2)/(2*$C$6+2))-(POWER(TAN($E$6/2),2*$C$6-2)/(2*$C$6-2))+(POWER(TAN($E$6/2),2*$C$6+2)/(2*$C$6+2))))-$D$3</f>
        <v>0.26487277696979206</v>
      </c>
      <c r="P10" s="109">
        <f t="shared" ref="P10:P19" si="15">IF(A10-N10/(O10-N10)*$M$9&lt;0,A10*0.5,A10-N10/(O10-N10)*$M$9)</f>
        <v>1.2362939475436314</v>
      </c>
      <c r="T10" s="119">
        <f t="shared" ref="T10:U14" si="16">H50</f>
        <v>0.39607897305019124</v>
      </c>
      <c r="U10" s="119">
        <f t="shared" si="16"/>
        <v>1.071746274200734</v>
      </c>
    </row>
    <row r="11" spans="1:56">
      <c r="A11" s="20">
        <f t="shared" si="7"/>
        <v>1.2362939475436314</v>
      </c>
      <c r="B11" s="23">
        <f t="shared" si="8"/>
        <v>0.32829917102194278</v>
      </c>
      <c r="C11" s="23">
        <f t="shared" si="9"/>
        <v>7.1086624301512948</v>
      </c>
      <c r="D11" s="23">
        <f t="shared" si="10"/>
        <v>9.9105865160041842E-2</v>
      </c>
      <c r="E11" s="23">
        <f t="shared" si="11"/>
        <v>0.94457379505589989</v>
      </c>
      <c r="F11" s="71">
        <f t="shared" si="12"/>
        <v>0.37143258425944348</v>
      </c>
      <c r="G11" s="71">
        <f t="shared" si="1"/>
        <v>2.1853464743171127</v>
      </c>
      <c r="H11" s="75">
        <f t="shared" si="2"/>
        <v>0.7138223823379275</v>
      </c>
      <c r="I11" s="75">
        <f t="shared" si="3"/>
        <v>1.2080909296573328</v>
      </c>
      <c r="J11" s="71">
        <f t="shared" si="4"/>
        <v>-0.78152412350028144</v>
      </c>
      <c r="K11" s="71">
        <f t="shared" si="5"/>
        <v>-0.27162909157733817</v>
      </c>
      <c r="L11" s="42">
        <f t="shared" si="13"/>
        <v>0.82738281285268012</v>
      </c>
      <c r="M11" s="28"/>
      <c r="N11" s="75">
        <f t="shared" si="6"/>
        <v>6.5416750887615782E-2</v>
      </c>
      <c r="O11" s="75">
        <f t="shared" si="14"/>
        <v>6.7778443634232799E-2</v>
      </c>
      <c r="P11" s="109">
        <f t="shared" si="15"/>
        <v>1.2085948529085138</v>
      </c>
      <c r="T11" s="119">
        <f t="shared" si="16"/>
        <v>0.29691222328319034</v>
      </c>
      <c r="U11" s="119">
        <f t="shared" si="16"/>
        <v>0.98873918672609962</v>
      </c>
    </row>
    <row r="12" spans="1:56">
      <c r="A12" s="20">
        <f t="shared" si="7"/>
        <v>1.2085948529085138</v>
      </c>
      <c r="B12" s="23">
        <f t="shared" si="8"/>
        <v>0.35433373038257149</v>
      </c>
      <c r="C12" s="26">
        <f t="shared" si="9"/>
        <v>7.1346969895119239</v>
      </c>
      <c r="D12" s="26">
        <f t="shared" si="10"/>
        <v>8.1155679086076807E-2</v>
      </c>
      <c r="E12" s="26">
        <f t="shared" si="11"/>
        <v>0.93511903387385453</v>
      </c>
      <c r="F12" s="77">
        <f t="shared" si="12"/>
        <v>0.30835869357380791</v>
      </c>
      <c r="G12" s="77">
        <f t="shared" si="1"/>
        <v>2.4046360861862235</v>
      </c>
      <c r="H12" s="75">
        <f t="shared" si="2"/>
        <v>0.55798852935181165</v>
      </c>
      <c r="I12" s="75">
        <f t="shared" si="3"/>
        <v>1.1516480331453289</v>
      </c>
      <c r="J12" s="77">
        <f t="shared" si="4"/>
        <v>-0.6399734350978501</v>
      </c>
      <c r="K12" s="77">
        <f t="shared" si="5"/>
        <v>-0.24249765686467642</v>
      </c>
      <c r="L12" s="91">
        <f t="shared" si="13"/>
        <v>0.68437643969952711</v>
      </c>
      <c r="M12" s="92"/>
      <c r="N12" s="75">
        <f t="shared" si="6"/>
        <v>8.9738543756119338E-3</v>
      </c>
      <c r="O12" s="75">
        <f t="shared" si="14"/>
        <v>1.073572972623138E-2</v>
      </c>
      <c r="P12" s="109">
        <f t="shared" si="15"/>
        <v>1.2035014991860402</v>
      </c>
      <c r="T12" s="119">
        <f t="shared" si="16"/>
        <v>0.22294432814779469</v>
      </c>
      <c r="U12" s="119">
        <f t="shared" si="16"/>
        <v>0.89148400833416741</v>
      </c>
    </row>
    <row r="13" spans="1:56">
      <c r="A13" s="20">
        <f t="shared" si="7"/>
        <v>1.2035014991860402</v>
      </c>
      <c r="B13" s="23">
        <f t="shared" si="8"/>
        <v>0.35909200570382593</v>
      </c>
      <c r="C13" s="23">
        <f t="shared" si="9"/>
        <v>7.1394552648331784</v>
      </c>
      <c r="D13" s="23">
        <f t="shared" si="10"/>
        <v>7.8210392054819194E-2</v>
      </c>
      <c r="E13" s="23">
        <f t="shared" si="11"/>
        <v>0.93330216513174524</v>
      </c>
      <c r="F13" s="71">
        <f t="shared" si="12"/>
        <v>0.29794486902345685</v>
      </c>
      <c r="G13" s="71">
        <f t="shared" si="1"/>
        <v>2.4408419317254073</v>
      </c>
      <c r="H13" s="75">
        <f t="shared" si="2"/>
        <v>0.5352383411256838</v>
      </c>
      <c r="I13" s="75">
        <f t="shared" si="3"/>
        <v>1.1429620033842303</v>
      </c>
      <c r="J13" s="71">
        <f t="shared" si="4"/>
        <v>-0.61674763648499031</v>
      </c>
      <c r="K13" s="71">
        <f t="shared" si="5"/>
        <v>-0.23729629488990484</v>
      </c>
      <c r="L13" s="42">
        <f t="shared" si="13"/>
        <v>0.66082310694943047</v>
      </c>
      <c r="M13" s="28"/>
      <c r="N13" s="75">
        <f t="shared" si="6"/>
        <v>2.8782461451326569E-4</v>
      </c>
      <c r="O13" s="75">
        <f t="shared" si="14"/>
        <v>1.9558568297985968E-3</v>
      </c>
      <c r="P13" s="109">
        <f t="shared" si="15"/>
        <v>1.2033289457953589</v>
      </c>
      <c r="T13" s="119">
        <f t="shared" si="16"/>
        <v>0.16699711124406169</v>
      </c>
      <c r="U13" s="119">
        <f t="shared" si="16"/>
        <v>0.76804824907603164</v>
      </c>
    </row>
    <row r="14" spans="1:56">
      <c r="A14" s="20">
        <f t="shared" si="7"/>
        <v>1.2033289457953589</v>
      </c>
      <c r="B14" s="23">
        <f t="shared" si="8"/>
        <v>0.35925304481022707</v>
      </c>
      <c r="C14" s="23">
        <f t="shared" si="9"/>
        <v>7.1396163039395795</v>
      </c>
      <c r="D14" s="23">
        <f t="shared" si="10"/>
        <v>7.8112406766505244E-2</v>
      </c>
      <c r="E14" s="23">
        <f t="shared" si="11"/>
        <v>0.93324018869451875</v>
      </c>
      <c r="F14" s="71">
        <f t="shared" si="12"/>
        <v>0.29759806533597943</v>
      </c>
      <c r="G14" s="71">
        <f t="shared" si="1"/>
        <v>2.44204766749333</v>
      </c>
      <c r="H14" s="75">
        <f t="shared" si="2"/>
        <v>0.53449517227424659</v>
      </c>
      <c r="I14" s="75">
        <f t="shared" si="3"/>
        <v>1.1426759924013155</v>
      </c>
      <c r="J14" s="71">
        <f t="shared" si="4"/>
        <v>-0.61597494895088911</v>
      </c>
      <c r="K14" s="71">
        <f t="shared" si="5"/>
        <v>-0.23712103123954417</v>
      </c>
      <c r="L14" s="42">
        <f t="shared" si="13"/>
        <v>0.66003903005137154</v>
      </c>
      <c r="M14" s="28"/>
      <c r="N14" s="75">
        <f t="shared" si="6"/>
        <v>1.813631598457377E-6</v>
      </c>
      <c r="O14" s="75">
        <f t="shared" si="14"/>
        <v>1.666748164226739E-3</v>
      </c>
      <c r="P14" s="109">
        <f t="shared" si="15"/>
        <v>1.2033278564843002</v>
      </c>
      <c r="T14" s="119">
        <f t="shared" si="16"/>
        <v>0.12722116014010054</v>
      </c>
      <c r="U14" s="119">
        <f t="shared" si="16"/>
        <v>0.56729915343347437</v>
      </c>
    </row>
    <row r="15" spans="1:56">
      <c r="A15" s="20">
        <f t="shared" si="7"/>
        <v>1.2033278564843002</v>
      </c>
      <c r="B15" s="23">
        <f>COS(A15)</f>
        <v>0.35925406139887189</v>
      </c>
      <c r="C15" s="23">
        <f>($C$6+B15)</f>
        <v>7.1396173205282238</v>
      </c>
      <c r="D15" s="23">
        <f>POWER(TAN(A15/2),$C$6)</f>
        <v>7.8111788565319779E-2</v>
      </c>
      <c r="E15" s="23">
        <f>SIN(A15)</f>
        <v>0.93323979735565055</v>
      </c>
      <c r="F15" s="71">
        <f>(C15*$H$6*D15/E15/$I$6/$J$6)</f>
        <v>0.29759587723590653</v>
      </c>
      <c r="G15" s="71">
        <f>$D$6*($C$6+$G$6)/9.81/SIN($C$3)/(1-$C$6*$C$6)*(F15-1)</f>
        <v>2.4420552748822275</v>
      </c>
      <c r="H15" s="75">
        <f>-(-$H$3+$K$6*((POWER(TAN(A15/2),2*$C$6-1)/(2*$C$6-1))+(POWER(TAN(A15/2),2*$C$6+1)/(2*$C$6+1))-(POWER(TAN($E$6/2),2*$C$6-1)/(2*$C$6-1))-(POWER(TAN($E$6/2),2*$C$6+1)/(2*$C$6+1))))</f>
        <v>0.53449048633180229</v>
      </c>
      <c r="I15" s="75">
        <f>-(-$I$3+0.5*$K$6*((POWER(TAN(A15/2),2*$C$6-2)/(2*$C$6-2))-(POWER(TAN(A15/2),2*$C$6+2)/(2*$C$6+2))-(POWER(TAN($E$6/2),2*$C$6-2)/(2*$C$6-2))+(POWER(TAN($E$6/2),2*$C$6+2)/(2*$C$6+2))))</f>
        <v>1.1426741885336229</v>
      </c>
      <c r="J15" s="71">
        <f>-$D$6*SIN(A15)*($C$6+$G$6)/($C$6+B15)*F15</f>
        <v>-0.61597007397059567</v>
      </c>
      <c r="K15" s="71">
        <f>-$D$6*COS(A15)*($C$6+$G$6)/($C$6+B15)*F15</f>
        <v>-0.23711992501940873</v>
      </c>
      <c r="L15" s="42">
        <f>SQRT(J15*J15+K15*K15)</f>
        <v>0.66003408311128231</v>
      </c>
      <c r="M15" s="28"/>
      <c r="N15" s="75">
        <f>-(-$I$3+0.5*$K$6*((POWER(TAN(A15/2),2*$C$6-2)/(2*$C$6-2))-(POWER(TAN(A15/2),2*$C$6+2)/(2*$C$6+2))-(POWER(TAN($E$6/2),2*$C$6-2)/(2*$C$6-2))+(POWER(TAN($E$6/2),2*$C$6+2)/(2*$C$6+2))))-$D$3</f>
        <v>9.7639059060128375E-9</v>
      </c>
      <c r="O15" s="75">
        <f t="shared" si="14"/>
        <v>1.6649247579187954E-3</v>
      </c>
      <c r="P15" s="109">
        <f t="shared" si="15"/>
        <v>1.2033278506197931</v>
      </c>
      <c r="T15" s="101">
        <f>H76</f>
        <v>0.12720754865506584</v>
      </c>
      <c r="U15" s="101">
        <f>I76</f>
        <v>0.56716007517016531</v>
      </c>
    </row>
    <row r="16" spans="1:56">
      <c r="A16" s="20">
        <f t="shared" si="7"/>
        <v>1.2033278506197931</v>
      </c>
      <c r="B16" s="23">
        <f t="shared" si="8"/>
        <v>0.35925406687186329</v>
      </c>
      <c r="C16" s="23">
        <f t="shared" si="9"/>
        <v>7.1396173260012157</v>
      </c>
      <c r="D16" s="23">
        <f t="shared" si="10"/>
        <v>7.8111785237132192E-2</v>
      </c>
      <c r="E16" s="23">
        <f t="shared" si="11"/>
        <v>0.93323979524880252</v>
      </c>
      <c r="F16" s="71">
        <f t="shared" si="12"/>
        <v>0.29759586545590805</v>
      </c>
      <c r="G16" s="71">
        <f t="shared" si="1"/>
        <v>2.4420553158378628</v>
      </c>
      <c r="H16" s="75">
        <f t="shared" si="2"/>
        <v>0.53449046110435683</v>
      </c>
      <c r="I16" s="75">
        <f t="shared" si="3"/>
        <v>1.1426741788222254</v>
      </c>
      <c r="J16" s="71">
        <f t="shared" si="4"/>
        <v>-0.61597004772533881</v>
      </c>
      <c r="K16" s="71">
        <f t="shared" si="5"/>
        <v>-0.23711991906387539</v>
      </c>
      <c r="L16" s="42">
        <f t="shared" si="13"/>
        <v>0.66003405647861457</v>
      </c>
      <c r="M16" s="28"/>
      <c r="N16" s="75">
        <f t="shared" si="6"/>
        <v>5.2508442038856629E-11</v>
      </c>
      <c r="O16" s="75">
        <f t="shared" si="14"/>
        <v>1.6649149413325848E-3</v>
      </c>
      <c r="P16" s="109">
        <f t="shared" si="15"/>
        <v>1.203327850588255</v>
      </c>
      <c r="T16" s="101">
        <f t="shared" ref="T16:U20" si="17">H77</f>
        <v>0.12624114022632499</v>
      </c>
      <c r="U16" s="101">
        <f t="shared" si="17"/>
        <v>0.55634683762830262</v>
      </c>
    </row>
    <row r="17" spans="1:21">
      <c r="A17" s="20">
        <f t="shared" si="7"/>
        <v>1.203327850588255</v>
      </c>
      <c r="B17" s="23">
        <f t="shared" si="8"/>
        <v>0.35925406690129591</v>
      </c>
      <c r="C17" s="23">
        <f t="shared" si="9"/>
        <v>7.1396173260306481</v>
      </c>
      <c r="D17" s="23">
        <f t="shared" si="10"/>
        <v>7.811178521923394E-2</v>
      </c>
      <c r="E17" s="23">
        <f t="shared" si="11"/>
        <v>0.93323979523747225</v>
      </c>
      <c r="F17" s="71">
        <f t="shared" si="12"/>
        <v>0.29759586539255789</v>
      </c>
      <c r="G17" s="71">
        <f t="shared" si="1"/>
        <v>2.4420553160581133</v>
      </c>
      <c r="H17" s="75">
        <f t="shared" si="2"/>
        <v>0.53449046096868935</v>
      </c>
      <c r="I17" s="75">
        <f t="shared" si="3"/>
        <v>1.1426741787700001</v>
      </c>
      <c r="J17" s="71">
        <f t="shared" si="4"/>
        <v>-0.61597004758419771</v>
      </c>
      <c r="K17" s="71">
        <f t="shared" si="5"/>
        <v>-0.23711991903184798</v>
      </c>
      <c r="L17" s="42">
        <f t="shared" si="13"/>
        <v>0.66003405633539014</v>
      </c>
      <c r="M17" s="28"/>
      <c r="N17" s="75">
        <f t="shared" si="6"/>
        <v>2.8310687127941492E-13</v>
      </c>
      <c r="O17" s="75">
        <f t="shared" si="14"/>
        <v>1.6649148885410359E-3</v>
      </c>
      <c r="P17" s="109">
        <f t="shared" si="15"/>
        <v>1.2033278505880849</v>
      </c>
      <c r="T17" s="101">
        <f t="shared" si="17"/>
        <v>0.12505804958604641</v>
      </c>
      <c r="U17" s="101">
        <f t="shared" si="17"/>
        <v>0.54022063015558763</v>
      </c>
    </row>
    <row r="18" spans="1:21">
      <c r="A18" s="20">
        <f t="shared" si="7"/>
        <v>1.2033278505880849</v>
      </c>
      <c r="B18" s="23">
        <f t="shared" si="8"/>
        <v>0.35925406690145462</v>
      </c>
      <c r="C18" s="23">
        <f t="shared" si="9"/>
        <v>7.1396173260308071</v>
      </c>
      <c r="D18" s="23">
        <f t="shared" si="10"/>
        <v>7.8111785219137336E-2</v>
      </c>
      <c r="E18" s="23">
        <f t="shared" si="11"/>
        <v>0.93323979523741118</v>
      </c>
      <c r="F18" s="71">
        <f t="shared" si="12"/>
        <v>0.29759586539221594</v>
      </c>
      <c r="G18" s="71">
        <f t="shared" si="1"/>
        <v>2.4420553160593022</v>
      </c>
      <c r="H18" s="75">
        <f t="shared" si="2"/>
        <v>0.53449046096795616</v>
      </c>
      <c r="I18" s="75">
        <f t="shared" si="3"/>
        <v>1.1426741787697181</v>
      </c>
      <c r="J18" s="71">
        <f t="shared" si="4"/>
        <v>-0.61597004758343588</v>
      </c>
      <c r="K18" s="71">
        <f t="shared" si="5"/>
        <v>-0.23711991903167498</v>
      </c>
      <c r="L18" s="42">
        <f t="shared" si="13"/>
        <v>0.66003405633461698</v>
      </c>
      <c r="M18" s="28"/>
      <c r="N18" s="75">
        <f t="shared" si="6"/>
        <v>0</v>
      </c>
      <c r="O18" s="75">
        <f t="shared" si="14"/>
        <v>1.6649148882563747E-3</v>
      </c>
      <c r="P18" s="109">
        <f t="shared" si="15"/>
        <v>1.2033278505880849</v>
      </c>
      <c r="R18" s="84"/>
      <c r="S18" s="84"/>
      <c r="T18" s="101">
        <f t="shared" si="17"/>
        <v>0.12353498124636612</v>
      </c>
      <c r="U18" s="101">
        <f t="shared" si="17"/>
        <v>0.51365730730100168</v>
      </c>
    </row>
    <row r="19" spans="1:21">
      <c r="A19" s="20">
        <f t="shared" si="7"/>
        <v>1.2033278505880849</v>
      </c>
      <c r="B19" s="23">
        <f t="shared" si="8"/>
        <v>0.35925406690145462</v>
      </c>
      <c r="C19" s="23">
        <f t="shared" si="9"/>
        <v>7.1396173260308071</v>
      </c>
      <c r="D19" s="23">
        <f t="shared" si="10"/>
        <v>7.8111785219137336E-2</v>
      </c>
      <c r="E19" s="23">
        <f t="shared" si="11"/>
        <v>0.93323979523741118</v>
      </c>
      <c r="F19" s="71">
        <f t="shared" si="12"/>
        <v>0.29759586539221594</v>
      </c>
      <c r="G19" s="71">
        <f t="shared" si="1"/>
        <v>2.4420553160593022</v>
      </c>
      <c r="H19" s="81">
        <f t="shared" si="2"/>
        <v>0.53449046096795616</v>
      </c>
      <c r="I19" s="81">
        <f t="shared" si="3"/>
        <v>1.1426741787697181</v>
      </c>
      <c r="J19" s="80">
        <f t="shared" si="4"/>
        <v>-0.61597004758343588</v>
      </c>
      <c r="K19" s="80">
        <f t="shared" si="5"/>
        <v>-0.23711991903167498</v>
      </c>
      <c r="L19" s="42">
        <f t="shared" si="13"/>
        <v>0.66003405633461698</v>
      </c>
      <c r="M19" s="28"/>
      <c r="N19" s="75">
        <f t="shared" si="6"/>
        <v>0</v>
      </c>
      <c r="O19" s="75">
        <f t="shared" si="14"/>
        <v>1.6649148882563747E-3</v>
      </c>
      <c r="P19" s="109">
        <f t="shared" si="15"/>
        <v>1.2033278505880849</v>
      </c>
      <c r="R19" s="84"/>
      <c r="S19" s="84"/>
      <c r="T19" s="101">
        <f t="shared" si="17"/>
        <v>0.12140255379819426</v>
      </c>
      <c r="U19" s="101">
        <f t="shared" si="17"/>
        <v>0.46192308115429237</v>
      </c>
    </row>
    <row r="20" spans="1:21">
      <c r="A20" s="88" t="s">
        <v>60</v>
      </c>
      <c r="B20" s="8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R20" s="84"/>
      <c r="S20" s="84"/>
      <c r="T20" s="101">
        <f t="shared" si="17"/>
        <v>0.11785697935864219</v>
      </c>
      <c r="U20" s="101">
        <f t="shared" si="17"/>
        <v>0.31881683251964565</v>
      </c>
    </row>
    <row r="21" spans="1:21">
      <c r="A21" s="26" t="s">
        <v>11</v>
      </c>
      <c r="B21" s="26" t="s">
        <v>13</v>
      </c>
      <c r="C21" s="26" t="s">
        <v>22</v>
      </c>
      <c r="D21" s="26" t="s">
        <v>18</v>
      </c>
      <c r="E21" s="26" t="s">
        <v>19</v>
      </c>
      <c r="F21" s="26" t="s">
        <v>20</v>
      </c>
      <c r="G21" s="26" t="s">
        <v>2</v>
      </c>
      <c r="H21" s="26" t="s">
        <v>1</v>
      </c>
      <c r="I21" s="26" t="s">
        <v>0</v>
      </c>
      <c r="J21" s="76" t="s">
        <v>3</v>
      </c>
      <c r="K21" s="76" t="s">
        <v>4</v>
      </c>
      <c r="L21" s="44" t="s">
        <v>7</v>
      </c>
      <c r="M21" s="44" t="s">
        <v>24</v>
      </c>
      <c r="N21" s="28"/>
      <c r="O21" s="28"/>
      <c r="P21" s="31"/>
      <c r="Q21" s="84"/>
      <c r="R21" s="84"/>
      <c r="S21" s="84"/>
      <c r="T21" s="120">
        <f>H103</f>
        <v>0.11782545501571567</v>
      </c>
      <c r="U21" s="120">
        <f>I103</f>
        <v>0.31710907741391259</v>
      </c>
    </row>
    <row r="22" spans="1:21">
      <c r="A22" s="20">
        <f>$E$6</f>
        <v>1.3859076624425977</v>
      </c>
      <c r="B22" s="23">
        <f t="shared" ref="B22:B27" si="18">COS(A22)</f>
        <v>0.18383709654408828</v>
      </c>
      <c r="C22" s="23">
        <f t="shared" ref="C22:C27" si="19">($C$6+B22)</f>
        <v>6.96420035567344</v>
      </c>
      <c r="D22" s="23">
        <f t="shared" ref="D22:D27" si="20">POWER(TAN(A22/2),$C$6)</f>
        <v>0.28342261226772447</v>
      </c>
      <c r="E22" s="23">
        <f t="shared" ref="E22:E27" si="21">SIN(A22)</f>
        <v>0.98295672434458659</v>
      </c>
      <c r="F22" s="71">
        <f t="shared" ref="F22:F27" si="22">(C22*$H$6*D22/E22/$I$6/$J$6)</f>
        <v>1</v>
      </c>
      <c r="G22" s="71">
        <f t="shared" ref="G22:G27" si="23">$D$6*($C$6+$G$6)/9.81/SIN($C$3)/(1-$C$6*$C$6)*(F22-1)</f>
        <v>0</v>
      </c>
      <c r="H22" s="80">
        <f t="shared" ref="H22:H27" si="24">-(-$H$3+$K$6*((POWER(TAN(A22/2),2*$C$6-1)/(2*$C$6-1))+(POWER(TAN(A22/2),2*$C$6+1)/(2*$C$6+1))-(POWER(TAN($E$6/2),2*$C$6-1)/(2*$C$6-1))-(POWER(TAN($E$6/2),2*$C$6+1)/(2*$C$6+1))))</f>
        <v>4</v>
      </c>
      <c r="I22" s="80">
        <f t="shared" ref="I22:I27" si="25">-(-$I$3+0.5*$K$6*((POWER(TAN(A22/2),2*$C$6-2)/(2*$C$6-2))-(POWER(TAN(A22/2),2*$C$6+2)/(2*$C$6+2))-(POWER(TAN($E$6/2),2*$C$6-2)/(2*$C$6-2))+(POWER(TAN($E$6/2),2*$C$6+2)/(2*$C$6+2))))</f>
        <v>2</v>
      </c>
      <c r="J22" s="71">
        <f t="shared" ref="J22:J27" si="26">-$D$6*SIN(A22)*($C$6+$G$6)/($C$6+B22)*F22</f>
        <v>-2.2349999999999999</v>
      </c>
      <c r="K22" s="71">
        <f t="shared" ref="K22:K27" si="27">-$D$6*COS(A22)*($C$6+$G$6)/($C$6+B22)*F22</f>
        <v>-0.41800000000000009</v>
      </c>
      <c r="L22" s="72">
        <f t="shared" ref="L22:L27" si="28">SQRT(J22*J22+K22*K22)</f>
        <v>2.2737521852655798</v>
      </c>
      <c r="M22" s="73">
        <f>-K22/J22*H22+I22</f>
        <v>1.2519015659955255</v>
      </c>
      <c r="N22" s="28"/>
      <c r="O22" s="28"/>
      <c r="P22" s="31"/>
      <c r="Q22" s="84"/>
      <c r="R22" s="84"/>
      <c r="S22" s="84"/>
      <c r="T22" s="120">
        <f t="shared" ref="T22:U26" si="29">H104</f>
        <v>0.11750787391301769</v>
      </c>
      <c r="U22" s="120">
        <f t="shared" si="29"/>
        <v>0.29900241145172363</v>
      </c>
    </row>
    <row r="23" spans="1:21">
      <c r="A23" s="20">
        <f>A22-$F$6</f>
        <v>1.3494117000716952</v>
      </c>
      <c r="B23" s="23">
        <f t="shared" si="18"/>
        <v>0.21958066714262905</v>
      </c>
      <c r="C23" s="23">
        <f t="shared" si="19"/>
        <v>6.9999439262719809</v>
      </c>
      <c r="D23" s="23">
        <f t="shared" si="20"/>
        <v>0.22014208214750605</v>
      </c>
      <c r="E23" s="23">
        <f t="shared" si="21"/>
        <v>0.97559434736841211</v>
      </c>
      <c r="F23" s="71">
        <f t="shared" si="22"/>
        <v>0.78660553855809945</v>
      </c>
      <c r="G23" s="71">
        <f t="shared" si="23"/>
        <v>0.74191060858830815</v>
      </c>
      <c r="H23" s="81">
        <f t="shared" si="24"/>
        <v>2.5271728312796169</v>
      </c>
      <c r="I23" s="81">
        <f t="shared" si="25"/>
        <v>1.698875429669259</v>
      </c>
      <c r="J23" s="71">
        <f t="shared" si="26"/>
        <v>-1.7359855293935056</v>
      </c>
      <c r="K23" s="71">
        <f t="shared" si="27"/>
        <v>-0.39072475329772316</v>
      </c>
      <c r="L23" s="42">
        <f t="shared" si="28"/>
        <v>1.7794132715879176</v>
      </c>
      <c r="M23" s="45"/>
      <c r="N23" s="28"/>
      <c r="O23" s="28"/>
      <c r="P23" s="31"/>
      <c r="Q23" s="84"/>
      <c r="R23" s="84"/>
      <c r="S23" s="84"/>
      <c r="T23" s="120">
        <f t="shared" si="29"/>
        <v>0.11713959719328444</v>
      </c>
      <c r="U23" s="120">
        <f t="shared" si="29"/>
        <v>0.27578432574873546</v>
      </c>
    </row>
    <row r="24" spans="1:21">
      <c r="A24" s="20">
        <f>A23-$F$6</f>
        <v>1.3129157377007927</v>
      </c>
      <c r="B24" s="23">
        <f t="shared" si="18"/>
        <v>0.25503179857633462</v>
      </c>
      <c r="C24" s="23">
        <f t="shared" si="19"/>
        <v>7.0353950577056867</v>
      </c>
      <c r="D24" s="23">
        <f t="shared" si="20"/>
        <v>0.17063426566830367</v>
      </c>
      <c r="E24" s="23">
        <f t="shared" si="21"/>
        <v>0.96693266658796873</v>
      </c>
      <c r="F24" s="71">
        <f t="shared" si="22"/>
        <v>0.61828277719796765</v>
      </c>
      <c r="G24" s="71">
        <f t="shared" si="23"/>
        <v>1.3271199972301042</v>
      </c>
      <c r="H24" s="81">
        <f t="shared" si="24"/>
        <v>1.6256616432007251</v>
      </c>
      <c r="I24" s="81">
        <f t="shared" si="25"/>
        <v>1.4800082699225863</v>
      </c>
      <c r="J24" s="71">
        <f t="shared" si="26"/>
        <v>-1.3455792419569339</v>
      </c>
      <c r="K24" s="71">
        <f t="shared" si="27"/>
        <v>-0.35490112813562452</v>
      </c>
      <c r="L24" s="42">
        <f t="shared" si="28"/>
        <v>1.3915955975560341</v>
      </c>
      <c r="M24" s="45"/>
      <c r="N24" s="28"/>
      <c r="O24" s="28"/>
      <c r="P24" s="28"/>
      <c r="Q24" s="84"/>
      <c r="R24" s="85"/>
      <c r="S24" s="85"/>
      <c r="T24" s="120">
        <f t="shared" si="29"/>
        <v>0.11670539297129306</v>
      </c>
      <c r="U24" s="120">
        <f t="shared" si="29"/>
        <v>0.24517007886586739</v>
      </c>
    </row>
    <row r="25" spans="1:21">
      <c r="A25" s="20">
        <f>A24-$F$6</f>
        <v>1.2764197753298903</v>
      </c>
      <c r="B25" s="23">
        <f t="shared" si="18"/>
        <v>0.29014327676482249</v>
      </c>
      <c r="C25" s="23">
        <f t="shared" si="19"/>
        <v>7.0705065358941743</v>
      </c>
      <c r="D25" s="23">
        <f t="shared" si="20"/>
        <v>0.131934664663235</v>
      </c>
      <c r="E25" s="23">
        <f t="shared" si="21"/>
        <v>0.95698321769410966</v>
      </c>
      <c r="F25" s="71">
        <f t="shared" si="22"/>
        <v>0.48543799831342677</v>
      </c>
      <c r="G25" s="71">
        <f t="shared" si="23"/>
        <v>1.788982737640745</v>
      </c>
      <c r="H25" s="81">
        <f t="shared" si="24"/>
        <v>1.0747843393684509</v>
      </c>
      <c r="I25" s="81">
        <f t="shared" si="25"/>
        <v>1.324778734688008</v>
      </c>
      <c r="J25" s="71">
        <f t="shared" si="26"/>
        <v>-1.0404038448555002</v>
      </c>
      <c r="K25" s="71">
        <f t="shared" si="27"/>
        <v>-0.31543518749728322</v>
      </c>
      <c r="L25" s="42">
        <f t="shared" si="28"/>
        <v>1.0871704180585278</v>
      </c>
      <c r="M25" s="45"/>
      <c r="N25" s="28"/>
      <c r="O25" s="28"/>
      <c r="P25" s="28"/>
      <c r="Q25" s="84"/>
      <c r="T25" s="120">
        <f t="shared" si="29"/>
        <v>0.11618271193116175</v>
      </c>
      <c r="U25" s="120">
        <f t="shared" si="29"/>
        <v>0.20336715762021393</v>
      </c>
    </row>
    <row r="26" spans="1:21">
      <c r="A26" s="20">
        <f>A25-$F$6</f>
        <v>1.2399238129589878</v>
      </c>
      <c r="B26" s="23">
        <f t="shared" si="18"/>
        <v>0.32486833998042691</v>
      </c>
      <c r="C26" s="23">
        <f t="shared" si="19"/>
        <v>7.1052315991097794</v>
      </c>
      <c r="D26" s="23">
        <f t="shared" si="20"/>
        <v>0.10172043829102596</v>
      </c>
      <c r="E26" s="23">
        <f t="shared" si="21"/>
        <v>0.94575925143683459</v>
      </c>
      <c r="F26" s="71">
        <f t="shared" si="22"/>
        <v>0.38056996257966597</v>
      </c>
      <c r="G26" s="71">
        <f t="shared" si="23"/>
        <v>2.1535784618548792</v>
      </c>
      <c r="H26" s="81">
        <f t="shared" si="24"/>
        <v>0.73897727637272315</v>
      </c>
      <c r="I26" s="81">
        <f t="shared" si="25"/>
        <v>1.2167822984338943</v>
      </c>
      <c r="J26" s="71">
        <f t="shared" si="26"/>
        <v>-0.80214199481617221</v>
      </c>
      <c r="K26" s="71">
        <f t="shared" si="27"/>
        <v>-0.27553580669564554</v>
      </c>
      <c r="L26" s="42">
        <f t="shared" si="28"/>
        <v>0.84814607268977449</v>
      </c>
      <c r="M26" s="45"/>
      <c r="N26" s="28"/>
      <c r="O26" s="28"/>
      <c r="P26" s="28"/>
      <c r="Q26" s="84"/>
      <c r="T26" s="120">
        <f t="shared" si="29"/>
        <v>0.11553642928556652</v>
      </c>
      <c r="U26" s="120">
        <f t="shared" si="29"/>
        <v>0.14364910745829182</v>
      </c>
    </row>
    <row r="27" spans="1:21">
      <c r="A27" s="20">
        <f>A26-$F$6</f>
        <v>1.2034278505880853</v>
      </c>
      <c r="B27" s="23">
        <f t="shared" si="18"/>
        <v>0.3591607411258157</v>
      </c>
      <c r="C27" s="23">
        <f t="shared" si="19"/>
        <v>7.1395240002551681</v>
      </c>
      <c r="D27" s="23">
        <f t="shared" si="20"/>
        <v>7.8168556107497567E-2</v>
      </c>
      <c r="E27" s="23">
        <f t="shared" si="21"/>
        <v>0.93327571597784265</v>
      </c>
      <c r="F27" s="71">
        <f t="shared" si="22"/>
        <v>0.29779680001227876</v>
      </c>
      <c r="G27" s="71">
        <f t="shared" si="23"/>
        <v>2.4413567247029473</v>
      </c>
      <c r="H27" s="81">
        <f t="shared" si="24"/>
        <v>0.5349209286910277</v>
      </c>
      <c r="I27" s="81">
        <f t="shared" si="25"/>
        <v>1.1428398641736117</v>
      </c>
      <c r="J27" s="71">
        <f t="shared" si="26"/>
        <v>-0.6164177286434257</v>
      </c>
      <c r="K27" s="71">
        <f t="shared" si="27"/>
        <v>-0.23722148178976191</v>
      </c>
      <c r="L27" s="42">
        <f t="shared" si="28"/>
        <v>0.66048834025170367</v>
      </c>
      <c r="M27" s="45"/>
      <c r="N27" s="28"/>
      <c r="O27" s="28"/>
      <c r="P27" s="28"/>
      <c r="Q27" s="85"/>
      <c r="T27" s="111">
        <f>H130</f>
        <v>0.11549280985728823</v>
      </c>
      <c r="U27" s="111">
        <f>I130</f>
        <v>0.13928201041866342</v>
      </c>
    </row>
    <row r="28" spans="1:21">
      <c r="A28" s="142"/>
      <c r="B28" s="142"/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T28" s="111">
        <f t="shared" ref="T28:U32" si="30">H131</f>
        <v>0.1152214539142886</v>
      </c>
      <c r="U28" s="111">
        <f t="shared" si="30"/>
        <v>0.11074147759106959</v>
      </c>
    </row>
    <row r="29" spans="1:21">
      <c r="A29" s="88" t="s">
        <v>73</v>
      </c>
      <c r="B29" s="88"/>
      <c r="C29" s="23" t="str">
        <f>CONCATENATE("m",Stufengrün!Z51)</f>
        <v>m3</v>
      </c>
      <c r="D29" s="23" t="s">
        <v>30</v>
      </c>
      <c r="E29" s="28"/>
      <c r="F29" s="28"/>
      <c r="G29" s="28"/>
      <c r="H29" s="36" t="s">
        <v>57</v>
      </c>
      <c r="I29" s="36" t="s">
        <v>51</v>
      </c>
      <c r="J29" s="36" t="s">
        <v>58</v>
      </c>
      <c r="K29" s="36" t="s">
        <v>59</v>
      </c>
      <c r="L29" s="28"/>
      <c r="M29" s="28"/>
      <c r="N29" s="28"/>
      <c r="O29" s="28"/>
      <c r="P29" s="28"/>
      <c r="T29" s="111">
        <f t="shared" si="30"/>
        <v>0.11490595074581554</v>
      </c>
      <c r="U29" s="111">
        <f t="shared" si="30"/>
        <v>7.4379895517470512E-2</v>
      </c>
    </row>
    <row r="30" spans="1:21">
      <c r="A30" s="88" t="s">
        <v>69</v>
      </c>
      <c r="B30" s="88"/>
      <c r="C30" s="36">
        <f>Stufengrün!AA51</f>
        <v>5.9398558365054185E-2</v>
      </c>
      <c r="D30" s="26">
        <f>Stufengrün!AC50</f>
        <v>0.56716007517016898</v>
      </c>
      <c r="E30" s="28"/>
      <c r="F30" s="28"/>
      <c r="G30" s="28"/>
      <c r="H30" s="78">
        <f>H19</f>
        <v>0.53449046096795616</v>
      </c>
      <c r="I30" s="78">
        <f>I19</f>
        <v>1.1426741787697181</v>
      </c>
      <c r="J30" s="78">
        <f>J19</f>
        <v>-0.61597004758343588</v>
      </c>
      <c r="K30" s="78">
        <f>K19</f>
        <v>-0.23711991903167498</v>
      </c>
      <c r="L30" s="28"/>
      <c r="M30" s="28"/>
      <c r="N30" s="28"/>
      <c r="O30" s="28"/>
      <c r="P30" s="28"/>
      <c r="T30" s="111">
        <f t="shared" si="30"/>
        <v>0.11453350379416648</v>
      </c>
      <c r="U30" s="111">
        <f t="shared" si="30"/>
        <v>2.6907851637245545E-2</v>
      </c>
    </row>
    <row r="31" spans="1:21">
      <c r="A31" s="95"/>
      <c r="B31" s="95"/>
      <c r="C31" s="28"/>
      <c r="D31" s="28"/>
      <c r="E31" s="28"/>
      <c r="F31" s="28"/>
      <c r="G31" s="28"/>
      <c r="H31" s="37" t="s">
        <v>8</v>
      </c>
      <c r="I31" s="37" t="s">
        <v>8</v>
      </c>
      <c r="J31" s="37" t="s">
        <v>9</v>
      </c>
      <c r="K31" s="37" t="s">
        <v>9</v>
      </c>
      <c r="L31" s="28"/>
      <c r="M31" s="28"/>
      <c r="N31" s="28"/>
      <c r="O31" s="28"/>
      <c r="P31" s="28"/>
      <c r="T31" s="111">
        <f t="shared" si="30"/>
        <v>0.11408557893603145</v>
      </c>
      <c r="U31" s="111">
        <f t="shared" si="30"/>
        <v>-3.6954052024149336E-2</v>
      </c>
    </row>
    <row r="32" spans="1:21">
      <c r="A32" s="88" t="s">
        <v>68</v>
      </c>
      <c r="B32" s="88"/>
      <c r="C32" s="26" t="s">
        <v>15</v>
      </c>
      <c r="D32" s="26" t="s">
        <v>55</v>
      </c>
      <c r="E32" s="26" t="s">
        <v>12</v>
      </c>
      <c r="F32" s="26" t="s">
        <v>10</v>
      </c>
      <c r="G32" s="26" t="s">
        <v>14</v>
      </c>
      <c r="H32" s="26" t="s">
        <v>21</v>
      </c>
      <c r="I32" s="26" t="s">
        <v>16</v>
      </c>
      <c r="J32" s="26" t="s">
        <v>17</v>
      </c>
      <c r="K32" s="26" t="s">
        <v>23</v>
      </c>
      <c r="L32" s="28"/>
      <c r="M32" s="28"/>
      <c r="N32" s="28"/>
      <c r="O32" s="28"/>
      <c r="P32" s="28"/>
      <c r="T32" s="111">
        <f t="shared" si="30"/>
        <v>0.11353416662050055</v>
      </c>
      <c r="U32" s="111">
        <f t="shared" si="30"/>
        <v>-0.12615459924204384</v>
      </c>
    </row>
    <row r="33" spans="1:49">
      <c r="A33" s="28"/>
      <c r="B33" s="28"/>
      <c r="C33" s="23">
        <f>Mü/TAN($C30)</f>
        <v>1.1770934876266894</v>
      </c>
      <c r="D33" s="42">
        <f>SQRT($J30*$J30+$K30*$K30)</f>
        <v>0.66003405633461698</v>
      </c>
      <c r="E33" s="20">
        <f>ATAN($J30/$K30)</f>
        <v>1.2033278505880849</v>
      </c>
      <c r="F33" s="23">
        <f>($E33-A46-0.0001)/5</f>
        <v>0.22114385804528483</v>
      </c>
      <c r="G33" s="23">
        <f>COS($E33)</f>
        <v>0.35925406690145462</v>
      </c>
      <c r="H33" s="23">
        <f>SIN($E33)</f>
        <v>0.93323979523741118</v>
      </c>
      <c r="I33" s="23">
        <f>$C33+$G33</f>
        <v>1.536347554528144</v>
      </c>
      <c r="J33" s="23">
        <f>POWER(TAN($E33/2),$C33)</f>
        <v>0.64235030272501137</v>
      </c>
      <c r="K33" s="23">
        <f>-$D33*$D33*SIN($E33)*SIN($E33)/(2*9.81*SIN($C30)*POWER(TAN($E33/2),2*$C33))</f>
        <v>-0.78950670740001372</v>
      </c>
      <c r="L33" s="28"/>
      <c r="M33" s="28"/>
      <c r="N33" s="28"/>
      <c r="O33" s="28"/>
      <c r="P33" s="28"/>
      <c r="T33" s="120">
        <f>H157</f>
        <v>0.11345880055865872</v>
      </c>
      <c r="U33" s="120">
        <f>I157</f>
        <v>-0.13928194613695224</v>
      </c>
    </row>
    <row r="34" spans="1:49">
      <c r="A34" s="88" t="s">
        <v>70</v>
      </c>
      <c r="B34" s="8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45"/>
      <c r="N34" s="28"/>
      <c r="O34" s="28"/>
      <c r="P34" s="28"/>
      <c r="T34" s="120">
        <f t="shared" ref="T34:U38" si="31">H158</f>
        <v>0.11330920946342597</v>
      </c>
      <c r="U34" s="120">
        <f t="shared" si="31"/>
        <v>-0.16587943323806523</v>
      </c>
      <c r="AU34" s="79" t="s">
        <v>65</v>
      </c>
      <c r="AV34" s="79" t="s">
        <v>66</v>
      </c>
      <c r="AW34" s="79" t="s">
        <v>67</v>
      </c>
    </row>
    <row r="35" spans="1:49">
      <c r="A35" s="26" t="s">
        <v>11</v>
      </c>
      <c r="B35" s="26" t="s">
        <v>13</v>
      </c>
      <c r="C35" s="26" t="s">
        <v>22</v>
      </c>
      <c r="D35" s="26" t="s">
        <v>18</v>
      </c>
      <c r="E35" s="26" t="s">
        <v>19</v>
      </c>
      <c r="F35" s="26" t="s">
        <v>20</v>
      </c>
      <c r="G35" s="26" t="s">
        <v>2</v>
      </c>
      <c r="H35" s="26" t="s">
        <v>65</v>
      </c>
      <c r="I35" s="26" t="s">
        <v>66</v>
      </c>
      <c r="J35" s="76" t="s">
        <v>3</v>
      </c>
      <c r="K35" s="76" t="s">
        <v>4</v>
      </c>
      <c r="L35" s="44" t="s">
        <v>7</v>
      </c>
      <c r="M35" s="93"/>
      <c r="N35" s="26" t="s">
        <v>61</v>
      </c>
      <c r="O35" s="26" t="s">
        <v>62</v>
      </c>
      <c r="P35" s="23" t="s">
        <v>63</v>
      </c>
      <c r="T35" s="120">
        <f t="shared" si="31"/>
        <v>0.11315422803171071</v>
      </c>
      <c r="U35" s="120">
        <f t="shared" si="31"/>
        <v>-0.19410410362339331</v>
      </c>
      <c r="W35" s="54" t="s">
        <v>87</v>
      </c>
      <c r="X35" s="28"/>
      <c r="Y35" s="28"/>
      <c r="Z35" s="28"/>
      <c r="AA35" s="183" t="s">
        <v>73</v>
      </c>
      <c r="AB35" s="23" t="str">
        <f>C2</f>
        <v>m4</v>
      </c>
      <c r="AC35" s="23" t="str">
        <f>C29</f>
        <v>m3</v>
      </c>
      <c r="AD35" s="23" t="str">
        <f>C56</f>
        <v>m2</v>
      </c>
      <c r="AE35" s="23" t="str">
        <f>C83</f>
        <v>m1</v>
      </c>
      <c r="AF35" s="23" t="str">
        <f>C110</f>
        <v>m0</v>
      </c>
      <c r="AG35" s="26" t="str">
        <f>C137</f>
        <v>m-1</v>
      </c>
      <c r="AH35" s="26" t="str">
        <f>C164</f>
        <v>m-2</v>
      </c>
      <c r="AI35" s="26" t="str">
        <f>C191</f>
        <v>m-3</v>
      </c>
      <c r="AJ35" s="26" t="str">
        <f>C218</f>
        <v>m-4</v>
      </c>
      <c r="AU35" s="78">
        <f>H257</f>
        <v>9.7109350407127953E-2</v>
      </c>
      <c r="AV35" s="78">
        <f>I257</f>
        <v>-4.2551137361083438</v>
      </c>
      <c r="AW35" s="79">
        <f>SQRT(POWER(AU35,2)+(POWER(AV35-$M$3,2)))</f>
        <v>2.2572036214575384</v>
      </c>
    </row>
    <row r="36" spans="1:49">
      <c r="A36" s="19">
        <f>$E33</f>
        <v>1.2033278505880849</v>
      </c>
      <c r="B36" s="26">
        <f>COS(A36)</f>
        <v>0.35925406690145462</v>
      </c>
      <c r="C36" s="26">
        <f t="shared" ref="C36:C46" si="32">($C$33+B36)</f>
        <v>1.536347554528144</v>
      </c>
      <c r="D36" s="26">
        <f t="shared" ref="D36:D46" si="33">POWER(TAN(A36/2),$C$33)</f>
        <v>0.64235030272501137</v>
      </c>
      <c r="E36" s="26">
        <f>SIN(A36)</f>
        <v>0.93323979523741118</v>
      </c>
      <c r="F36" s="77">
        <f t="shared" ref="F36:F46" si="34">(C36*$H$33*D36/E36/$I$33/$J$33)</f>
        <v>1</v>
      </c>
      <c r="G36" s="77">
        <f t="shared" ref="G36:G46" si="35">$D$33*($C$33+$G$33)/9.81/SIN($C$30)/(1-$C$33*$C$33)*(F36-1)</f>
        <v>0</v>
      </c>
      <c r="H36" s="75">
        <f t="shared" ref="H36:H46" si="36">-(-$H$30+$K$33*((POWER(TAN(A36/2),2*$C$33-1)/(2*$C$33-1))+(POWER(TAN(A36/2),2*$C$33+1)/(2*$C$33+1))-(POWER(TAN($E$33/2),2*$C$33-1)/(2*$C$33-1))-(POWER(TAN($E$33/2),2*$C$33+1)/(2*$C$33+1))))</f>
        <v>0.53449046096795616</v>
      </c>
      <c r="I36" s="75">
        <f t="shared" ref="I36:I46" si="37">-(-$I$30+0.5*$K$33*((POWER(TAN(A36/2),2*$C$33-2)/(2*$C$33-2))-(POWER(TAN(A36/2),2*$C$33+2)/(2*$C$33+2))-(POWER(TAN($E$33/2),2*$C$33-2)/(2*$C$33-2))+(POWER(TAN($E$33/2),2*$C$33+2)/(2*$C$33+2))))</f>
        <v>1.1426741787697181</v>
      </c>
      <c r="J36" s="77">
        <f t="shared" ref="J36:J46" si="38">-$D$33*SIN(A36)*($C$33+$G$33)/($C$33+B36)*F36</f>
        <v>-0.61597004758343588</v>
      </c>
      <c r="K36" s="77">
        <f t="shared" ref="K36:K46" si="39">-$D$33*COS(A36)*($C$33+$G$33)/($C$33+B36)*F36</f>
        <v>-0.23711991903167498</v>
      </c>
      <c r="L36" s="91">
        <f>SQRT(J36*J36+K36*K36)</f>
        <v>0.66003405633461698</v>
      </c>
      <c r="M36" s="93"/>
      <c r="N36" s="75">
        <f t="shared" ref="N36:N46" si="40">-(-$I$30+0.5*$K$33*((POWER(TAN(A36/2),2*$C$33-2)/(2*$C$33-2))-(POWER(TAN(A36/2),2*$C$33+2)/(2*$C$33+2))-(POWER(TAN($E$33/2),2*$C$33-2)/(2*$C$33-2))+(POWER(TAN($E$33/2),2*$C$33+2)/(2*$C$33+2))))-$D$30</f>
        <v>0.57551410359954913</v>
      </c>
      <c r="O36" s="75">
        <f>-(-$I$30+0.5*$K$33*((POWER(TAN((A36+$M$9)/2),2*$C$33-2)/(2*$C$33-2))-(POWER(TAN((A36+$M$9)/2),2*$C$33+2)/(2*$C$33+2))-(POWER(TAN($E$33/2),2*$C$33-2)/(2*$C$33-2))+(POWER(TAN($E$33/2),2*$C$33+2)/(2*$C$33+2))))-$D$30</f>
        <v>0.57580189922491132</v>
      </c>
      <c r="P36" s="109">
        <f>IF(A36-N36/(O36-N36)*$M$9&lt;0,A36*0.5,A36-N36/(O36-N36)*$M$9)</f>
        <v>0.60166392529404245</v>
      </c>
      <c r="T36" s="120">
        <f t="shared" si="31"/>
        <v>0.11299352230891005</v>
      </c>
      <c r="U36" s="120">
        <f t="shared" si="31"/>
        <v>-0.22409923922025321</v>
      </c>
      <c r="W36" s="28"/>
      <c r="X36" s="28"/>
      <c r="Y36" s="28"/>
      <c r="Z36" s="28"/>
      <c r="AA36" s="28"/>
      <c r="AB36" s="20">
        <f>N19</f>
        <v>0</v>
      </c>
      <c r="AC36" s="20">
        <f>N46</f>
        <v>-3.6637359812630166E-15</v>
      </c>
      <c r="AD36" s="20">
        <f>N73</f>
        <v>-7.0829564435825887E-11</v>
      </c>
      <c r="AE36" s="20">
        <f>N100</f>
        <v>6.7479716259200018E-11</v>
      </c>
      <c r="AF36" s="20">
        <f>N127</f>
        <v>6.4214231459969184E-8</v>
      </c>
      <c r="AG36" s="20">
        <f>N154</f>
        <v>2.9965483716587471E-7</v>
      </c>
      <c r="AH36" s="20">
        <f>N181</f>
        <v>1.3716274371855519E-7</v>
      </c>
      <c r="AI36" s="20">
        <f>N208</f>
        <v>4.3338665989267611E-12</v>
      </c>
      <c r="AU36" s="219" t="s">
        <v>107</v>
      </c>
      <c r="AV36" s="218"/>
      <c r="AW36" s="42">
        <v>4.38</v>
      </c>
    </row>
    <row r="37" spans="1:49">
      <c r="A37" s="19">
        <f>P36</f>
        <v>0.60166392529404245</v>
      </c>
      <c r="B37" s="26">
        <f>COS(A37)</f>
        <v>0.82439494991825812</v>
      </c>
      <c r="C37" s="26">
        <f t="shared" si="32"/>
        <v>2.0014884375449475</v>
      </c>
      <c r="D37" s="26">
        <f t="shared" si="33"/>
        <v>0.25217037042470147</v>
      </c>
      <c r="E37" s="26">
        <f>SIN(A37)</f>
        <v>0.56601498791928884</v>
      </c>
      <c r="F37" s="77">
        <f t="shared" si="34"/>
        <v>0.84323971681055698</v>
      </c>
      <c r="G37" s="77">
        <f t="shared" si="35"/>
        <v>0.70798276422360185</v>
      </c>
      <c r="H37" s="75">
        <f t="shared" si="36"/>
        <v>0.24157827803549459</v>
      </c>
      <c r="I37" s="75">
        <f t="shared" si="37"/>
        <v>0.92051211372726494</v>
      </c>
      <c r="J37" s="77">
        <f t="shared" si="38"/>
        <v>-0.24181415406934459</v>
      </c>
      <c r="K37" s="77">
        <f t="shared" si="39"/>
        <v>-0.35219980334151452</v>
      </c>
      <c r="L37" s="91">
        <f>SQRT(J37*J37+K37*K37)</f>
        <v>0.42722217473122132</v>
      </c>
      <c r="M37" s="93"/>
      <c r="N37" s="75">
        <f t="shared" si="40"/>
        <v>0.35335203855709596</v>
      </c>
      <c r="O37" s="75">
        <f t="shared" ref="O37:O46" si="41">-(-$I$30+0.5*$K$33*((POWER(TAN((A37+$M$9)/2),2*$C$33-2)/(2*$C$33-2))-(POWER(TAN((A37+$M$9)/2),2*$C$33+2)/(2*$C$33+2))-(POWER(TAN($E$33/2),2*$C$33-2)/(2*$C$33-2))+(POWER(TAN($E$33/2),2*$C$33+2)/(2*$C$33+2))))-$D$30</f>
        <v>0.35380831796181955</v>
      </c>
      <c r="P37" s="109">
        <f t="shared" ref="P37:P46" si="42">IF(A37-N37/(O37-N37)*$M$9&lt;0,A37*0.5,A37-N37/(O37-N37)*$M$9)</f>
        <v>0.30083196264702122</v>
      </c>
      <c r="T37" s="120">
        <f t="shared" si="31"/>
        <v>0.11282672854980719</v>
      </c>
      <c r="U37" s="120">
        <f t="shared" si="31"/>
        <v>-0.2560247896051665</v>
      </c>
      <c r="AU37" s="219" t="s">
        <v>108</v>
      </c>
      <c r="AV37" s="218"/>
      <c r="AW37" s="42">
        <v>1.3</v>
      </c>
    </row>
    <row r="38" spans="1:49">
      <c r="A38" s="19">
        <f t="shared" ref="A38:A46" si="43">P37</f>
        <v>0.30083196264702122</v>
      </c>
      <c r="B38" s="26">
        <f t="shared" ref="B38:B46" si="44">COS(A38)</f>
        <v>0.95509029675687163</v>
      </c>
      <c r="C38" s="26">
        <f t="shared" si="32"/>
        <v>2.1321837843835612</v>
      </c>
      <c r="D38" s="26">
        <f t="shared" si="33"/>
        <v>0.10851103860392818</v>
      </c>
      <c r="E38" s="26">
        <f t="shared" ref="E38:E46" si="45">SIN(A38)</f>
        <v>0.29631490857003961</v>
      </c>
      <c r="F38" s="77">
        <f t="shared" si="34"/>
        <v>0.73837485192046204</v>
      </c>
      <c r="G38" s="77">
        <f t="shared" si="35"/>
        <v>1.181588166078501</v>
      </c>
      <c r="H38" s="75">
        <f t="shared" si="36"/>
        <v>0.16315158182078576</v>
      </c>
      <c r="I38" s="75">
        <f t="shared" si="37"/>
        <v>0.7560328355548287</v>
      </c>
      <c r="J38" s="77">
        <f t="shared" si="38"/>
        <v>-0.10405467130417706</v>
      </c>
      <c r="K38" s="77">
        <f t="shared" si="39"/>
        <v>-0.33539185515316217</v>
      </c>
      <c r="L38" s="91">
        <f t="shared" ref="L38:L46" si="46">SQRT(J38*J38+K38*K38)</f>
        <v>0.3511624568818541</v>
      </c>
      <c r="M38" s="93"/>
      <c r="N38" s="75">
        <f t="shared" si="40"/>
        <v>0.18887276038465972</v>
      </c>
      <c r="O38" s="75">
        <f t="shared" si="41"/>
        <v>0.18955459067944658</v>
      </c>
      <c r="P38" s="109">
        <f t="shared" si="42"/>
        <v>2.3823501995236251E-2</v>
      </c>
      <c r="T38" s="120">
        <f t="shared" si="31"/>
        <v>0.11265344970643373</v>
      </c>
      <c r="U38" s="120">
        <f t="shared" si="31"/>
        <v>-0.29005980726422959</v>
      </c>
    </row>
    <row r="39" spans="1:49">
      <c r="A39" s="19">
        <f t="shared" si="43"/>
        <v>2.3823501995236251E-2</v>
      </c>
      <c r="B39" s="26">
        <f t="shared" si="44"/>
        <v>0.99971623379790009</v>
      </c>
      <c r="C39" s="26">
        <f t="shared" si="32"/>
        <v>2.1768097214245894</v>
      </c>
      <c r="D39" s="26">
        <f t="shared" si="33"/>
        <v>5.4358516428193457E-3</v>
      </c>
      <c r="E39" s="26">
        <f t="shared" si="45"/>
        <v>2.382124851770949E-2</v>
      </c>
      <c r="F39" s="77">
        <f t="shared" si="34"/>
        <v>0.46973766729102595</v>
      </c>
      <c r="G39" s="77">
        <f t="shared" si="35"/>
        <v>2.3948450745095173</v>
      </c>
      <c r="H39" s="75">
        <f t="shared" si="36"/>
        <v>0.11888401487206368</v>
      </c>
      <c r="I39" s="75">
        <f t="shared" si="37"/>
        <v>0.41683191722190494</v>
      </c>
      <c r="J39" s="77">
        <f t="shared" si="38"/>
        <v>-5.2126102858199141E-3</v>
      </c>
      <c r="K39" s="77">
        <f t="shared" si="39"/>
        <v>-0.21875978160094992</v>
      </c>
      <c r="L39" s="91">
        <f t="shared" si="46"/>
        <v>0.21882187585359728</v>
      </c>
      <c r="M39" s="93"/>
      <c r="N39" s="75">
        <f t="shared" si="40"/>
        <v>-0.15032815794826404</v>
      </c>
      <c r="O39" s="75">
        <f t="shared" si="41"/>
        <v>-0.14692318864568965</v>
      </c>
      <c r="P39" s="109">
        <f t="shared" si="42"/>
        <v>6.7973138773049696E-2</v>
      </c>
      <c r="T39" s="101">
        <f>H184</f>
        <v>0.11251888453202039</v>
      </c>
      <c r="U39" s="101">
        <f>I184</f>
        <v>-0.31710877782990493</v>
      </c>
    </row>
    <row r="40" spans="1:49">
      <c r="A40" s="19">
        <f t="shared" si="43"/>
        <v>6.7973138773049696E-2</v>
      </c>
      <c r="B40" s="26">
        <f t="shared" si="44"/>
        <v>0.99769071554951938</v>
      </c>
      <c r="C40" s="26">
        <f t="shared" si="32"/>
        <v>2.174784203176209</v>
      </c>
      <c r="D40" s="26">
        <f t="shared" si="33"/>
        <v>1.8681351994763552E-2</v>
      </c>
      <c r="E40" s="26">
        <f t="shared" si="45"/>
        <v>6.792080760921583E-2</v>
      </c>
      <c r="F40" s="77">
        <f t="shared" si="34"/>
        <v>0.56565740286021604</v>
      </c>
      <c r="G40" s="77">
        <f t="shared" si="35"/>
        <v>1.9616389195435666</v>
      </c>
      <c r="H40" s="75">
        <f t="shared" si="36"/>
        <v>0.12342494594726383</v>
      </c>
      <c r="I40" s="75">
        <f t="shared" si="37"/>
        <v>0.52123381979115979</v>
      </c>
      <c r="J40" s="77">
        <f t="shared" si="38"/>
        <v>-1.7914140039042847E-2</v>
      </c>
      <c r="K40" s="77">
        <f t="shared" si="39"/>
        <v>-0.26314132330166651</v>
      </c>
      <c r="L40" s="91">
        <f t="shared" si="46"/>
        <v>0.26375039799456346</v>
      </c>
      <c r="M40" s="93"/>
      <c r="N40" s="75">
        <f t="shared" si="40"/>
        <v>-4.5926255379009184E-2</v>
      </c>
      <c r="O40" s="75">
        <f t="shared" si="41"/>
        <v>-4.4179853597837382E-2</v>
      </c>
      <c r="P40" s="109">
        <f t="shared" si="42"/>
        <v>9.4270784523384166E-2</v>
      </c>
      <c r="T40" s="101">
        <f t="shared" ref="T40:U44" si="47">H185</f>
        <v>0.11234336624280844</v>
      </c>
      <c r="U40" s="101">
        <f t="shared" si="47"/>
        <v>-0.35300629479679924</v>
      </c>
    </row>
    <row r="41" spans="1:49">
      <c r="A41" s="19">
        <f t="shared" si="43"/>
        <v>9.4270784523384166E-2</v>
      </c>
      <c r="B41" s="26">
        <f t="shared" si="44"/>
        <v>0.99555979938582784</v>
      </c>
      <c r="C41" s="26">
        <f t="shared" si="32"/>
        <v>2.1726532870125173</v>
      </c>
      <c r="D41" s="26">
        <f t="shared" si="33"/>
        <v>2.7465298719182948E-2</v>
      </c>
      <c r="E41" s="26">
        <f t="shared" si="45"/>
        <v>9.4131216112670238E-2</v>
      </c>
      <c r="F41" s="77">
        <f t="shared" si="34"/>
        <v>0.59947755508533618</v>
      </c>
      <c r="G41" s="77">
        <f t="shared" si="35"/>
        <v>1.8088956074517699</v>
      </c>
      <c r="H41" s="75">
        <f t="shared" si="36"/>
        <v>0.12676960372908941</v>
      </c>
      <c r="I41" s="75">
        <f t="shared" si="37"/>
        <v>0.56260663121622601</v>
      </c>
      <c r="J41" s="77">
        <f t="shared" si="38"/>
        <v>-2.633734472791379E-2</v>
      </c>
      <c r="K41" s="77">
        <f t="shared" si="39"/>
        <v>-0.27855160823900083</v>
      </c>
      <c r="L41" s="91">
        <f t="shared" si="46"/>
        <v>0.27979394950543651</v>
      </c>
      <c r="M41" s="93"/>
      <c r="N41" s="75">
        <f t="shared" si="40"/>
        <v>-4.5534439539429705E-3</v>
      </c>
      <c r="O41" s="75">
        <f t="shared" si="41"/>
        <v>-3.1365175058096773E-3</v>
      </c>
      <c r="P41" s="109">
        <f t="shared" si="42"/>
        <v>9.748439096000748E-2</v>
      </c>
      <c r="T41" s="101">
        <f t="shared" si="47"/>
        <v>0.11216513934744875</v>
      </c>
      <c r="U41" s="101">
        <f t="shared" si="47"/>
        <v>-0.38999770940900541</v>
      </c>
    </row>
    <row r="42" spans="1:49">
      <c r="A42" s="19">
        <f t="shared" si="43"/>
        <v>9.748439096000748E-2</v>
      </c>
      <c r="B42" s="26">
        <f t="shared" si="44"/>
        <v>0.99525215852333471</v>
      </c>
      <c r="C42" s="26">
        <f t="shared" si="32"/>
        <v>2.1723456461500241</v>
      </c>
      <c r="D42" s="26">
        <f t="shared" si="33"/>
        <v>2.8572397811958371E-2</v>
      </c>
      <c r="E42" s="26">
        <f t="shared" si="45"/>
        <v>9.7330061926636874E-2</v>
      </c>
      <c r="F42" s="77">
        <f t="shared" si="34"/>
        <v>0.60305991120654223</v>
      </c>
      <c r="G42" s="77">
        <f t="shared" si="35"/>
        <v>1.7927164685938757</v>
      </c>
      <c r="H42" s="75">
        <f t="shared" si="36"/>
        <v>0.12720425960332893</v>
      </c>
      <c r="I42" s="75">
        <f t="shared" si="37"/>
        <v>0.56712644704477977</v>
      </c>
      <c r="J42" s="77">
        <f t="shared" si="38"/>
        <v>-2.7398977108195218E-2</v>
      </c>
      <c r="K42" s="77">
        <f t="shared" si="39"/>
        <v>-0.28016925673813731</v>
      </c>
      <c r="L42" s="91">
        <f t="shared" si="46"/>
        <v>0.28150580165917666</v>
      </c>
      <c r="M42" s="93"/>
      <c r="N42" s="75">
        <f t="shared" si="40"/>
        <v>-3.3628125389206787E-5</v>
      </c>
      <c r="O42" s="75">
        <f t="shared" si="41"/>
        <v>1.3532769305001358E-3</v>
      </c>
      <c r="P42" s="109">
        <f t="shared" si="42"/>
        <v>9.7508637843560481E-2</v>
      </c>
      <c r="T42" s="101">
        <f t="shared" si="47"/>
        <v>0.11198412068094808</v>
      </c>
      <c r="U42" s="101">
        <f t="shared" si="47"/>
        <v>-0.42813343572499929</v>
      </c>
    </row>
    <row r="43" spans="1:49">
      <c r="A43" s="19">
        <f t="shared" si="43"/>
        <v>9.7508637843560481E-2</v>
      </c>
      <c r="B43" s="26">
        <f t="shared" si="44"/>
        <v>0.99524979828009719</v>
      </c>
      <c r="C43" s="26">
        <f t="shared" si="32"/>
        <v>2.1723432859067868</v>
      </c>
      <c r="D43" s="26">
        <f t="shared" si="33"/>
        <v>2.8580776507472792E-2</v>
      </c>
      <c r="E43" s="26">
        <f t="shared" si="45"/>
        <v>9.7354193661217378E-2</v>
      </c>
      <c r="F43" s="77">
        <f t="shared" si="34"/>
        <v>0.60308657218786177</v>
      </c>
      <c r="G43" s="77">
        <f t="shared" si="35"/>
        <v>1.7925960585329375</v>
      </c>
      <c r="H43" s="75">
        <f t="shared" si="36"/>
        <v>0.1272075591995353</v>
      </c>
      <c r="I43" s="75">
        <f t="shared" si="37"/>
        <v>0.56716018296609028</v>
      </c>
      <c r="J43" s="77">
        <f t="shared" si="38"/>
        <v>-2.7407011704665113E-2</v>
      </c>
      <c r="K43" s="77">
        <f t="shared" si="39"/>
        <v>-0.28018128284692873</v>
      </c>
      <c r="L43" s="91">
        <f t="shared" si="46"/>
        <v>0.28151855276043586</v>
      </c>
      <c r="M43" s="93"/>
      <c r="N43" s="75">
        <f t="shared" si="40"/>
        <v>1.0779592130027993E-7</v>
      </c>
      <c r="O43" s="75">
        <f t="shared" si="41"/>
        <v>1.386792537295567E-3</v>
      </c>
      <c r="P43" s="109">
        <f t="shared" si="42"/>
        <v>9.7508560107130507E-2</v>
      </c>
      <c r="T43" s="101">
        <f t="shared" si="47"/>
        <v>0.11180022321596285</v>
      </c>
      <c r="U43" s="101">
        <f t="shared" si="47"/>
        <v>-0.46746702259129985</v>
      </c>
    </row>
    <row r="44" spans="1:49">
      <c r="A44" s="19">
        <f>P43</f>
        <v>9.7508560107130507E-2</v>
      </c>
      <c r="B44" s="26">
        <f t="shared" si="44"/>
        <v>0.99524980584806166</v>
      </c>
      <c r="C44" s="26">
        <f t="shared" si="32"/>
        <v>2.1723432934747509</v>
      </c>
      <c r="D44" s="26">
        <f t="shared" si="33"/>
        <v>2.8580749644450218E-2</v>
      </c>
      <c r="E44" s="26">
        <f t="shared" si="45"/>
        <v>9.735411629405083E-2</v>
      </c>
      <c r="F44" s="77">
        <f t="shared" si="34"/>
        <v>0.60308648672037335</v>
      </c>
      <c r="G44" s="77">
        <f t="shared" si="35"/>
        <v>1.7925964445331888</v>
      </c>
      <c r="H44" s="75">
        <f t="shared" si="36"/>
        <v>0.12720754862042688</v>
      </c>
      <c r="I44" s="75">
        <f t="shared" si="37"/>
        <v>0.56716007481605224</v>
      </c>
      <c r="J44" s="77">
        <f t="shared" si="38"/>
        <v>-2.7406985944862045E-2</v>
      </c>
      <c r="K44" s="77">
        <f t="shared" si="39"/>
        <v>-0.28018124429497138</v>
      </c>
      <c r="L44" s="91">
        <f t="shared" si="46"/>
        <v>0.28151851188378413</v>
      </c>
      <c r="M44" s="93"/>
      <c r="N44" s="75">
        <f t="shared" si="40"/>
        <v>-3.5411673593443993E-10</v>
      </c>
      <c r="O44" s="75">
        <f t="shared" si="41"/>
        <v>1.3866850934501906E-3</v>
      </c>
      <c r="P44" s="109">
        <f t="shared" si="42"/>
        <v>9.7508560362499691E-2</v>
      </c>
      <c r="T44" s="101">
        <f t="shared" si="47"/>
        <v>0.11161335582074929</v>
      </c>
      <c r="U44" s="101">
        <f t="shared" si="47"/>
        <v>-0.50805540059469734</v>
      </c>
    </row>
    <row r="45" spans="1:49">
      <c r="A45" s="19">
        <f t="shared" si="43"/>
        <v>9.7508560362499691E-2</v>
      </c>
      <c r="B45" s="26">
        <f t="shared" si="44"/>
        <v>0.99524980582320044</v>
      </c>
      <c r="C45" s="26">
        <f t="shared" si="32"/>
        <v>2.1723432934498899</v>
      </c>
      <c r="D45" s="26">
        <f t="shared" si="33"/>
        <v>2.8580749732696951E-2</v>
      </c>
      <c r="E45" s="26">
        <f t="shared" si="45"/>
        <v>9.7354116548206956E-2</v>
      </c>
      <c r="F45" s="77">
        <f t="shared" si="34"/>
        <v>0.60308648700113932</v>
      </c>
      <c r="G45" s="77">
        <f t="shared" si="35"/>
        <v>1.7925964432651542</v>
      </c>
      <c r="H45" s="75">
        <f t="shared" si="36"/>
        <v>0.12720754865517997</v>
      </c>
      <c r="I45" s="75">
        <f t="shared" si="37"/>
        <v>0.56716007517133216</v>
      </c>
      <c r="J45" s="77">
        <f t="shared" si="38"/>
        <v>-2.7406986029484635E-2</v>
      </c>
      <c r="K45" s="77">
        <f t="shared" si="39"/>
        <v>-0.2801812444216169</v>
      </c>
      <c r="L45" s="91">
        <f t="shared" si="46"/>
        <v>0.28151851201806644</v>
      </c>
      <c r="M45" s="93"/>
      <c r="N45" s="75">
        <f t="shared" si="40"/>
        <v>1.1631806628997765E-12</v>
      </c>
      <c r="O45" s="75">
        <f t="shared" si="41"/>
        <v>1.3866854464104073E-3</v>
      </c>
      <c r="P45" s="109">
        <f t="shared" si="42"/>
        <v>9.7508560361660876E-2</v>
      </c>
      <c r="T45" s="119">
        <f>H211</f>
        <v>0.11134631607355977</v>
      </c>
      <c r="U45" s="119">
        <f>I211</f>
        <v>-0.56715993800742448</v>
      </c>
    </row>
    <row r="46" spans="1:49">
      <c r="A46" s="19">
        <f t="shared" si="43"/>
        <v>9.7508560361660876E-2</v>
      </c>
      <c r="B46" s="26">
        <f t="shared" si="44"/>
        <v>0.99524980582328204</v>
      </c>
      <c r="C46" s="26">
        <f t="shared" si="32"/>
        <v>2.1723432934499716</v>
      </c>
      <c r="D46" s="26">
        <f t="shared" si="33"/>
        <v>2.858074973240711E-2</v>
      </c>
      <c r="E46" s="26">
        <f t="shared" si="45"/>
        <v>9.7354116547372124E-2</v>
      </c>
      <c r="F46" s="77">
        <f t="shared" si="34"/>
        <v>0.60308648700021761</v>
      </c>
      <c r="G46" s="77">
        <f t="shared" si="35"/>
        <v>1.7925964432693169</v>
      </c>
      <c r="H46" s="81">
        <f t="shared" si="36"/>
        <v>0.12720754865506584</v>
      </c>
      <c r="I46" s="81">
        <f t="shared" si="37"/>
        <v>0.56716007517016531</v>
      </c>
      <c r="J46" s="80">
        <f t="shared" si="38"/>
        <v>-2.7406986029206697E-2</v>
      </c>
      <c r="K46" s="80">
        <f t="shared" si="39"/>
        <v>-0.28018124442120107</v>
      </c>
      <c r="L46" s="91">
        <f t="shared" si="46"/>
        <v>0.28151851201762551</v>
      </c>
      <c r="M46" s="93"/>
      <c r="N46" s="75">
        <f t="shared" si="40"/>
        <v>-3.6637359812630166E-15</v>
      </c>
      <c r="O46" s="75">
        <f t="shared" si="41"/>
        <v>1.3866854452508903E-3</v>
      </c>
      <c r="P46" s="109">
        <f t="shared" si="42"/>
        <v>9.7508560361663513E-2</v>
      </c>
      <c r="T46" s="119">
        <f t="shared" ref="T46:U50" si="48">H212</f>
        <v>0.11097876255667988</v>
      </c>
      <c r="U46" s="119">
        <f t="shared" si="48"/>
        <v>-0.64993429957517934</v>
      </c>
    </row>
    <row r="47" spans="1:49">
      <c r="A47" s="88" t="s">
        <v>60</v>
      </c>
      <c r="B47" s="8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T47" s="119">
        <f t="shared" si="48"/>
        <v>0.11061285778553517</v>
      </c>
      <c r="U47" s="119">
        <f t="shared" si="48"/>
        <v>-0.73338995683740038</v>
      </c>
    </row>
    <row r="48" spans="1:49">
      <c r="A48" s="26" t="s">
        <v>11</v>
      </c>
      <c r="B48" s="26" t="s">
        <v>13</v>
      </c>
      <c r="C48" s="26" t="s">
        <v>22</v>
      </c>
      <c r="D48" s="26" t="s">
        <v>18</v>
      </c>
      <c r="E48" s="26" t="s">
        <v>19</v>
      </c>
      <c r="F48" s="26" t="s">
        <v>20</v>
      </c>
      <c r="G48" s="26" t="s">
        <v>2</v>
      </c>
      <c r="H48" s="26" t="s">
        <v>1</v>
      </c>
      <c r="I48" s="26" t="s">
        <v>0</v>
      </c>
      <c r="J48" s="76" t="s">
        <v>3</v>
      </c>
      <c r="K48" s="76" t="s">
        <v>4</v>
      </c>
      <c r="L48" s="44" t="s">
        <v>7</v>
      </c>
      <c r="M48" s="28"/>
      <c r="N48" s="28"/>
      <c r="O48" s="28"/>
      <c r="P48" s="31"/>
      <c r="T48" s="119">
        <f t="shared" si="48"/>
        <v>0.1102486154151823</v>
      </c>
      <c r="U48" s="119">
        <f t="shared" si="48"/>
        <v>-0.81754138541907717</v>
      </c>
    </row>
    <row r="49" spans="1:52">
      <c r="A49" s="19">
        <f>$E33</f>
        <v>1.2033278505880849</v>
      </c>
      <c r="B49" s="26">
        <f t="shared" ref="B49:B54" si="49">COS(A49)</f>
        <v>0.35925406690145462</v>
      </c>
      <c r="C49" s="26">
        <f t="shared" ref="C49:C54" si="50">($C$33+B49)</f>
        <v>1.536347554528144</v>
      </c>
      <c r="D49" s="26">
        <f t="shared" ref="D49:D54" si="51">POWER(TAN(A49/2),$C$33)</f>
        <v>0.64235030272501137</v>
      </c>
      <c r="E49" s="26">
        <f t="shared" ref="E49:E54" si="52">SIN(A49)</f>
        <v>0.93323979523741118</v>
      </c>
      <c r="F49" s="77">
        <f t="shared" ref="F49:F54" si="53">(C49*$H$33*D49/E49/$I$33/$J$33)</f>
        <v>1</v>
      </c>
      <c r="G49" s="77">
        <f t="shared" ref="G49:G54" si="54">$D$33*($C$33+$G$33)/9.81/SIN($C$30)/(1-$C$33*$C$33)*(F49-1)</f>
        <v>0</v>
      </c>
      <c r="H49" s="108">
        <f t="shared" ref="H49:H54" si="55">-(-$H$30+$K$33*((POWER(TAN(A49/2),2*$C$33-1)/(2*$C$33-1))+(POWER(TAN(A49/2),2*$C$33+1)/(2*$C$33+1))-(POWER(TAN($E$33/2),2*$C$33-1)/(2*$C$33-1))-(POWER(TAN($E$33/2),2*$C$33+1)/(2*$C$33+1))))</f>
        <v>0.53449046096795616</v>
      </c>
      <c r="I49" s="108">
        <f t="shared" ref="I49:I54" si="56">-(-$I$30+0.5*$K$33*((POWER(TAN(A49/2),2*$C$33-2)/(2*$C$33-2))-(POWER(TAN(A49/2),2*$C$33+2)/(2*$C$33+2))-(POWER(TAN($E$33/2),2*$C$33-2)/(2*$C$33-2))+(POWER(TAN($E$33/2),2*$C$33+2)/(2*$C$33+2))))</f>
        <v>1.1426741787697181</v>
      </c>
      <c r="J49" s="77">
        <f t="shared" ref="J49:J54" si="57">-$D$33*SIN(A49)*($C$33+$G$33)/($C$33+B49)*F49</f>
        <v>-0.61597004758343588</v>
      </c>
      <c r="K49" s="77">
        <f t="shared" ref="K49:K54" si="58">-$D$33*COS(A49)*($C$33+$G$33)/($C$33+B49)*F49</f>
        <v>-0.23711991903167498</v>
      </c>
      <c r="L49" s="91">
        <f t="shared" ref="L49:L54" si="59">SQRT(J49*J49+K49*K49)</f>
        <v>0.66003405633461698</v>
      </c>
      <c r="M49" s="28"/>
      <c r="N49" s="28"/>
      <c r="O49" s="28"/>
      <c r="P49" s="31"/>
      <c r="Q49" s="28"/>
      <c r="T49" s="119">
        <f t="shared" si="48"/>
        <v>0.10988604939275286</v>
      </c>
      <c r="U49" s="119">
        <f t="shared" si="48"/>
        <v>-0.90240356186061477</v>
      </c>
    </row>
    <row r="50" spans="1:52">
      <c r="A50" s="20">
        <f>A49-$F$33</f>
        <v>0.98218399254280009</v>
      </c>
      <c r="B50" s="26">
        <f t="shared" si="49"/>
        <v>0.55520741969509668</v>
      </c>
      <c r="C50" s="26">
        <f t="shared" si="50"/>
        <v>1.7323009073217861</v>
      </c>
      <c r="D50" s="26">
        <f t="shared" si="51"/>
        <v>0.47868285361449803</v>
      </c>
      <c r="E50" s="26">
        <f t="shared" si="52"/>
        <v>0.83171192195105204</v>
      </c>
      <c r="F50" s="77">
        <f t="shared" si="53"/>
        <v>0.94282289581157352</v>
      </c>
      <c r="G50" s="77">
        <f t="shared" si="54"/>
        <v>0.25823125252142437</v>
      </c>
      <c r="H50" s="108">
        <f t="shared" si="55"/>
        <v>0.39607897305019124</v>
      </c>
      <c r="I50" s="108">
        <f t="shared" si="56"/>
        <v>1.071746274200734</v>
      </c>
      <c r="J50" s="77">
        <f t="shared" si="57"/>
        <v>-0.45902414752114407</v>
      </c>
      <c r="K50" s="77">
        <f t="shared" si="58"/>
        <v>-0.30642053552041604</v>
      </c>
      <c r="L50" s="91">
        <f t="shared" si="59"/>
        <v>0.55190281082463388</v>
      </c>
      <c r="M50" s="28"/>
      <c r="N50" s="28"/>
      <c r="O50" s="28"/>
      <c r="P50" s="31"/>
      <c r="R50" s="28"/>
      <c r="T50" s="119">
        <f t="shared" si="48"/>
        <v>0.10952517396762709</v>
      </c>
      <c r="U50" s="119">
        <f t="shared" si="48"/>
        <v>-0.98799198781990616</v>
      </c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</row>
    <row r="51" spans="1:52">
      <c r="A51" s="20">
        <f>A50-$F$33</f>
        <v>0.76104013449751529</v>
      </c>
      <c r="B51" s="26">
        <f t="shared" si="49"/>
        <v>0.72411904781630088</v>
      </c>
      <c r="C51" s="26">
        <f t="shared" si="50"/>
        <v>1.9012125354429903</v>
      </c>
      <c r="D51" s="26">
        <f t="shared" si="51"/>
        <v>0.34010083844603467</v>
      </c>
      <c r="E51" s="26">
        <f t="shared" si="52"/>
        <v>0.68967499924936659</v>
      </c>
      <c r="F51" s="77">
        <f t="shared" si="53"/>
        <v>0.8865959268091832</v>
      </c>
      <c r="G51" s="77">
        <f t="shared" si="54"/>
        <v>0.51217137133404411</v>
      </c>
      <c r="H51" s="108">
        <f t="shared" si="55"/>
        <v>0.29691222328319034</v>
      </c>
      <c r="I51" s="108">
        <f t="shared" si="56"/>
        <v>0.98873918672609962</v>
      </c>
      <c r="J51" s="77">
        <f t="shared" si="57"/>
        <v>-0.32613346448511504</v>
      </c>
      <c r="K51" s="77">
        <f t="shared" si="58"/>
        <v>-0.34242136371628062</v>
      </c>
      <c r="L51" s="91">
        <f t="shared" si="59"/>
        <v>0.47287992872015738</v>
      </c>
      <c r="M51" s="45"/>
      <c r="N51" s="28"/>
      <c r="O51" s="28"/>
      <c r="P51" s="31"/>
      <c r="S51" s="28"/>
      <c r="T51" s="110">
        <f>H227</f>
        <v>0.10888505094149961</v>
      </c>
      <c r="U51" s="110">
        <f>I227</f>
        <v>-1.1426741787653829</v>
      </c>
      <c r="V51" s="28"/>
      <c r="AL51" s="28"/>
      <c r="AM51" s="28"/>
      <c r="AN51" s="28"/>
      <c r="AO51" s="28"/>
      <c r="AP51" s="28"/>
      <c r="AQ51" s="28"/>
      <c r="AR51" s="28"/>
    </row>
    <row r="52" spans="1:52">
      <c r="A52" s="20">
        <f>A51-$F$33</f>
        <v>0.53989627645223048</v>
      </c>
      <c r="B52" s="26">
        <f t="shared" si="49"/>
        <v>0.85776200475895747</v>
      </c>
      <c r="C52" s="26">
        <f t="shared" si="50"/>
        <v>2.0348554923856468</v>
      </c>
      <c r="D52" s="26">
        <f t="shared" si="51"/>
        <v>0.22039252929024683</v>
      </c>
      <c r="E52" s="26">
        <f t="shared" si="52"/>
        <v>0.51404702430020366</v>
      </c>
      <c r="F52" s="77">
        <f t="shared" si="53"/>
        <v>0.82501042307838868</v>
      </c>
      <c r="G52" s="77">
        <f t="shared" si="54"/>
        <v>0.7903124557995459</v>
      </c>
      <c r="H52" s="108">
        <f t="shared" si="55"/>
        <v>0.22294432814779469</v>
      </c>
      <c r="I52" s="108">
        <f t="shared" si="56"/>
        <v>0.89148400833416741</v>
      </c>
      <c r="J52" s="77">
        <f t="shared" si="57"/>
        <v>-0.21134137584747681</v>
      </c>
      <c r="K52" s="77">
        <f t="shared" si="58"/>
        <v>-0.35265373334712674</v>
      </c>
      <c r="L52" s="91">
        <f t="shared" si="59"/>
        <v>0.41113237866746866</v>
      </c>
      <c r="M52" s="45"/>
      <c r="N52" s="28"/>
      <c r="O52" s="28"/>
      <c r="P52" s="31"/>
      <c r="T52" s="110">
        <f t="shared" ref="T52:U63" si="60">H228</f>
        <v>0.10750289304255205</v>
      </c>
      <c r="U52" s="110">
        <f t="shared" si="60"/>
        <v>-1.4823673718944552</v>
      </c>
      <c r="AF52" s="7"/>
      <c r="AG52" s="7"/>
      <c r="AH52" s="7"/>
      <c r="AI52" s="7"/>
      <c r="AJ52" s="7"/>
      <c r="AK52" s="7"/>
      <c r="AR52" s="28"/>
      <c r="AS52" s="7"/>
      <c r="AT52" s="7"/>
      <c r="AU52" s="7"/>
      <c r="AV52" s="7"/>
      <c r="AW52" s="7"/>
      <c r="AX52" s="7"/>
      <c r="AY52" s="7"/>
      <c r="AZ52" s="7"/>
    </row>
    <row r="53" spans="1:52">
      <c r="A53" s="20">
        <f>A52-$F$33</f>
        <v>0.31875241840694568</v>
      </c>
      <c r="B53" s="26">
        <f t="shared" si="49"/>
        <v>0.94962712670814764</v>
      </c>
      <c r="C53" s="26">
        <f t="shared" si="50"/>
        <v>2.1267206143348369</v>
      </c>
      <c r="D53" s="26">
        <f t="shared" si="51"/>
        <v>0.11628723971781305</v>
      </c>
      <c r="E53" s="26">
        <f t="shared" si="52"/>
        <v>0.3133820674831726</v>
      </c>
      <c r="F53" s="77">
        <f t="shared" si="53"/>
        <v>0.7462772531073284</v>
      </c>
      <c r="G53" s="77">
        <f t="shared" si="54"/>
        <v>1.1458982341489936</v>
      </c>
      <c r="H53" s="108">
        <f t="shared" si="55"/>
        <v>0.16699711124406169</v>
      </c>
      <c r="I53" s="108">
        <f t="shared" si="56"/>
        <v>0.76804824907603164</v>
      </c>
      <c r="J53" s="77">
        <f t="shared" si="57"/>
        <v>-0.11151151681326771</v>
      </c>
      <c r="K53" s="77">
        <f t="shared" si="58"/>
        <v>-0.3379081711876728</v>
      </c>
      <c r="L53" s="91">
        <f t="shared" si="59"/>
        <v>0.355832475383281</v>
      </c>
      <c r="M53" s="45"/>
      <c r="N53" s="28"/>
      <c r="O53" s="28"/>
      <c r="P53" s="89"/>
      <c r="T53" s="110">
        <f t="shared" si="60"/>
        <v>0.10626950650676219</v>
      </c>
      <c r="U53" s="110">
        <f t="shared" si="60"/>
        <v>-1.7884975863296155</v>
      </c>
      <c r="AF53" s="7"/>
      <c r="AG53" s="7"/>
      <c r="AH53" s="7"/>
      <c r="AI53" s="7"/>
      <c r="AJ53" s="7"/>
      <c r="AK53" s="7"/>
      <c r="AL53" s="7"/>
      <c r="AM53" s="7"/>
      <c r="AN53" s="7"/>
      <c r="AR53" s="28"/>
      <c r="AS53" s="14"/>
      <c r="AT53" s="144"/>
      <c r="AU53" s="144"/>
      <c r="AV53" s="144"/>
      <c r="AW53" s="144"/>
      <c r="AX53" s="144"/>
      <c r="AY53" s="144"/>
      <c r="AZ53" s="7"/>
    </row>
    <row r="54" spans="1:52">
      <c r="A54" s="20">
        <f>A53-$F$33</f>
        <v>9.7608560361660851E-2</v>
      </c>
      <c r="B54" s="26">
        <f t="shared" si="49"/>
        <v>0.99524006543539456</v>
      </c>
      <c r="C54" s="26">
        <f t="shared" si="50"/>
        <v>2.1723335530620842</v>
      </c>
      <c r="D54" s="26">
        <f t="shared" si="51"/>
        <v>2.8615309499061454E-2</v>
      </c>
      <c r="E54" s="26">
        <f t="shared" si="52"/>
        <v>9.7453641041017974E-2</v>
      </c>
      <c r="F54" s="77">
        <f t="shared" si="53"/>
        <v>0.6031963863533486</v>
      </c>
      <c r="G54" s="77">
        <f t="shared" si="54"/>
        <v>1.792100100405978</v>
      </c>
      <c r="H54" s="108">
        <f t="shared" si="55"/>
        <v>0.12722116014010054</v>
      </c>
      <c r="I54" s="108">
        <f t="shared" si="56"/>
        <v>0.56729915343347437</v>
      </c>
      <c r="J54" s="77">
        <f t="shared" si="57"/>
        <v>-2.7440126483909123E-2</v>
      </c>
      <c r="K54" s="77">
        <f t="shared" si="58"/>
        <v>-0.28023081524380111</v>
      </c>
      <c r="L54" s="91">
        <f t="shared" si="59"/>
        <v>0.28157107513673757</v>
      </c>
      <c r="M54" s="45"/>
      <c r="N54" s="28"/>
      <c r="O54" s="28"/>
      <c r="P54" s="28"/>
      <c r="T54" s="110">
        <f t="shared" si="60"/>
        <v>0.10517012421041162</v>
      </c>
      <c r="U54" s="110">
        <f t="shared" si="60"/>
        <v>-2.0640956024766011</v>
      </c>
      <c r="AF54" s="7"/>
      <c r="AG54" s="7"/>
      <c r="AH54" s="7"/>
      <c r="AI54" s="7"/>
      <c r="AJ54" s="7"/>
      <c r="AK54" s="7"/>
      <c r="AL54" s="7"/>
      <c r="AM54" s="7"/>
      <c r="AN54" s="7"/>
      <c r="AR54" s="28"/>
      <c r="AS54" s="7"/>
      <c r="AT54" s="144"/>
      <c r="AU54" s="144"/>
      <c r="AV54" s="144"/>
      <c r="AW54" s="144"/>
      <c r="AX54" s="144"/>
      <c r="AY54" s="144"/>
      <c r="AZ54" s="7"/>
    </row>
    <row r="55" spans="1:52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142"/>
      <c r="N55" s="142"/>
      <c r="O55" s="142"/>
      <c r="P55" s="142"/>
      <c r="Q55" s="18"/>
      <c r="T55" s="110">
        <f t="shared" si="60"/>
        <v>0.10419131875462938</v>
      </c>
      <c r="U55" s="110">
        <f t="shared" si="60"/>
        <v>-2.3119447826152975</v>
      </c>
      <c r="AF55" s="7"/>
      <c r="AG55" s="7"/>
      <c r="AH55" s="7"/>
      <c r="AI55" s="7"/>
      <c r="AJ55" s="7"/>
      <c r="AK55" s="7"/>
      <c r="AL55" s="7"/>
      <c r="AM55" s="7"/>
      <c r="AN55" s="7"/>
      <c r="AR55" s="28"/>
      <c r="AS55" s="7"/>
      <c r="AT55" s="144"/>
      <c r="AU55" s="144"/>
      <c r="AV55" s="144"/>
      <c r="AW55" s="144"/>
      <c r="AX55" s="144"/>
      <c r="AY55" s="144"/>
      <c r="AZ55" s="7"/>
    </row>
    <row r="56" spans="1:52">
      <c r="A56" s="88" t="s">
        <v>73</v>
      </c>
      <c r="B56" s="88"/>
      <c r="C56" s="23" t="str">
        <f>CONCATENATE("m",Stufengrün!Z50)</f>
        <v>m2</v>
      </c>
      <c r="D56" s="23" t="s">
        <v>30</v>
      </c>
      <c r="E56" s="28"/>
      <c r="F56" s="28"/>
      <c r="G56" s="28"/>
      <c r="H56" s="36" t="s">
        <v>57</v>
      </c>
      <c r="I56" s="36" t="s">
        <v>51</v>
      </c>
      <c r="J56" s="36" t="s">
        <v>58</v>
      </c>
      <c r="K56" s="36" t="s">
        <v>59</v>
      </c>
      <c r="L56" s="28"/>
      <c r="M56" s="28"/>
      <c r="N56" s="28"/>
      <c r="O56" s="28"/>
      <c r="P56" s="28"/>
      <c r="Q56" s="18"/>
      <c r="T56" s="110">
        <f t="shared" si="60"/>
        <v>0.10332089257954376</v>
      </c>
      <c r="U56" s="110">
        <f t="shared" si="60"/>
        <v>-2.5345990830615297</v>
      </c>
      <c r="AF56" s="7"/>
      <c r="AG56" s="7"/>
      <c r="AH56" s="7"/>
      <c r="AI56" s="7"/>
      <c r="AJ56" s="7"/>
      <c r="AK56" s="7"/>
      <c r="AL56" s="7"/>
      <c r="AM56" s="7"/>
      <c r="AN56" s="7"/>
      <c r="AR56" s="28"/>
      <c r="AS56" s="7"/>
      <c r="AT56" s="144"/>
      <c r="AU56" s="144"/>
      <c r="AV56" s="144"/>
      <c r="AW56" s="144"/>
      <c r="AX56" s="144"/>
      <c r="AY56" s="144"/>
      <c r="AZ56" s="7"/>
    </row>
    <row r="57" spans="1:52">
      <c r="A57" s="88" t="s">
        <v>69</v>
      </c>
      <c r="B57" s="88"/>
      <c r="C57" s="36">
        <f>Stufengrün!AA50</f>
        <v>0.14505155745746634</v>
      </c>
      <c r="D57" s="26">
        <f>Stufengrün!AC49</f>
        <v>0.31710907748474215</v>
      </c>
      <c r="E57" s="28"/>
      <c r="F57" s="28"/>
      <c r="G57" s="28"/>
      <c r="H57" s="78">
        <f>H46</f>
        <v>0.12720754865506584</v>
      </c>
      <c r="I57" s="78">
        <f>I46</f>
        <v>0.56716007517016531</v>
      </c>
      <c r="J57" s="78">
        <f>J46</f>
        <v>-2.7406986029206697E-2</v>
      </c>
      <c r="K57" s="78">
        <f>K46</f>
        <v>-0.28018124442120107</v>
      </c>
      <c r="L57" s="28"/>
      <c r="M57" s="28"/>
      <c r="N57" s="28"/>
      <c r="O57" s="28"/>
      <c r="P57" s="28"/>
      <c r="Q57" s="18"/>
      <c r="T57" s="110">
        <f t="shared" si="60"/>
        <v>0.10254777611645707</v>
      </c>
      <c r="U57" s="110">
        <f t="shared" si="60"/>
        <v>-2.7343999172892595</v>
      </c>
      <c r="AF57" s="7"/>
      <c r="AG57" s="7"/>
      <c r="AH57" s="7"/>
      <c r="AI57" s="7"/>
      <c r="AJ57" s="7"/>
      <c r="AK57" s="7"/>
      <c r="AL57" s="7"/>
      <c r="AM57" s="7"/>
      <c r="AN57" s="7"/>
      <c r="AR57" s="28"/>
      <c r="AS57" s="7"/>
      <c r="AT57" s="144"/>
      <c r="AU57" s="144"/>
      <c r="AV57" s="144"/>
      <c r="AW57" s="144"/>
      <c r="AX57" s="144"/>
      <c r="AY57" s="144"/>
      <c r="AZ57" s="7"/>
    </row>
    <row r="58" spans="1:52">
      <c r="A58" s="95"/>
      <c r="B58" s="95"/>
      <c r="C58" s="28"/>
      <c r="D58" s="28"/>
      <c r="E58" s="28"/>
      <c r="F58" s="28"/>
      <c r="G58" s="28"/>
      <c r="H58" s="37" t="s">
        <v>8</v>
      </c>
      <c r="I58" s="37" t="s">
        <v>8</v>
      </c>
      <c r="J58" s="37" t="s">
        <v>9</v>
      </c>
      <c r="K58" s="37" t="s">
        <v>9</v>
      </c>
      <c r="L58" s="28"/>
      <c r="M58" s="28"/>
      <c r="N58" s="28"/>
      <c r="O58" s="28"/>
      <c r="P58" s="28"/>
      <c r="Q58" s="18"/>
      <c r="T58" s="110">
        <f t="shared" si="60"/>
        <v>0.10186193346279589</v>
      </c>
      <c r="U58" s="110">
        <f t="shared" si="60"/>
        <v>-2.913491932757001</v>
      </c>
      <c r="AF58" s="7"/>
      <c r="AG58" s="7"/>
      <c r="AH58" s="7"/>
      <c r="AI58" s="7"/>
      <c r="AJ58" s="7"/>
      <c r="AK58" s="7"/>
      <c r="AL58" s="7"/>
      <c r="AM58" s="7"/>
      <c r="AN58" s="7"/>
      <c r="AR58" s="28"/>
      <c r="AS58" s="7"/>
      <c r="AT58" s="144"/>
      <c r="AU58" s="144"/>
      <c r="AV58" s="144"/>
      <c r="AW58" s="144"/>
      <c r="AX58" s="144"/>
      <c r="AY58" s="144"/>
      <c r="AZ58" s="7"/>
    </row>
    <row r="59" spans="1:52">
      <c r="A59" s="88" t="s">
        <v>68</v>
      </c>
      <c r="B59" s="88"/>
      <c r="C59" s="26" t="s">
        <v>15</v>
      </c>
      <c r="D59" s="26" t="s">
        <v>55</v>
      </c>
      <c r="E59" s="26" t="s">
        <v>12</v>
      </c>
      <c r="F59" s="26" t="s">
        <v>10</v>
      </c>
      <c r="G59" s="26" t="s">
        <v>14</v>
      </c>
      <c r="H59" s="26" t="s">
        <v>21</v>
      </c>
      <c r="I59" s="26" t="s">
        <v>16</v>
      </c>
      <c r="J59" s="26" t="s">
        <v>17</v>
      </c>
      <c r="K59" s="26" t="s">
        <v>23</v>
      </c>
      <c r="L59" s="28"/>
      <c r="M59" s="28"/>
      <c r="N59" s="28"/>
      <c r="O59" s="28"/>
      <c r="P59" s="28"/>
      <c r="Q59" s="18"/>
      <c r="T59" s="110">
        <f t="shared" si="60"/>
        <v>0.10125427509286082</v>
      </c>
      <c r="U59" s="110">
        <f t="shared" si="60"/>
        <v>-3.0738377613447407</v>
      </c>
      <c r="AF59" s="7"/>
      <c r="AG59" s="7"/>
      <c r="AH59" s="7"/>
      <c r="AI59" s="7"/>
      <c r="AJ59" s="7"/>
      <c r="AK59" s="7"/>
      <c r="AL59" s="7"/>
      <c r="AM59" s="7"/>
      <c r="AN59" s="7"/>
      <c r="AR59" s="28"/>
      <c r="AS59" s="7"/>
      <c r="AT59" s="144"/>
      <c r="AU59" s="144"/>
      <c r="AV59" s="144"/>
      <c r="AW59" s="144"/>
      <c r="AX59" s="144"/>
      <c r="AY59" s="144"/>
      <c r="AZ59" s="7"/>
    </row>
    <row r="60" spans="1:52">
      <c r="A60" s="28"/>
      <c r="B60" s="28"/>
      <c r="C60" s="23">
        <f>Mü/TAN($C57)</f>
        <v>0.47919773462141801</v>
      </c>
      <c r="D60" s="42">
        <f>SQRT($J57*$J57+$K57*$K57)</f>
        <v>0.28151851201762551</v>
      </c>
      <c r="E60" s="20">
        <f>ATAN($J57/$K57)</f>
        <v>9.750856036166089E-2</v>
      </c>
      <c r="F60" s="23">
        <f>($E60-A73-0.0001)/5</f>
        <v>1.5800208500818362E-2</v>
      </c>
      <c r="G60" s="23">
        <f>COS($E60)</f>
        <v>0.99524980582328204</v>
      </c>
      <c r="H60" s="23">
        <f>SIN($E60)</f>
        <v>9.7354116547372138E-2</v>
      </c>
      <c r="I60" s="23">
        <f>$C60+$G60</f>
        <v>1.4744475404447002</v>
      </c>
      <c r="J60" s="23">
        <f>POWER(TAN($E60/2),$C60)</f>
        <v>0.23521427015363028</v>
      </c>
      <c r="K60" s="23">
        <f>-$D60*$D60*SIN($E60)*SIN($E60)/(2*9.81*SIN($C57)*POWER(TAN($E60/2),2*$C60))</f>
        <v>-4.7873790732137758E-3</v>
      </c>
      <c r="L60" s="28"/>
      <c r="M60" s="28"/>
      <c r="N60" s="28"/>
      <c r="O60" s="28"/>
      <c r="P60" s="28"/>
      <c r="Q60" s="18"/>
      <c r="T60" s="110">
        <f t="shared" si="60"/>
        <v>0.10071657714438988</v>
      </c>
      <c r="U60" s="110">
        <f t="shared" si="60"/>
        <v>-3.2172318005705947</v>
      </c>
      <c r="AF60" s="7"/>
      <c r="AG60" s="7"/>
      <c r="AH60" s="7"/>
      <c r="AI60" s="7"/>
      <c r="AJ60" s="7"/>
      <c r="AK60" s="7"/>
      <c r="AL60" s="7"/>
      <c r="AM60" s="7"/>
      <c r="AN60" s="7"/>
      <c r="AR60" s="28"/>
      <c r="AS60" s="7"/>
      <c r="AT60" s="144"/>
      <c r="AU60" s="144"/>
      <c r="AV60" s="144"/>
      <c r="AW60" s="144"/>
      <c r="AX60" s="144"/>
      <c r="AY60" s="144"/>
      <c r="AZ60" s="7"/>
    </row>
    <row r="61" spans="1:52">
      <c r="A61" s="88" t="s">
        <v>70</v>
      </c>
      <c r="B61" s="8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45"/>
      <c r="N61" s="28"/>
      <c r="O61" s="28"/>
      <c r="P61" s="28"/>
      <c r="Q61" s="18"/>
      <c r="T61" s="110">
        <f t="shared" si="60"/>
        <v>0.10024140684669841</v>
      </c>
      <c r="U61" s="110">
        <f t="shared" si="60"/>
        <v>-3.3453130801171955</v>
      </c>
      <c r="AF61" s="7"/>
      <c r="AG61" s="7"/>
      <c r="AH61" s="7"/>
      <c r="AI61" s="7"/>
      <c r="AJ61" s="7"/>
      <c r="AK61" s="7"/>
      <c r="AL61" s="7"/>
      <c r="AM61" s="7"/>
      <c r="AN61" s="7"/>
      <c r="AR61" s="28"/>
      <c r="AS61" s="7"/>
      <c r="AT61" s="144"/>
      <c r="AU61" s="144"/>
      <c r="AV61" s="144"/>
      <c r="AW61" s="144"/>
      <c r="AX61" s="144"/>
      <c r="AY61" s="144"/>
      <c r="AZ61" s="7"/>
    </row>
    <row r="62" spans="1:52">
      <c r="A62" s="26" t="s">
        <v>11</v>
      </c>
      <c r="B62" s="26" t="s">
        <v>13</v>
      </c>
      <c r="C62" s="26" t="s">
        <v>22</v>
      </c>
      <c r="D62" s="26" t="s">
        <v>18</v>
      </c>
      <c r="E62" s="26" t="s">
        <v>19</v>
      </c>
      <c r="F62" s="26" t="s">
        <v>20</v>
      </c>
      <c r="G62" s="26" t="s">
        <v>2</v>
      </c>
      <c r="H62" s="26" t="s">
        <v>65</v>
      </c>
      <c r="I62" s="26" t="s">
        <v>66</v>
      </c>
      <c r="J62" s="76" t="s">
        <v>3</v>
      </c>
      <c r="K62" s="76" t="s">
        <v>4</v>
      </c>
      <c r="L62" s="44" t="s">
        <v>7</v>
      </c>
      <c r="M62" s="93"/>
      <c r="N62" s="26" t="s">
        <v>61</v>
      </c>
      <c r="O62" s="26" t="s">
        <v>62</v>
      </c>
      <c r="P62" s="26" t="s">
        <v>63</v>
      </c>
      <c r="Q62" s="18"/>
      <c r="T62" s="110">
        <f t="shared" si="60"/>
        <v>9.9822053680711759E-2</v>
      </c>
      <c r="U62" s="110">
        <f t="shared" si="60"/>
        <v>-3.4595772656566464</v>
      </c>
      <c r="AF62" s="7"/>
      <c r="AG62" s="7"/>
      <c r="AH62" s="7"/>
      <c r="AI62" s="7"/>
      <c r="AJ62" s="7"/>
      <c r="AK62" s="7"/>
      <c r="AL62" s="7"/>
      <c r="AM62" s="7"/>
      <c r="AN62" s="7"/>
      <c r="AR62" s="28"/>
      <c r="AS62" s="7"/>
      <c r="AT62" s="144"/>
      <c r="AU62" s="144"/>
      <c r="AV62" s="144"/>
      <c r="AW62" s="144"/>
      <c r="AX62" s="144"/>
      <c r="AY62" s="144"/>
      <c r="AZ62" s="7"/>
    </row>
    <row r="63" spans="1:52">
      <c r="A63" s="19">
        <f>$E60</f>
        <v>9.750856036166089E-2</v>
      </c>
      <c r="B63" s="26">
        <f>COS(A63)</f>
        <v>0.99524980582328204</v>
      </c>
      <c r="C63" s="26">
        <f>($C$60+B63)</f>
        <v>1.4744475404447002</v>
      </c>
      <c r="D63" s="26">
        <f>POWER(TAN(A63/2),$C$60)</f>
        <v>0.23521427015363028</v>
      </c>
      <c r="E63" s="26">
        <f>SIN(A63)</f>
        <v>9.7354116547372138E-2</v>
      </c>
      <c r="F63" s="77">
        <f>(C63*$H$60*D63/E63/$I$60/$J$60)</f>
        <v>1.0000000000000002</v>
      </c>
      <c r="G63" s="77">
        <f>$D$60*($C$60+$G$60)/9.81/SIN($C$57)/(1-$C$60*$C$60)*(F63-1)</f>
        <v>8.4374264483442292E-17</v>
      </c>
      <c r="H63" s="75">
        <f>-(-$H$57+$K$60*((POWER(TAN(A63/2),2*$C$60-1)/(2*$C$60-1))+(POWER(TAN(A63/2),2*$C$60+1)/(2*$C$60+1))-(POWER(TAN($E$60/2),2*$C$60-1)/(2*$C$60-1))-(POWER(TAN($E$60/2),2*$C$60+1)/(2*$C$60+1))))</f>
        <v>0.12720754865506584</v>
      </c>
      <c r="I63" s="75">
        <f>-(-$I$57+0.5*$K$60*((POWER(TAN(A63/2),2*$C$60-2)/(2*$C$60-2))-(POWER(TAN(A63/2),2*$C$60+2)/(2*$C$60+2))-(POWER(TAN($E$60/2),2*$C$60-2)/(2*$C$60-2))+(POWER(TAN($E$60/2),2*$C$60+2)/(2*$C$60+2))))</f>
        <v>0.56716007517016531</v>
      </c>
      <c r="J63" s="77">
        <f>-$D$60*SIN(A63)*($C$60+$G$60)/($C$60+B63)*F63</f>
        <v>-2.7406986029206708E-2</v>
      </c>
      <c r="K63" s="77">
        <f>-$D$60*COS(A63)*($C$60+$G$60)/($C$60+B63)*F63</f>
        <v>-0.28018124442120113</v>
      </c>
      <c r="L63" s="91">
        <f>SQRT(J63*J63+K63*K63)</f>
        <v>0.28151851201762551</v>
      </c>
      <c r="M63" s="93"/>
      <c r="N63" s="75">
        <f>-(-$I$57+0.5*$K$60*((POWER(TAN(A63/2),2*$C$60-2)/(2*$C$60-2))-(POWER(TAN(A63/2),2*$C$60+2)/(2*$C$60+2))-(POWER(TAN($E$60/2),2*$C$60-2)/(2*$C$60-2))+(POWER(TAN($E$60/2),2*$C$60+2)/(2*$C$60+2))))-$D$57</f>
        <v>0.25005099768542316</v>
      </c>
      <c r="O63" s="75">
        <f>-(-$I$57+0.5*$K$60*((POWER(TAN((A63+$M$9)/2),2*$C$60-2)/(2*$C$60-2))-(POWER(TAN((A63+$M$9)/2),2*$C$60+2)/(2*$C$60+2))-(POWER(TAN($E$60/2),2*$C$60-2)/(2*$C$60-2))+(POWER(TAN($E$60/2),2*$C$60+2)/(2*$C$60+2))))-$D$57</f>
        <v>0.25061646091691125</v>
      </c>
      <c r="P63" s="109">
        <f>IF(A63-N63/(O63-N63)*$M$9&lt;0,A63*0.5,A63-N63/(O63-N63)*$M$9)</f>
        <v>4.8754280180830445E-2</v>
      </c>
      <c r="Q63" s="18"/>
      <c r="T63" s="110">
        <f t="shared" si="60"/>
        <v>9.9452465884611582E-2</v>
      </c>
      <c r="U63" s="110">
        <f t="shared" si="60"/>
        <v>-3.5613878495133706</v>
      </c>
      <c r="AF63" s="7"/>
      <c r="AG63" s="7"/>
      <c r="AH63" s="7"/>
      <c r="AI63" s="7"/>
      <c r="AJ63" s="7"/>
      <c r="AK63" s="7"/>
      <c r="AL63" s="7"/>
      <c r="AM63" s="7"/>
      <c r="AN63" s="7"/>
      <c r="AR63" s="28"/>
      <c r="AS63" s="7"/>
      <c r="AT63" s="144"/>
      <c r="AU63" s="144"/>
      <c r="AV63" s="144"/>
      <c r="AW63" s="144"/>
      <c r="AX63" s="144"/>
      <c r="AY63" s="144"/>
      <c r="AZ63" s="7"/>
    </row>
    <row r="64" spans="1:52">
      <c r="A64" s="19">
        <f>P63</f>
        <v>4.8754280180830445E-2</v>
      </c>
      <c r="B64" s="26">
        <f>COS(A64)</f>
        <v>0.99881174548142004</v>
      </c>
      <c r="C64" s="26">
        <f>($C$60+B64)</f>
        <v>1.4780094801028381</v>
      </c>
      <c r="D64" s="26">
        <f>POWER(TAN(A64/2),$C$60)</f>
        <v>0.16868909895365428</v>
      </c>
      <c r="E64" s="26">
        <f>SIN(A64)</f>
        <v>4.8734967819410335E-2</v>
      </c>
      <c r="F64" s="77">
        <f>(C64*$H$60*D64/E64/$I$60/$J$60)</f>
        <v>1.4361006637800526</v>
      </c>
      <c r="G64" s="77">
        <f>$D$60*($C$60+$G$60)/9.81/SIN($C$57)/(1-$C$60*$C$60)*(F64-1)</f>
        <v>0.16571297807305965</v>
      </c>
      <c r="H64" s="75">
        <f>-(-$H$57+$K$60*((POWER(TAN(A64/2),2*$C$60-1)/(2*$C$60-1))+(POWER(TAN(A64/2),2*$C$60+1)/(2*$C$60+1))-(POWER(TAN($E$60/2),2*$C$60-1)/(2*$C$60-1))-(POWER(TAN($E$60/2),2*$C$60+1)/(2*$C$60+1))))</f>
        <v>0.12338189632138293</v>
      </c>
      <c r="I64" s="75">
        <f>-(-$I$57+0.5*$K$60*((POWER(TAN(A64/2),2*$C$60-2)/(2*$C$60-2))-(POWER(TAN(A64/2),2*$C$60+2)/(2*$C$60+2))-(POWER(TAN($E$60/2),2*$C$60-2)/(2*$C$60-2))+(POWER(TAN($E$60/2),2*$C$60+2)/(2*$C$60+2))))</f>
        <v>0.51056250017235971</v>
      </c>
      <c r="J64" s="77">
        <f>-$D$60*SIN(A64)*($C$60+$G$60)/($C$60+B64)*F64</f>
        <v>-1.9655524196225783E-2</v>
      </c>
      <c r="K64" s="77">
        <f>-$D$60*COS(A64)*($C$60+$G$60)/($C$60+B64)*F64</f>
        <v>-0.40283536255799868</v>
      </c>
      <c r="L64" s="91">
        <f>SQRT(J64*J64+K64*K64)</f>
        <v>0.40331460295737204</v>
      </c>
      <c r="M64" s="93"/>
      <c r="N64" s="75">
        <f>-(-$I$57+0.5*$K$60*((POWER(TAN(A64/2),2*$C$60-2)/(2*$C$60-2))-(POWER(TAN(A64/2),2*$C$60+2)/(2*$C$60+2))-(POWER(TAN($E$60/2),2*$C$60-2)/(2*$C$60-2))+(POWER(TAN($E$60/2),2*$C$60+2)/(2*$C$60+2))))-$D$57</f>
        <v>0.19345342268761756</v>
      </c>
      <c r="O64" s="75">
        <f t="shared" ref="O64:O73" si="61">-(-$I$57+0.5*$K$60*((POWER(TAN((A64+$M$9)/2),2*$C$60-2)/(2*$C$60-2))-(POWER(TAN((A64+$M$9)/2),2*$C$60+2)/(2*$C$60+2))-(POWER(TAN($E$60/2),2*$C$60-2)/(2*$C$60-2))+(POWER(TAN($E$60/2),2*$C$60+2)/(2*$C$60+2))))-$D$57</f>
        <v>0.19575626728163986</v>
      </c>
      <c r="P64" s="109">
        <f t="shared" ref="P64:P73" si="62">IF(A64-N64/(O64-N64)*$M$9&lt;0,A64*0.5,A64-N64/(O64-N64)*$M$9)</f>
        <v>2.4377140090415222E-2</v>
      </c>
      <c r="Q64" s="18"/>
      <c r="T64" s="112">
        <f>H257</f>
        <v>9.7109350407127953E-2</v>
      </c>
      <c r="U64" s="112">
        <f>I257</f>
        <v>-4.2551137361083438</v>
      </c>
      <c r="AF64" s="7"/>
      <c r="AG64" s="7"/>
      <c r="AH64" s="7"/>
      <c r="AI64" s="7"/>
      <c r="AJ64" s="7"/>
      <c r="AK64" s="7"/>
      <c r="AL64" s="7"/>
      <c r="AM64" s="7"/>
      <c r="AN64" s="7"/>
      <c r="AR64" s="28"/>
      <c r="AS64" s="7"/>
      <c r="AT64" s="144"/>
      <c r="AU64" s="144"/>
      <c r="AV64" s="144"/>
      <c r="AW64" s="144"/>
      <c r="AX64" s="144"/>
      <c r="AY64" s="144"/>
      <c r="AZ64" s="7"/>
    </row>
    <row r="65" spans="1:52">
      <c r="A65" s="19">
        <f t="shared" ref="A65:A73" si="63">P64</f>
        <v>2.4377140090415222E-2</v>
      </c>
      <c r="B65" s="26">
        <f t="shared" ref="B65:B73" si="64">COS(A65)</f>
        <v>0.99970289223384268</v>
      </c>
      <c r="C65" s="26">
        <f t="shared" ref="C65:C73" si="65">($C$60+B65)</f>
        <v>1.4789006268552607</v>
      </c>
      <c r="D65" s="26">
        <f t="shared" ref="D65:D73" si="66">POWER(TAN(A65/2),$C$60)</f>
        <v>0.12100496868799847</v>
      </c>
      <c r="E65" s="26">
        <f t="shared" ref="E65:E73" si="67">SIN(A65)</f>
        <v>2.4374725830047229E-2</v>
      </c>
      <c r="F65" s="77">
        <f t="shared" ref="F65:F73" si="68">(C65*$H$60*D65/E65/$I$60/$J$60)</f>
        <v>2.0609325841623227</v>
      </c>
      <c r="G65" s="77">
        <f t="shared" ref="G65:G73" si="69">$D$60*($C$60+$G$60)/9.81/SIN($C$57)/(1-$C$60*$C$60)*(F65-1)</f>
        <v>0.403141551155619</v>
      </c>
      <c r="H65" s="75">
        <f t="shared" ref="H65:H73" si="70">-(-$H$57+$K$60*((POWER(TAN(A65/2),2*$C$60-1)/(2*$C$60-1))+(POWER(TAN(A65/2),2*$C$60+1)/(2*$C$60+1))-(POWER(TAN($E$60/2),2*$C$60-1)/(2*$C$60-1))-(POWER(TAN($E$60/2),2*$C$60+1)/(2*$C$60+1))))</f>
        <v>0.11945056809869298</v>
      </c>
      <c r="I65" s="75">
        <f t="shared" ref="I65:I73" si="71">-(-$I$57+0.5*$K$60*((POWER(TAN(A65/2),2*$C$60-2)/(2*$C$60-2))-(POWER(TAN(A65/2),2*$C$60+2)/(2*$C$60+2))-(POWER(TAN($E$60/2),2*$C$60-2)/(2*$C$60-2))+(POWER(TAN($E$60/2),2*$C$60+2)/(2*$C$60+2))))</f>
        <v>0.39408838304680993</v>
      </c>
      <c r="J65" s="77">
        <f t="shared" ref="J65:J73" si="72">-$D$60*SIN(A65)*($C$60+$G$60)/($C$60+B65)*F65</f>
        <v>-1.4099405976221053E-2</v>
      </c>
      <c r="K65" s="77">
        <f t="shared" ref="K65:K73" si="73">-$D$60*COS(A65)*($C$60+$G$60)/($C$60+B65)*F65</f>
        <v>-0.57827181448054876</v>
      </c>
      <c r="L65" s="91">
        <f t="shared" ref="L65:L73" si="74">SQRT(J65*J65+K65*K65)</f>
        <v>0.57844367458855361</v>
      </c>
      <c r="M65" s="93"/>
      <c r="N65" s="75">
        <f t="shared" ref="N65:N73" si="75">-(-$I$57+0.5*$K$60*((POWER(TAN(A65/2),2*$C$60-2)/(2*$C$60-2))-(POWER(TAN(A65/2),2*$C$60+2)/(2*$C$60+2))-(POWER(TAN($E$60/2),2*$C$60-2)/(2*$C$60-2))+(POWER(TAN($E$60/2),2*$C$60+2)/(2*$C$60+2))))-$D$57</f>
        <v>7.6979305562067779E-2</v>
      </c>
      <c r="O65" s="75">
        <f t="shared" si="61"/>
        <v>8.6268245378124608E-2</v>
      </c>
      <c r="P65" s="109">
        <f t="shared" si="62"/>
        <v>1.6089939711637698E-2</v>
      </c>
      <c r="Q65" s="18"/>
      <c r="AF65" s="7"/>
      <c r="AG65" s="7"/>
      <c r="AH65" s="7"/>
      <c r="AI65" s="7"/>
      <c r="AJ65" s="7"/>
      <c r="AK65" s="7"/>
      <c r="AL65" s="7"/>
      <c r="AM65" s="7"/>
      <c r="AN65" s="7"/>
      <c r="AR65" s="28"/>
      <c r="AS65" s="7"/>
      <c r="AT65" s="144"/>
      <c r="AU65" s="144"/>
      <c r="AV65" s="144"/>
      <c r="AW65" s="144"/>
      <c r="AX65" s="144"/>
      <c r="AY65" s="144"/>
      <c r="AZ65" s="7"/>
    </row>
    <row r="66" spans="1:52">
      <c r="A66" s="19">
        <f t="shared" si="63"/>
        <v>1.6089939711637698E-2</v>
      </c>
      <c r="B66" s="26">
        <f t="shared" si="64"/>
        <v>0.99987055971259897</v>
      </c>
      <c r="C66" s="26">
        <f t="shared" si="65"/>
        <v>1.479068294334017</v>
      </c>
      <c r="D66" s="26">
        <f t="shared" si="66"/>
        <v>9.916000437597608E-2</v>
      </c>
      <c r="E66" s="26">
        <f t="shared" si="67"/>
        <v>1.608924547683992E-2</v>
      </c>
      <c r="F66" s="77">
        <f t="shared" si="68"/>
        <v>2.5588829192411695</v>
      </c>
      <c r="G66" s="77">
        <f t="shared" si="69"/>
        <v>0.59235665631769463</v>
      </c>
      <c r="H66" s="75">
        <f t="shared" si="70"/>
        <v>0.11704020563525476</v>
      </c>
      <c r="I66" s="75">
        <f t="shared" si="71"/>
        <v>0.2714481611670877</v>
      </c>
      <c r="J66" s="77">
        <f t="shared" si="72"/>
        <v>-1.1554047519367765E-2</v>
      </c>
      <c r="K66" s="77">
        <f t="shared" si="73"/>
        <v>-0.71802944250964595</v>
      </c>
      <c r="L66" s="91">
        <f t="shared" si="74"/>
        <v>0.71812239647903531</v>
      </c>
      <c r="M66" s="93"/>
      <c r="N66" s="75">
        <f t="shared" si="75"/>
        <v>-4.5660916317654454E-2</v>
      </c>
      <c r="O66" s="75">
        <f t="shared" si="61"/>
        <v>-2.4408273867357833E-2</v>
      </c>
      <c r="P66" s="109">
        <f t="shared" si="62"/>
        <v>1.8238421549811056E-2</v>
      </c>
      <c r="Q66" s="18"/>
      <c r="AF66" s="7"/>
      <c r="AG66" s="7"/>
      <c r="AH66" s="7"/>
      <c r="AI66" s="7"/>
      <c r="AJ66" s="7"/>
      <c r="AK66" s="7"/>
      <c r="AL66" s="7"/>
      <c r="AM66" s="7"/>
      <c r="AN66" s="7"/>
      <c r="AR66" s="28"/>
      <c r="AS66" s="7"/>
      <c r="AT66" s="144"/>
      <c r="AU66" s="144"/>
      <c r="AV66" s="144"/>
      <c r="AW66" s="144"/>
      <c r="AX66" s="144"/>
      <c r="AY66" s="144"/>
      <c r="AZ66" s="7"/>
    </row>
    <row r="67" spans="1:52">
      <c r="A67" s="19">
        <f t="shared" si="63"/>
        <v>1.8238421549811056E-2</v>
      </c>
      <c r="B67" s="26">
        <f t="shared" si="64"/>
        <v>0.99983368460002553</v>
      </c>
      <c r="C67" s="26">
        <f t="shared" si="65"/>
        <v>1.4790314192214435</v>
      </c>
      <c r="D67" s="26">
        <f t="shared" si="66"/>
        <v>0.10529843256754939</v>
      </c>
      <c r="E67" s="26">
        <f t="shared" si="67"/>
        <v>1.8237410428474748E-2</v>
      </c>
      <c r="F67" s="77">
        <f t="shared" si="68"/>
        <v>2.3971624319462448</v>
      </c>
      <c r="G67" s="77">
        <f t="shared" si="69"/>
        <v>0.53090482697907992</v>
      </c>
      <c r="H67" s="75">
        <f t="shared" si="70"/>
        <v>0.11777174057515719</v>
      </c>
      <c r="I67" s="75">
        <f t="shared" si="71"/>
        <v>0.31417782727486004</v>
      </c>
      <c r="J67" s="77">
        <f t="shared" si="72"/>
        <v>-1.2269292455730918E-2</v>
      </c>
      <c r="K67" s="77">
        <f t="shared" si="73"/>
        <v>-0.67264220057774338</v>
      </c>
      <c r="L67" s="91">
        <f t="shared" si="74"/>
        <v>0.67275408994329677</v>
      </c>
      <c r="M67" s="93"/>
      <c r="N67" s="75">
        <f t="shared" si="75"/>
        <v>-2.931250209882108E-3</v>
      </c>
      <c r="O67" s="75">
        <f t="shared" si="61"/>
        <v>1.3639816138712013E-2</v>
      </c>
      <c r="P67" s="109">
        <f t="shared" si="62"/>
        <v>1.8415311204841057E-2</v>
      </c>
      <c r="Q67" s="18"/>
      <c r="AF67" s="7"/>
      <c r="AG67" s="7"/>
      <c r="AH67" s="7"/>
      <c r="AI67" s="7"/>
      <c r="AJ67" s="7"/>
      <c r="AK67" s="7"/>
      <c r="AL67" s="7"/>
      <c r="AM67" s="7"/>
      <c r="AN67" s="7"/>
      <c r="AR67" s="28"/>
      <c r="AS67" s="7"/>
      <c r="AT67" s="144"/>
      <c r="AU67" s="144"/>
      <c r="AV67" s="144"/>
      <c r="AW67" s="144"/>
      <c r="AX67" s="144"/>
      <c r="AY67" s="144"/>
      <c r="AZ67" s="7"/>
    </row>
    <row r="68" spans="1:52">
      <c r="A68" s="19">
        <f t="shared" si="63"/>
        <v>1.8415311204841057E-2</v>
      </c>
      <c r="B68" s="26">
        <f t="shared" si="64"/>
        <v>0.99983044294843004</v>
      </c>
      <c r="C68" s="26">
        <f t="shared" si="65"/>
        <v>1.4790281775698482</v>
      </c>
      <c r="D68" s="26">
        <f t="shared" si="66"/>
        <v>0.10578661636851719</v>
      </c>
      <c r="E68" s="26">
        <f t="shared" si="67"/>
        <v>1.8414270377784866E-2</v>
      </c>
      <c r="F68" s="77">
        <f t="shared" si="68"/>
        <v>2.3851406108905278</v>
      </c>
      <c r="G68" s="77">
        <f t="shared" si="69"/>
        <v>0.52633668036876191</v>
      </c>
      <c r="H68" s="75">
        <f t="shared" si="70"/>
        <v>0.11782791821740626</v>
      </c>
      <c r="I68" s="75">
        <f t="shared" si="71"/>
        <v>0.31724284896251753</v>
      </c>
      <c r="J68" s="77">
        <f t="shared" si="72"/>
        <v>-1.2326175257119074E-2</v>
      </c>
      <c r="K68" s="77">
        <f t="shared" si="73"/>
        <v>-0.66926818246642161</v>
      </c>
      <c r="L68" s="91">
        <f t="shared" si="74"/>
        <v>0.66938168085060157</v>
      </c>
      <c r="M68" s="93"/>
      <c r="N68" s="75">
        <f t="shared" si="75"/>
        <v>1.3377147777537957E-4</v>
      </c>
      <c r="O68" s="75">
        <f t="shared" si="61"/>
        <v>1.6389782552532095E-2</v>
      </c>
      <c r="P68" s="109">
        <f t="shared" si="62"/>
        <v>1.8407082157926646E-2</v>
      </c>
      <c r="Q68" s="18"/>
      <c r="AF68" s="7"/>
      <c r="AG68" s="7"/>
      <c r="AH68" s="7"/>
      <c r="AI68" s="7"/>
      <c r="AJ68" s="7"/>
      <c r="AK68" s="7"/>
      <c r="AL68" s="7"/>
      <c r="AM68" s="7"/>
      <c r="AN68" s="7"/>
      <c r="AR68" s="28"/>
      <c r="AS68" s="7"/>
      <c r="AT68" s="144"/>
      <c r="AU68" s="144"/>
      <c r="AV68" s="144"/>
      <c r="AW68" s="144"/>
      <c r="AX68" s="144"/>
      <c r="AY68" s="144"/>
      <c r="AZ68" s="7"/>
    </row>
    <row r="69" spans="1:52">
      <c r="A69" s="19">
        <f t="shared" si="63"/>
        <v>1.8407082157926646E-2</v>
      </c>
      <c r="B69" s="26">
        <f t="shared" si="64"/>
        <v>0.99983059444647204</v>
      </c>
      <c r="C69" s="26">
        <f t="shared" si="65"/>
        <v>1.4790283290678901</v>
      </c>
      <c r="D69" s="26">
        <f t="shared" si="66"/>
        <v>0.10576395996162299</v>
      </c>
      <c r="E69" s="26">
        <f t="shared" si="67"/>
        <v>1.8406042725539997E-2</v>
      </c>
      <c r="F69" s="77">
        <f t="shared" si="68"/>
        <v>2.3856959768222854</v>
      </c>
      <c r="G69" s="77">
        <f t="shared" si="69"/>
        <v>0.52654771270628264</v>
      </c>
      <c r="H69" s="75">
        <f t="shared" si="70"/>
        <v>0.11782531727440269</v>
      </c>
      <c r="I69" s="75">
        <f t="shared" si="71"/>
        <v>0.31710159528694698</v>
      </c>
      <c r="J69" s="77">
        <f t="shared" si="72"/>
        <v>-1.2323535349996027E-2</v>
      </c>
      <c r="K69" s="77">
        <f t="shared" si="73"/>
        <v>-0.66942405048161424</v>
      </c>
      <c r="L69" s="91">
        <f t="shared" si="74"/>
        <v>0.66953747384797924</v>
      </c>
      <c r="M69" s="93"/>
      <c r="N69" s="75">
        <f t="shared" si="75"/>
        <v>-7.4821977951722296E-6</v>
      </c>
      <c r="O69" s="75">
        <f t="shared" si="61"/>
        <v>1.6262986768651455E-2</v>
      </c>
      <c r="P69" s="109">
        <f t="shared" si="62"/>
        <v>1.840754202161039E-2</v>
      </c>
      <c r="Q69" s="18"/>
      <c r="AF69" s="7"/>
      <c r="AG69" s="7"/>
      <c r="AH69" s="7"/>
      <c r="AI69" s="7"/>
      <c r="AJ69" s="7"/>
      <c r="AK69" s="7"/>
      <c r="AL69" s="7"/>
      <c r="AM69" s="7"/>
      <c r="AN69" s="7"/>
      <c r="AR69" s="28"/>
      <c r="AS69" s="7"/>
      <c r="AT69" s="144"/>
      <c r="AU69" s="144"/>
      <c r="AV69" s="144"/>
      <c r="AW69" s="144"/>
      <c r="AX69" s="144"/>
      <c r="AY69" s="144"/>
      <c r="AZ69" s="7"/>
    </row>
    <row r="70" spans="1:52">
      <c r="A70" s="19">
        <f>P69</f>
        <v>1.840754202161039E-2</v>
      </c>
      <c r="B70" s="26">
        <f t="shared" si="64"/>
        <v>0.99983058598209573</v>
      </c>
      <c r="C70" s="26">
        <f t="shared" si="65"/>
        <v>1.4790283206035137</v>
      </c>
      <c r="D70" s="26">
        <f t="shared" si="66"/>
        <v>0.10576522620831243</v>
      </c>
      <c r="E70" s="26">
        <f t="shared" si="67"/>
        <v>1.8406502511318333E-2</v>
      </c>
      <c r="F70" s="77">
        <f t="shared" si="68"/>
        <v>2.3856649313591789</v>
      </c>
      <c r="G70" s="77">
        <f t="shared" si="69"/>
        <v>0.52653591580576331</v>
      </c>
      <c r="H70" s="75">
        <f t="shared" si="70"/>
        <v>0.11782546265479353</v>
      </c>
      <c r="I70" s="75">
        <f t="shared" si="71"/>
        <v>0.31710949236448166</v>
      </c>
      <c r="J70" s="77">
        <f t="shared" si="72"/>
        <v>-1.2323682892087351E-2</v>
      </c>
      <c r="K70" s="77">
        <f t="shared" si="73"/>
        <v>-0.6694153373176982</v>
      </c>
      <c r="L70" s="91">
        <f t="shared" si="74"/>
        <v>0.66952876487585833</v>
      </c>
      <c r="M70" s="93"/>
      <c r="N70" s="75">
        <f t="shared" si="75"/>
        <v>4.1487973950760093E-7</v>
      </c>
      <c r="O70" s="75">
        <f t="shared" si="61"/>
        <v>1.6270075390678929E-2</v>
      </c>
      <c r="P70" s="109">
        <f t="shared" si="62"/>
        <v>1.8407516521401629E-2</v>
      </c>
      <c r="Q70" s="18"/>
      <c r="AF70" s="7"/>
      <c r="AG70" s="7"/>
      <c r="AH70" s="7"/>
      <c r="AI70" s="7"/>
      <c r="AJ70" s="7"/>
      <c r="AK70" s="7"/>
      <c r="AL70" s="7"/>
      <c r="AM70" s="7"/>
      <c r="AN70" s="7"/>
      <c r="AR70" s="28"/>
      <c r="AS70" s="7"/>
      <c r="AT70" s="144"/>
      <c r="AU70" s="144"/>
      <c r="AV70" s="144"/>
      <c r="AW70" s="144"/>
      <c r="AX70" s="144"/>
      <c r="AY70" s="144"/>
      <c r="AZ70" s="7"/>
    </row>
    <row r="71" spans="1:52">
      <c r="A71" s="19">
        <f t="shared" si="63"/>
        <v>1.8407516521401629E-2</v>
      </c>
      <c r="B71" s="26">
        <f t="shared" si="64"/>
        <v>0.99983058645146505</v>
      </c>
      <c r="C71" s="26">
        <f t="shared" si="65"/>
        <v>1.479028321072883</v>
      </c>
      <c r="D71" s="26">
        <f t="shared" si="66"/>
        <v>0.10576515599325156</v>
      </c>
      <c r="E71" s="26">
        <f t="shared" si="67"/>
        <v>1.8406477015429659E-2</v>
      </c>
      <c r="F71" s="77">
        <f t="shared" si="68"/>
        <v>2.3856666528510377</v>
      </c>
      <c r="G71" s="77">
        <f t="shared" si="69"/>
        <v>0.52653656995185016</v>
      </c>
      <c r="H71" s="75">
        <f t="shared" si="70"/>
        <v>0.11782545459330726</v>
      </c>
      <c r="I71" s="75">
        <f t="shared" si="71"/>
        <v>0.31710905446890025</v>
      </c>
      <c r="J71" s="77">
        <f t="shared" si="72"/>
        <v>-1.2323674710682403E-2</v>
      </c>
      <c r="K71" s="77">
        <f t="shared" si="73"/>
        <v>-0.66941582046851333</v>
      </c>
      <c r="L71" s="91">
        <f t="shared" si="74"/>
        <v>0.66952924779423006</v>
      </c>
      <c r="M71" s="93"/>
      <c r="N71" s="75">
        <f t="shared" si="75"/>
        <v>-2.301584189901007E-8</v>
      </c>
      <c r="O71" s="75">
        <f t="shared" si="61"/>
        <v>1.6269682323736989E-2</v>
      </c>
      <c r="P71" s="109">
        <f t="shared" si="62"/>
        <v>1.840751793604568E-2</v>
      </c>
      <c r="Q71" s="18"/>
      <c r="AF71" s="7"/>
      <c r="AG71" s="7"/>
      <c r="AH71" s="7"/>
      <c r="AI71" s="7"/>
      <c r="AJ71" s="7"/>
      <c r="AK71" s="7"/>
      <c r="AL71" s="7"/>
      <c r="AM71" s="7"/>
      <c r="AN71" s="7"/>
      <c r="AR71" s="28"/>
      <c r="AS71" s="7"/>
      <c r="AT71" s="144"/>
      <c r="AU71" s="144"/>
      <c r="AV71" s="144"/>
      <c r="AW71" s="144"/>
      <c r="AX71" s="144"/>
      <c r="AY71" s="144"/>
      <c r="AZ71" s="7"/>
    </row>
    <row r="72" spans="1:52">
      <c r="A72" s="19">
        <f t="shared" si="63"/>
        <v>1.840751793604568E-2</v>
      </c>
      <c r="B72" s="26">
        <f t="shared" si="64"/>
        <v>0.99983058642542644</v>
      </c>
      <c r="C72" s="26">
        <f t="shared" si="65"/>
        <v>1.4790283210468445</v>
      </c>
      <c r="D72" s="26">
        <f t="shared" si="66"/>
        <v>0.10576515988848834</v>
      </c>
      <c r="E72" s="26">
        <f t="shared" si="67"/>
        <v>1.8406478429834051E-2</v>
      </c>
      <c r="F72" s="77">
        <f t="shared" si="68"/>
        <v>2.3856665573498326</v>
      </c>
      <c r="G72" s="77">
        <f t="shared" si="69"/>
        <v>0.52653653366254716</v>
      </c>
      <c r="H72" s="75">
        <f t="shared" si="70"/>
        <v>0.11782545504052483</v>
      </c>
      <c r="I72" s="75">
        <f t="shared" si="71"/>
        <v>0.31710907876153316</v>
      </c>
      <c r="J72" s="77">
        <f t="shared" si="72"/>
        <v>-1.23236751645524E-2</v>
      </c>
      <c r="K72" s="77">
        <f t="shared" si="73"/>
        <v>-0.66941579366531656</v>
      </c>
      <c r="L72" s="91">
        <f t="shared" si="74"/>
        <v>0.66952922100392831</v>
      </c>
      <c r="M72" s="93"/>
      <c r="N72" s="75">
        <f t="shared" si="75"/>
        <v>1.2767910062549959E-9</v>
      </c>
      <c r="O72" s="75">
        <f t="shared" si="61"/>
        <v>1.6269704129460993E-2</v>
      </c>
      <c r="P72" s="109">
        <f t="shared" si="62"/>
        <v>1.8407517857569076E-2</v>
      </c>
      <c r="Q72" s="18"/>
      <c r="AF72" s="7"/>
      <c r="AG72" s="7"/>
      <c r="AH72" s="7"/>
      <c r="AI72" s="7"/>
      <c r="AJ72" s="7"/>
      <c r="AK72" s="7"/>
      <c r="AL72" s="7"/>
      <c r="AM72" s="7"/>
      <c r="AN72" s="7"/>
      <c r="AR72" s="28"/>
      <c r="AS72" s="7"/>
      <c r="AT72" s="144"/>
      <c r="AU72" s="144"/>
      <c r="AV72" s="144"/>
      <c r="AW72" s="144"/>
      <c r="AX72" s="144"/>
      <c r="AY72" s="144"/>
      <c r="AZ72" s="7"/>
    </row>
    <row r="73" spans="1:52">
      <c r="A73" s="19">
        <f t="shared" si="63"/>
        <v>1.8407517857569076E-2</v>
      </c>
      <c r="B73" s="26">
        <f t="shared" si="64"/>
        <v>0.99983058642687084</v>
      </c>
      <c r="C73" s="26">
        <f t="shared" si="65"/>
        <v>1.4790283210482889</v>
      </c>
      <c r="D73" s="26">
        <f t="shared" si="66"/>
        <v>0.10576515967240223</v>
      </c>
      <c r="E73" s="26">
        <f t="shared" si="67"/>
        <v>1.8406478351370742E-2</v>
      </c>
      <c r="F73" s="77">
        <f t="shared" si="68"/>
        <v>2.3856665626477098</v>
      </c>
      <c r="G73" s="77">
        <f t="shared" si="69"/>
        <v>0.52653653567567649</v>
      </c>
      <c r="H73" s="81">
        <f t="shared" si="70"/>
        <v>0.11782545501571567</v>
      </c>
      <c r="I73" s="81">
        <f t="shared" si="71"/>
        <v>0.31710907741391259</v>
      </c>
      <c r="J73" s="80">
        <f t="shared" si="72"/>
        <v>-1.2323675139374215E-2</v>
      </c>
      <c r="K73" s="80">
        <f t="shared" si="73"/>
        <v>-0.66941579515220928</v>
      </c>
      <c r="L73" s="91">
        <f t="shared" si="74"/>
        <v>0.66952922249010571</v>
      </c>
      <c r="M73" s="93"/>
      <c r="N73" s="75">
        <f t="shared" si="75"/>
        <v>-7.0829564435825887E-11</v>
      </c>
      <c r="O73" s="75">
        <f t="shared" si="61"/>
        <v>1.6269702919800566E-2</v>
      </c>
      <c r="P73" s="109">
        <f t="shared" si="62"/>
        <v>1.8407517861922542E-2</v>
      </c>
      <c r="Q73" s="18"/>
      <c r="AF73" s="7"/>
      <c r="AG73" s="7"/>
      <c r="AH73" s="7"/>
      <c r="AI73" s="7"/>
      <c r="AJ73" s="7"/>
      <c r="AK73" s="7"/>
      <c r="AL73" s="7"/>
      <c r="AM73" s="7"/>
      <c r="AN73" s="7"/>
      <c r="AR73" s="28"/>
      <c r="AS73" s="7"/>
      <c r="AT73" s="144"/>
      <c r="AU73" s="144"/>
      <c r="AV73" s="144"/>
      <c r="AW73" s="144"/>
      <c r="AX73" s="144"/>
      <c r="AY73" s="144"/>
      <c r="AZ73" s="7"/>
    </row>
    <row r="74" spans="1:52">
      <c r="A74" s="88" t="s">
        <v>60</v>
      </c>
      <c r="B74" s="8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18"/>
      <c r="AF74" s="7"/>
      <c r="AG74" s="7"/>
      <c r="AH74" s="7"/>
      <c r="AI74" s="7"/>
      <c r="AJ74" s="7"/>
      <c r="AK74" s="7"/>
      <c r="AL74" s="7"/>
      <c r="AM74" s="7"/>
      <c r="AN74" s="7"/>
      <c r="AR74" s="28"/>
      <c r="AS74" s="7"/>
      <c r="AT74" s="144"/>
      <c r="AU74" s="144"/>
      <c r="AV74" s="144"/>
      <c r="AW74" s="144"/>
      <c r="AX74" s="144"/>
      <c r="AY74" s="144"/>
      <c r="AZ74" s="7"/>
    </row>
    <row r="75" spans="1:52">
      <c r="A75" s="26" t="s">
        <v>11</v>
      </c>
      <c r="B75" s="26" t="s">
        <v>13</v>
      </c>
      <c r="C75" s="26" t="s">
        <v>22</v>
      </c>
      <c r="D75" s="26" t="s">
        <v>18</v>
      </c>
      <c r="E75" s="26" t="s">
        <v>19</v>
      </c>
      <c r="F75" s="26" t="s">
        <v>20</v>
      </c>
      <c r="G75" s="26" t="s">
        <v>2</v>
      </c>
      <c r="H75" s="26" t="s">
        <v>1</v>
      </c>
      <c r="I75" s="26" t="s">
        <v>0</v>
      </c>
      <c r="J75" s="76" t="s">
        <v>3</v>
      </c>
      <c r="K75" s="76" t="s">
        <v>4</v>
      </c>
      <c r="L75" s="44" t="s">
        <v>7</v>
      </c>
      <c r="M75" s="28"/>
      <c r="N75" s="28"/>
      <c r="O75" s="28"/>
      <c r="P75" s="31"/>
      <c r="Q75" s="18"/>
      <c r="T75" s="28"/>
      <c r="U75" s="28"/>
      <c r="AF75" s="7"/>
      <c r="AG75" s="7"/>
      <c r="AH75" s="7"/>
      <c r="AI75" s="7"/>
      <c r="AJ75" s="7"/>
      <c r="AK75" s="7"/>
      <c r="AL75" s="7"/>
      <c r="AM75" s="7"/>
      <c r="AN75" s="7"/>
      <c r="AR75" s="28"/>
      <c r="AS75" s="7"/>
      <c r="AT75" s="144"/>
      <c r="AU75" s="144"/>
      <c r="AV75" s="144"/>
      <c r="AW75" s="144"/>
      <c r="AX75" s="144"/>
      <c r="AY75" s="144"/>
      <c r="AZ75" s="7"/>
    </row>
    <row r="76" spans="1:52">
      <c r="A76" s="19">
        <f>$E60</f>
        <v>9.750856036166089E-2</v>
      </c>
      <c r="B76" s="26">
        <f t="shared" ref="B76:B81" si="76">COS(A76)</f>
        <v>0.99524980582328204</v>
      </c>
      <c r="C76" s="26">
        <f t="shared" ref="C76:C81" si="77">($C$60+B76)</f>
        <v>1.4744475404447002</v>
      </c>
      <c r="D76" s="26">
        <f t="shared" ref="D76:D81" si="78">POWER(TAN(A76/2),$C$60)</f>
        <v>0.23521427015363028</v>
      </c>
      <c r="E76" s="26">
        <f t="shared" ref="E76:E81" si="79">SIN(A76)</f>
        <v>9.7354116547372138E-2</v>
      </c>
      <c r="F76" s="77">
        <f t="shared" ref="F76:F81" si="80">(C76*$H$60*D76/E76/$I$60/$J$60)</f>
        <v>1.0000000000000002</v>
      </c>
      <c r="G76" s="77">
        <f t="shared" ref="G76:G81" si="81">$D$60*($C$60+$G$60)/9.81/SIN($C$57)/(1-$C$60*$C$60)*(F76-1)</f>
        <v>8.4374264483442292E-17</v>
      </c>
      <c r="H76" s="99">
        <f t="shared" ref="H76:H81" si="82">-(-$H$57+$K$60*((POWER(TAN(A76/2),2*$C$60-1)/(2*$C$60-1))+(POWER(TAN(A76/2),2*$C$60+1)/(2*$C$60+1))-(POWER(TAN($E$60/2),2*$C$60-1)/(2*$C$60-1))-(POWER(TAN($E$60/2),2*$C$60+1)/(2*$C$60+1))))</f>
        <v>0.12720754865506584</v>
      </c>
      <c r="I76" s="99">
        <f t="shared" ref="I76:I81" si="83">-(-$I$57+0.5*$K$60*((POWER(TAN(A76/2),2*$C$60-2)/(2*$C$60-2))-(POWER(TAN(A76/2),2*$C$60+2)/(2*$C$60+2))-(POWER(TAN($E$60/2),2*$C$60-2)/(2*$C$60-2))+(POWER(TAN($E$60/2),2*$C$60+2)/(2*$C$60+2))))</f>
        <v>0.56716007517016531</v>
      </c>
      <c r="J76" s="77">
        <f t="shared" ref="J76:J81" si="84">-$D$60*SIN(A76)*($C$60+$G$60)/($C$60+B76)*F76</f>
        <v>-2.7406986029206708E-2</v>
      </c>
      <c r="K76" s="77">
        <f t="shared" ref="K76:K81" si="85">-$D$60*COS(A76)*($C$60+$G$60)/($C$60+B76)*F76</f>
        <v>-0.28018124442120113</v>
      </c>
      <c r="L76" s="91">
        <f t="shared" ref="L76:L81" si="86">SQRT(J76*J76+K76*K76)</f>
        <v>0.28151851201762551</v>
      </c>
      <c r="M76" s="28"/>
      <c r="N76" s="28"/>
      <c r="O76" s="28"/>
      <c r="P76" s="31"/>
      <c r="Q76" s="18"/>
      <c r="AF76" s="7"/>
      <c r="AG76" s="7"/>
      <c r="AH76" s="7"/>
      <c r="AI76" s="7"/>
      <c r="AJ76" s="7"/>
      <c r="AK76" s="7"/>
      <c r="AL76" s="7"/>
      <c r="AM76" s="7"/>
      <c r="AN76" s="7"/>
      <c r="AR76" s="28"/>
      <c r="AS76" s="7"/>
      <c r="AT76" s="144"/>
      <c r="AU76" s="144"/>
      <c r="AV76" s="144"/>
      <c r="AW76" s="144"/>
      <c r="AX76" s="144"/>
      <c r="AY76" s="144"/>
      <c r="AZ76" s="7"/>
    </row>
    <row r="77" spans="1:52">
      <c r="A77" s="20">
        <f>A76-$F$60</f>
        <v>8.1708351860842521E-2</v>
      </c>
      <c r="B77" s="26">
        <f t="shared" si="76"/>
        <v>0.9966637293872439</v>
      </c>
      <c r="C77" s="26">
        <f t="shared" si="77"/>
        <v>1.4758614640086618</v>
      </c>
      <c r="D77" s="26">
        <f t="shared" si="78"/>
        <v>0.2160844349977801</v>
      </c>
      <c r="E77" s="26">
        <f t="shared" si="79"/>
        <v>8.1617464576588902E-2</v>
      </c>
      <c r="F77" s="77">
        <f t="shared" si="80"/>
        <v>1.0968501702631734</v>
      </c>
      <c r="G77" s="77">
        <f t="shared" si="81"/>
        <v>3.6801893402500833E-2</v>
      </c>
      <c r="H77" s="99">
        <f t="shared" si="82"/>
        <v>0.12624114022632499</v>
      </c>
      <c r="I77" s="99">
        <f t="shared" si="83"/>
        <v>0.55634683762830262</v>
      </c>
      <c r="J77" s="77">
        <f t="shared" si="84"/>
        <v>-2.5177992335435599E-2</v>
      </c>
      <c r="K77" s="77">
        <f t="shared" si="85"/>
        <v>-0.30745860423011268</v>
      </c>
      <c r="L77" s="91">
        <f t="shared" si="86"/>
        <v>0.30848780302172779</v>
      </c>
      <c r="M77" s="28"/>
      <c r="N77" s="28"/>
      <c r="O77" s="28"/>
      <c r="P77" s="31"/>
      <c r="Q77" s="18"/>
      <c r="AF77" s="7"/>
      <c r="AG77" s="7"/>
      <c r="AH77" s="7"/>
      <c r="AI77" s="7"/>
      <c r="AJ77" s="7"/>
      <c r="AK77" s="7"/>
      <c r="AL77" s="7"/>
      <c r="AM77" s="7"/>
      <c r="AN77" s="7"/>
      <c r="AR77" s="28"/>
      <c r="AS77" s="7"/>
      <c r="AT77" s="144"/>
      <c r="AU77" s="144"/>
      <c r="AV77" s="144"/>
      <c r="AW77" s="144"/>
      <c r="AX77" s="144"/>
      <c r="AY77" s="144"/>
      <c r="AZ77" s="7"/>
    </row>
    <row r="78" spans="1:52">
      <c r="A78" s="20">
        <f>A77-$F$60</f>
        <v>6.5908143360024152E-2</v>
      </c>
      <c r="B78" s="26">
        <f t="shared" si="76"/>
        <v>0.99782884442736153</v>
      </c>
      <c r="C78" s="26">
        <f t="shared" si="77"/>
        <v>1.4770265790487795</v>
      </c>
      <c r="D78" s="26">
        <f t="shared" si="78"/>
        <v>0.19492194826813708</v>
      </c>
      <c r="E78" s="26">
        <f t="shared" si="79"/>
        <v>6.5860437508084707E-2</v>
      </c>
      <c r="F78" s="77">
        <f t="shared" si="80"/>
        <v>1.2271164303534083</v>
      </c>
      <c r="G78" s="77">
        <f t="shared" si="81"/>
        <v>8.6301496808011552E-2</v>
      </c>
      <c r="H78" s="99">
        <f t="shared" si="82"/>
        <v>0.12505804958604641</v>
      </c>
      <c r="I78" s="99">
        <f t="shared" si="83"/>
        <v>0.54022063015558763</v>
      </c>
      <c r="J78" s="77">
        <f t="shared" si="84"/>
        <v>-2.2712155642093095E-2</v>
      </c>
      <c r="K78" s="77">
        <f t="shared" si="85"/>
        <v>-0.34410406119792558</v>
      </c>
      <c r="L78" s="91">
        <f t="shared" si="86"/>
        <v>0.34485279025522814</v>
      </c>
      <c r="M78" s="45"/>
      <c r="N78" s="28"/>
      <c r="O78" s="28"/>
      <c r="P78" s="31"/>
      <c r="Q78" s="18"/>
      <c r="AF78" s="7"/>
      <c r="AG78" s="7"/>
      <c r="AH78" s="7"/>
      <c r="AI78" s="7"/>
      <c r="AJ78" s="7"/>
      <c r="AK78" s="7"/>
      <c r="AL78" s="7"/>
      <c r="AM78" s="7"/>
      <c r="AN78" s="7"/>
      <c r="AR78" s="28"/>
      <c r="AS78" s="7"/>
      <c r="AT78" s="144"/>
      <c r="AU78" s="144"/>
      <c r="AV78" s="144"/>
      <c r="AW78" s="144"/>
      <c r="AX78" s="144"/>
      <c r="AY78" s="144"/>
      <c r="AZ78" s="7"/>
    </row>
    <row r="79" spans="1:52">
      <c r="A79" s="20">
        <f>A78-$F$60</f>
        <v>5.010793485920579E-2</v>
      </c>
      <c r="B79" s="26">
        <f t="shared" si="76"/>
        <v>0.99874486008269103</v>
      </c>
      <c r="C79" s="26">
        <f t="shared" si="77"/>
        <v>1.4779425947041092</v>
      </c>
      <c r="D79" s="26">
        <f t="shared" si="78"/>
        <v>0.17091839291785291</v>
      </c>
      <c r="E79" s="26">
        <f t="shared" si="79"/>
        <v>5.0086968948079486E-2</v>
      </c>
      <c r="F79" s="77">
        <f t="shared" si="80"/>
        <v>1.415738178924504</v>
      </c>
      <c r="G79" s="77">
        <f t="shared" si="81"/>
        <v>0.15797548009006557</v>
      </c>
      <c r="H79" s="99">
        <f t="shared" si="82"/>
        <v>0.12353498124636612</v>
      </c>
      <c r="I79" s="99">
        <f t="shared" si="83"/>
        <v>0.51365730730100168</v>
      </c>
      <c r="J79" s="77">
        <f t="shared" si="84"/>
        <v>-1.9915279816035254E-2</v>
      </c>
      <c r="K79" s="77">
        <f t="shared" si="85"/>
        <v>-0.3971149337064534</v>
      </c>
      <c r="L79" s="91">
        <f t="shared" si="86"/>
        <v>0.39761399490313698</v>
      </c>
      <c r="M79" s="45"/>
      <c r="N79" s="28"/>
      <c r="O79" s="28"/>
      <c r="P79" s="31"/>
      <c r="Q79" s="18"/>
      <c r="AF79" s="7"/>
      <c r="AG79" s="7"/>
      <c r="AH79" s="7"/>
      <c r="AI79" s="7"/>
      <c r="AJ79" s="7"/>
      <c r="AK79" s="7"/>
      <c r="AL79" s="7"/>
      <c r="AM79" s="7"/>
      <c r="AN79" s="7"/>
      <c r="AR79" s="28"/>
      <c r="AS79" s="7"/>
      <c r="AT79" s="144"/>
      <c r="AU79" s="144"/>
      <c r="AV79" s="144"/>
      <c r="AW79" s="144"/>
      <c r="AX79" s="144"/>
      <c r="AY79" s="144"/>
      <c r="AZ79" s="7"/>
    </row>
    <row r="80" spans="1:52">
      <c r="A80" s="20">
        <f>A79-$F$60</f>
        <v>3.4307726358387428E-2</v>
      </c>
      <c r="B80" s="26">
        <f t="shared" si="76"/>
        <v>0.99941154767780627</v>
      </c>
      <c r="C80" s="26">
        <f t="shared" si="77"/>
        <v>1.4786092822992243</v>
      </c>
      <c r="D80" s="26">
        <f t="shared" si="78"/>
        <v>0.14253799859963961</v>
      </c>
      <c r="E80" s="26">
        <f t="shared" si="79"/>
        <v>3.4300996607270019E-2</v>
      </c>
      <c r="F80" s="77">
        <f t="shared" si="80"/>
        <v>1.724799726429233</v>
      </c>
      <c r="G80" s="77">
        <f t="shared" si="81"/>
        <v>0.27541513037848514</v>
      </c>
      <c r="H80" s="99">
        <f t="shared" si="82"/>
        <v>0.12140255379819426</v>
      </c>
      <c r="I80" s="99">
        <f t="shared" si="83"/>
        <v>0.46192308115429237</v>
      </c>
      <c r="J80" s="77">
        <f t="shared" si="84"/>
        <v>-1.6608418076419645E-2</v>
      </c>
      <c r="K80" s="77">
        <f t="shared" si="85"/>
        <v>-0.48391144444813494</v>
      </c>
      <c r="L80" s="91">
        <f t="shared" si="86"/>
        <v>0.48419637092700474</v>
      </c>
      <c r="M80" s="45"/>
      <c r="N80" s="28"/>
      <c r="O80" s="28"/>
      <c r="P80" s="89"/>
      <c r="Q80" s="18"/>
      <c r="AF80" s="7"/>
      <c r="AG80" s="7"/>
      <c r="AH80" s="7"/>
      <c r="AI80" s="7"/>
      <c r="AJ80" s="7"/>
      <c r="AK80" s="7"/>
      <c r="AL80" s="7"/>
      <c r="AM80" s="7"/>
      <c r="AN80" s="7"/>
      <c r="AR80" s="28"/>
      <c r="AS80" s="7"/>
      <c r="AT80" s="144"/>
      <c r="AU80" s="144"/>
      <c r="AV80" s="144"/>
      <c r="AW80" s="144"/>
      <c r="AX80" s="144"/>
      <c r="AY80" s="144"/>
      <c r="AZ80" s="7"/>
    </row>
    <row r="81" spans="1:52">
      <c r="A81" s="20">
        <f>A80-$F$60</f>
        <v>1.8507517857569065E-2</v>
      </c>
      <c r="B81" s="26">
        <f t="shared" si="76"/>
        <v>0.99982874077988593</v>
      </c>
      <c r="C81" s="26">
        <f t="shared" si="77"/>
        <v>1.4790264754013038</v>
      </c>
      <c r="D81" s="26">
        <f t="shared" si="78"/>
        <v>0.10604012233682819</v>
      </c>
      <c r="E81" s="26">
        <f t="shared" si="79"/>
        <v>1.8506461317814388E-2</v>
      </c>
      <c r="F81" s="77">
        <f t="shared" si="80"/>
        <v>2.3789434192422747</v>
      </c>
      <c r="G81" s="77">
        <f t="shared" si="81"/>
        <v>0.52398182249072056</v>
      </c>
      <c r="H81" s="99">
        <f t="shared" si="82"/>
        <v>0.11785697935864219</v>
      </c>
      <c r="I81" s="99">
        <f t="shared" si="83"/>
        <v>0.31881683251964565</v>
      </c>
      <c r="J81" s="77">
        <f t="shared" si="84"/>
        <v>-1.2355713577762982E-2</v>
      </c>
      <c r="K81" s="77">
        <f t="shared" si="85"/>
        <v>-0.667528888194313</v>
      </c>
      <c r="L81" s="91">
        <f t="shared" si="86"/>
        <v>0.66764322825289801</v>
      </c>
      <c r="M81" s="45"/>
      <c r="N81" s="28"/>
      <c r="O81" s="28"/>
      <c r="P81" s="28"/>
      <c r="Q81" s="18"/>
      <c r="AF81" s="7"/>
      <c r="AG81" s="7"/>
      <c r="AH81" s="7"/>
      <c r="AI81" s="7"/>
      <c r="AJ81" s="7"/>
      <c r="AK81" s="7"/>
      <c r="AL81" s="7"/>
      <c r="AM81" s="7"/>
      <c r="AN81" s="7"/>
      <c r="AR81" s="28"/>
      <c r="AS81" s="7"/>
      <c r="AT81" s="144"/>
      <c r="AU81" s="144"/>
      <c r="AV81" s="144"/>
      <c r="AW81" s="144"/>
      <c r="AX81" s="144"/>
      <c r="AY81" s="144"/>
      <c r="AZ81" s="7"/>
    </row>
    <row r="82" spans="1:52">
      <c r="A82" s="142"/>
      <c r="B82" s="142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AF82" s="7"/>
      <c r="AG82" s="7"/>
      <c r="AH82" s="7"/>
      <c r="AI82" s="7"/>
      <c r="AJ82" s="7"/>
      <c r="AK82" s="7"/>
      <c r="AL82" s="7"/>
      <c r="AM82" s="7"/>
      <c r="AN82" s="7"/>
      <c r="AR82" s="28"/>
      <c r="AS82" s="7"/>
      <c r="AT82" s="144"/>
      <c r="AU82" s="144"/>
      <c r="AV82" s="144"/>
      <c r="AW82" s="144"/>
      <c r="AX82" s="144"/>
      <c r="AY82" s="144"/>
      <c r="AZ82" s="7"/>
    </row>
    <row r="83" spans="1:52">
      <c r="A83" s="88" t="s">
        <v>73</v>
      </c>
      <c r="B83" s="88"/>
      <c r="C83" s="23" t="str">
        <f>CONCATENATE("m",Stufengrün!Z49)</f>
        <v>m1</v>
      </c>
      <c r="D83" s="23" t="s">
        <v>30</v>
      </c>
      <c r="E83" s="28"/>
      <c r="F83" s="28"/>
      <c r="G83" s="28"/>
      <c r="H83" s="36" t="s">
        <v>57</v>
      </c>
      <c r="I83" s="36" t="s">
        <v>51</v>
      </c>
      <c r="J83" s="36" t="s">
        <v>58</v>
      </c>
      <c r="K83" s="36" t="s">
        <v>59</v>
      </c>
      <c r="L83" s="28"/>
      <c r="M83" s="28"/>
      <c r="N83" s="28"/>
      <c r="O83" s="28"/>
      <c r="P83" s="28"/>
      <c r="AF83" s="7"/>
      <c r="AG83" s="7"/>
      <c r="AH83" s="7"/>
      <c r="AI83" s="7"/>
      <c r="AJ83" s="7"/>
      <c r="AK83" s="7"/>
      <c r="AL83" s="7"/>
      <c r="AM83" s="7"/>
      <c r="AN83" s="7"/>
      <c r="AR83" s="28"/>
      <c r="AS83" s="7"/>
      <c r="AT83" s="144"/>
      <c r="AU83" s="144"/>
      <c r="AV83" s="144"/>
      <c r="AW83" s="144"/>
      <c r="AX83" s="144"/>
      <c r="AY83" s="144"/>
      <c r="AZ83" s="7"/>
    </row>
    <row r="84" spans="1:52">
      <c r="A84" s="88" t="s">
        <v>69</v>
      </c>
      <c r="B84" s="88"/>
      <c r="C84" s="36">
        <f>Stufengrün!AA49</f>
        <v>0.26129405619084795</v>
      </c>
      <c r="D84" s="26">
        <f>Stufengrün!AC48</f>
        <v>0.1392820103511837</v>
      </c>
      <c r="E84" s="28"/>
      <c r="F84" s="28"/>
      <c r="G84" s="28"/>
      <c r="H84" s="78">
        <f>H73</f>
        <v>0.11782545501571567</v>
      </c>
      <c r="I84" s="78">
        <f>I73</f>
        <v>0.31710907741391259</v>
      </c>
      <c r="J84" s="78">
        <f>J73</f>
        <v>-1.2323675139374215E-2</v>
      </c>
      <c r="K84" s="78">
        <f>K73</f>
        <v>-0.66941579515220928</v>
      </c>
      <c r="L84" s="28"/>
      <c r="M84" s="28"/>
      <c r="N84" s="28"/>
      <c r="O84" s="28"/>
      <c r="P84" s="28"/>
      <c r="AF84" s="7"/>
      <c r="AG84" s="7"/>
      <c r="AH84" s="7"/>
      <c r="AI84" s="7"/>
      <c r="AJ84" s="7"/>
      <c r="AK84" s="7"/>
      <c r="AL84" s="7"/>
      <c r="AM84" s="7"/>
      <c r="AN84" s="7"/>
      <c r="AR84" s="28"/>
      <c r="AS84" s="7"/>
      <c r="AT84" s="144"/>
      <c r="AU84" s="144"/>
      <c r="AV84" s="144"/>
      <c r="AW84" s="144"/>
      <c r="AX84" s="144"/>
      <c r="AY84" s="144"/>
      <c r="AZ84" s="7"/>
    </row>
    <row r="85" spans="1:52">
      <c r="A85" s="95"/>
      <c r="B85" s="95"/>
      <c r="C85" s="28"/>
      <c r="D85" s="28"/>
      <c r="E85" s="28"/>
      <c r="F85" s="28"/>
      <c r="G85" s="28"/>
      <c r="H85" s="37" t="s">
        <v>8</v>
      </c>
      <c r="I85" s="37" t="s">
        <v>8</v>
      </c>
      <c r="J85" s="37" t="s">
        <v>9</v>
      </c>
      <c r="K85" s="37" t="s">
        <v>9</v>
      </c>
      <c r="L85" s="28"/>
      <c r="M85" s="28"/>
      <c r="N85" s="28"/>
      <c r="O85" s="28"/>
      <c r="P85" s="28"/>
      <c r="AF85" s="7"/>
      <c r="AG85" s="7"/>
      <c r="AH85" s="7"/>
      <c r="AI85" s="7"/>
      <c r="AJ85" s="7"/>
      <c r="AK85" s="7"/>
      <c r="AL85" s="7"/>
      <c r="AM85" s="7"/>
      <c r="AN85" s="7"/>
      <c r="AR85" s="28"/>
      <c r="AS85" s="7"/>
      <c r="AT85" s="144"/>
      <c r="AU85" s="144"/>
      <c r="AV85" s="144"/>
      <c r="AW85" s="144"/>
      <c r="AX85" s="144"/>
      <c r="AY85" s="144"/>
      <c r="AZ85" s="7"/>
    </row>
    <row r="86" spans="1:52">
      <c r="A86" s="88" t="s">
        <v>68</v>
      </c>
      <c r="B86" s="88"/>
      <c r="C86" s="26" t="s">
        <v>15</v>
      </c>
      <c r="D86" s="26" t="s">
        <v>55</v>
      </c>
      <c r="E86" s="26" t="s">
        <v>12</v>
      </c>
      <c r="F86" s="26" t="s">
        <v>10</v>
      </c>
      <c r="G86" s="26" t="s">
        <v>14</v>
      </c>
      <c r="H86" s="26" t="s">
        <v>21</v>
      </c>
      <c r="I86" s="26" t="s">
        <v>16</v>
      </c>
      <c r="J86" s="26" t="s">
        <v>17</v>
      </c>
      <c r="K86" s="26" t="s">
        <v>23</v>
      </c>
      <c r="L86" s="28"/>
      <c r="M86" s="28"/>
      <c r="N86" s="28"/>
      <c r="O86" s="28"/>
      <c r="P86" s="28"/>
      <c r="AF86" s="7"/>
      <c r="AG86" s="7"/>
      <c r="AH86" s="7"/>
      <c r="AI86" s="7"/>
      <c r="AJ86" s="7"/>
      <c r="AK86" s="7"/>
      <c r="AL86" s="7"/>
      <c r="AM86" s="7"/>
      <c r="AN86" s="7"/>
      <c r="AR86" s="28"/>
      <c r="AS86" s="7"/>
      <c r="AT86" s="144"/>
      <c r="AU86" s="144"/>
      <c r="AV86" s="144"/>
      <c r="AW86" s="144"/>
      <c r="AX86" s="144"/>
      <c r="AY86" s="144"/>
      <c r="AZ86" s="7"/>
    </row>
    <row r="87" spans="1:52">
      <c r="A87" s="28"/>
      <c r="B87" s="28"/>
      <c r="C87" s="23">
        <f>Mü/TAN($C84)</f>
        <v>0.26177261284076359</v>
      </c>
      <c r="D87" s="42">
        <f>SQRT($J84*$J84+$K84*$K84)</f>
        <v>0.66952922249010571</v>
      </c>
      <c r="E87" s="20">
        <f>ATAN($J84/$K84)</f>
        <v>1.8407517857569076E-2</v>
      </c>
      <c r="F87" s="23">
        <f>($E87-A100-0.0001)/5</f>
        <v>1.673889151631527E-3</v>
      </c>
      <c r="G87" s="23">
        <f>COS($E87)</f>
        <v>0.99983058642687084</v>
      </c>
      <c r="H87" s="23">
        <f>SIN($E87)</f>
        <v>1.8406478351370742E-2</v>
      </c>
      <c r="I87" s="23">
        <f>$C87+$G87</f>
        <v>1.2616031992676344</v>
      </c>
      <c r="J87" s="23">
        <f>POWER(TAN($E87/2),$C87)</f>
        <v>0.2931062437218066</v>
      </c>
      <c r="K87" s="23">
        <f>-$D87*$D87*SIN($E87)*SIN($E87)/(2*9.81*SIN($C84)*POWER(TAN($E87/2),2*$C87))</f>
        <v>-3.4878273955692927E-4</v>
      </c>
      <c r="L87" s="28"/>
      <c r="M87" s="28"/>
      <c r="N87" s="28"/>
      <c r="O87" s="28"/>
      <c r="P87" s="28"/>
      <c r="AF87" s="7"/>
      <c r="AG87" s="7"/>
      <c r="AH87" s="7"/>
      <c r="AI87" s="7"/>
      <c r="AJ87" s="7"/>
      <c r="AK87" s="7"/>
      <c r="AL87" s="7"/>
      <c r="AM87" s="7"/>
      <c r="AN87" s="7"/>
      <c r="AR87" s="28"/>
      <c r="AS87" s="7"/>
      <c r="AT87" s="144"/>
      <c r="AU87" s="144"/>
      <c r="AV87" s="144"/>
      <c r="AW87" s="144"/>
      <c r="AX87" s="144"/>
      <c r="AY87" s="144"/>
      <c r="AZ87" s="7"/>
    </row>
    <row r="88" spans="1:52">
      <c r="A88" s="88" t="s">
        <v>70</v>
      </c>
      <c r="B88" s="8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45"/>
      <c r="N88" s="28"/>
      <c r="O88" s="28"/>
      <c r="P88" s="28"/>
      <c r="AF88" s="7"/>
      <c r="AG88" s="7"/>
      <c r="AH88" s="7"/>
      <c r="AI88" s="7"/>
      <c r="AJ88" s="7"/>
      <c r="AK88" s="7"/>
      <c r="AL88" s="7"/>
      <c r="AM88" s="7"/>
      <c r="AN88" s="7"/>
      <c r="AR88" s="28"/>
      <c r="AS88" s="7"/>
      <c r="AT88" s="144"/>
      <c r="AU88" s="144"/>
      <c r="AV88" s="144"/>
      <c r="AW88" s="144"/>
      <c r="AX88" s="144"/>
      <c r="AY88" s="144"/>
      <c r="AZ88" s="7"/>
    </row>
    <row r="89" spans="1:52">
      <c r="A89" s="26" t="s">
        <v>11</v>
      </c>
      <c r="B89" s="26" t="s">
        <v>13</v>
      </c>
      <c r="C89" s="26" t="s">
        <v>22</v>
      </c>
      <c r="D89" s="26" t="s">
        <v>18</v>
      </c>
      <c r="E89" s="26" t="s">
        <v>19</v>
      </c>
      <c r="F89" s="26" t="s">
        <v>20</v>
      </c>
      <c r="G89" s="26" t="s">
        <v>2</v>
      </c>
      <c r="H89" s="26" t="s">
        <v>65</v>
      </c>
      <c r="I89" s="26" t="s">
        <v>66</v>
      </c>
      <c r="J89" s="76" t="s">
        <v>3</v>
      </c>
      <c r="K89" s="76" t="s">
        <v>4</v>
      </c>
      <c r="L89" s="44" t="s">
        <v>7</v>
      </c>
      <c r="M89" s="93"/>
      <c r="N89" s="26" t="s">
        <v>61</v>
      </c>
      <c r="O89" s="26" t="s">
        <v>62</v>
      </c>
      <c r="P89" s="26" t="s">
        <v>63</v>
      </c>
      <c r="AF89" s="7"/>
      <c r="AG89" s="7"/>
      <c r="AH89" s="7"/>
      <c r="AI89" s="7"/>
      <c r="AJ89" s="7"/>
      <c r="AK89" s="7"/>
      <c r="AL89" s="7"/>
      <c r="AM89" s="7"/>
      <c r="AN89" s="7"/>
      <c r="AR89" s="28"/>
      <c r="AS89" s="7"/>
      <c r="AT89" s="144"/>
      <c r="AU89" s="144"/>
      <c r="AV89" s="144"/>
      <c r="AW89" s="144"/>
      <c r="AX89" s="144"/>
      <c r="AY89" s="144"/>
      <c r="AZ89" s="7"/>
    </row>
    <row r="90" spans="1:52">
      <c r="A90" s="19">
        <f>$E87</f>
        <v>1.8407517857569076E-2</v>
      </c>
      <c r="B90" s="26">
        <f>COS(A90)</f>
        <v>0.99983058642687084</v>
      </c>
      <c r="C90" s="26">
        <f>($C$87+B90)</f>
        <v>1.2616031992676344</v>
      </c>
      <c r="D90" s="26">
        <f>POWER(TAN(A90/2),$C$87)</f>
        <v>0.2931062437218066</v>
      </c>
      <c r="E90" s="26">
        <f>SIN(A90)</f>
        <v>1.8406478351370742E-2</v>
      </c>
      <c r="F90" s="77">
        <f>(C90*$H$87*D90/E90/$I$87/$J$87)</f>
        <v>1</v>
      </c>
      <c r="G90" s="77">
        <f>$D$87*($C$87+$G$87)/9.81/SIN($C$84)/(1-$C$87*$C$84)*(F90-1)</f>
        <v>0</v>
      </c>
      <c r="H90" s="75">
        <f>-(-$H$84+$K$87*((POWER(TAN(A90/2),2*$C$87-1)/(2*$C$87-1))+(POWER(TAN(A90/2),2*$C$87+1)/(2*$C$87+1))-(POWER(TAN($E$87/2),2*$C$87-1)/(2*$C$87-1))-(POWER(TAN($E$87/2),2*$C$87+1)/(2*$C$87+1))))</f>
        <v>0.11782545501571567</v>
      </c>
      <c r="I90" s="75">
        <f>-(-$I$84+0.5*$K$87*((POWER(TAN(A90/2),2*$C$87-2)/(2*$C$87-2))-(POWER(TAN(A90/2),2*$C$87+2)/(2*$C$87+2))-(POWER(TAN($E$87/2),2*$C$87-2)/(2*$C$87-2))+(POWER(TAN($E$87/2),2*$C$87+2)/(2*$C$87+2))))</f>
        <v>0.31710907741391259</v>
      </c>
      <c r="J90" s="77">
        <f>-$D$87*SIN(A90)*($C$87+$G$87)/($C$87+B90)*F90</f>
        <v>-1.2323675139374216E-2</v>
      </c>
      <c r="K90" s="77">
        <f>-$D$87*COS(A90)*($C$87+$G$87)/($C$87+B90)*F90</f>
        <v>-0.66941579515220928</v>
      </c>
      <c r="L90" s="91">
        <f>SQRT(J90*J90+K90*K90)</f>
        <v>0.66952922249010571</v>
      </c>
      <c r="M90" s="93"/>
      <c r="N90" s="75">
        <f>-(-$I$84+0.5*$K$87*((POWER(TAN(A90/2),2*$C$87-2)/(2*$C$87-2))-(POWER(TAN(A90/2),2*$C$87+2)/(2*$C$87+2))-(POWER(TAN($E$87/2),2*$C$87-2)/(2*$C$87-2))+(POWER(TAN($E$87/2),2*$C$87+2)/(2*$C$87+2))))-$D$84</f>
        <v>0.17782706706272888</v>
      </c>
      <c r="O90" s="75">
        <f>-(-$I$84+0.5*$K$87*((POWER(TAN((A90+$M$9)/2),2*$C$87-2)/(2*$C$87-2))-(POWER(TAN((A90+$M$9)/2),2*$C$87+2)/(2*$C$87+2))-(POWER(TAN($E$87/2),2*$C$87-2)/(2*$C$87-2))+(POWER(TAN($E$87/2),2*$C$87+2)/(2*$C$87+2))))-$D$84</f>
        <v>0.18682746141673751</v>
      </c>
      <c r="P90" s="109">
        <f>IF(A90-N90/(O90-N90)*$M$9&lt;0,A90*0.5,A90-N90/(O90-N90)*$M$9)</f>
        <v>9.2037589287845382E-3</v>
      </c>
      <c r="R90" s="122"/>
      <c r="AF90" s="7"/>
      <c r="AG90" s="7"/>
      <c r="AH90" s="7"/>
      <c r="AI90" s="7"/>
      <c r="AJ90" s="7"/>
      <c r="AK90" s="7"/>
      <c r="AL90" s="7"/>
      <c r="AM90" s="7"/>
      <c r="AN90" s="7"/>
      <c r="AR90" s="28"/>
      <c r="AS90" s="7"/>
      <c r="AT90" s="144"/>
      <c r="AU90" s="144"/>
      <c r="AV90" s="144"/>
      <c r="AW90" s="144"/>
      <c r="AX90" s="144"/>
      <c r="AY90" s="144"/>
      <c r="AZ90" s="7"/>
    </row>
    <row r="91" spans="1:52">
      <c r="A91" s="19">
        <f>$P90</f>
        <v>9.2037589287845382E-3</v>
      </c>
      <c r="B91" s="26">
        <f>COS(A91)</f>
        <v>0.99995764570977475</v>
      </c>
      <c r="C91" s="26">
        <f>($C$87+B91)</f>
        <v>1.2617302585505383</v>
      </c>
      <c r="D91" s="26">
        <f>POWER(TAN(A91/2),$C$87)</f>
        <v>0.24446756888969021</v>
      </c>
      <c r="E91" s="26">
        <f>SIN(A91)</f>
        <v>9.2036289888586913E-3</v>
      </c>
      <c r="F91" s="77">
        <f>(C91*$H$87*D91/E91/$I$87/$J$87)</f>
        <v>1.668213078274088</v>
      </c>
      <c r="G91" s="77">
        <f>$D$87*($C$87+$G$87)/9.81/SIN($C$84)/(1-$C$87*$C$84)*(F91-1)</f>
        <v>0.23907395917260385</v>
      </c>
      <c r="H91" s="75">
        <f>-(-$H$84+$K$87*((POWER(TAN(A91/2),2*$C$87-1)/(2*$C$87-1))+(POWER(TAN(A91/2),2*$C$87+1)/(2*$C$87+1))-(POWER(TAN($E$87/2),2*$C$87-1)/(2*$C$87-1))-(POWER(TAN($E$87/2),2*$C$87+1)/(2*$C$87+1))))</f>
        <v>0.11515138190003836</v>
      </c>
      <c r="I91" s="75">
        <f>-(-$I$84+0.5*$K$87*((POWER(TAN(A91/2),2*$C$87-2)/(2*$C$87-2))-(POWER(TAN(A91/2),2*$C$87+2)/(2*$C$87+2))-(POWER(TAN($E$87/2),2*$C$87-2)/(2*$C$87-2))+(POWER(TAN($E$87/2),2*$C$87+2)/(2*$C$87+2))))</f>
        <v>0.10356621364623078</v>
      </c>
      <c r="J91" s="77">
        <f>-$D$87*SIN(A91)*($C$87+$G$87)/($C$87+B91)*F91</f>
        <v>-1.0278658219128843E-2</v>
      </c>
      <c r="K91" s="77">
        <f>-$D$87*COS(A91)*($C$87+$G$87)/($C$87+B91)*F91</f>
        <v>-1.1167576274855977</v>
      </c>
      <c r="L91" s="91">
        <f>SQRT(J91*J91+K91*K91)</f>
        <v>1.1168049289656841</v>
      </c>
      <c r="M91" s="93"/>
      <c r="N91" s="75">
        <f>-(-$I$84+0.5*$K$87*((POWER(TAN(A91/2),2*$C$87-2)/(2*$C$87-2))-(POWER(TAN(A91/2),2*$C$87+2)/(2*$C$87+2))-(POWER(TAN($E$87/2),2*$C$87-2)/(2*$C$87-2))+(POWER(TAN($E$87/2),2*$C$87+2)/(2*$C$87+2))))-$D$84</f>
        <v>-3.5715796704952923E-2</v>
      </c>
      <c r="O91" s="75">
        <f t="shared" ref="O91:O100" si="87">-(-$I$84+0.5*$K$87*((POWER(TAN((A91+$M$9)/2),2*$C$87-2)/(2*$C$87-2))-(POWER(TAN((A91+$M$9)/2),2*$C$87+2)/(2*$C$87+2))-(POWER(TAN($E$87/2),2*$C$87-2)/(2*$C$87-2))+(POWER(TAN($E$87/2),2*$C$87+2)/(2*$C$87+2))))-$D$84</f>
        <v>1.13703013982632E-2</v>
      </c>
      <c r="P91" s="109">
        <f t="shared" ref="P91:P100" si="88">IF(A91-N91/(O91-N91)*$M$9&lt;0,A91*0.5,A91-N91/(O91-N91)*$M$9)</f>
        <v>9.9622799815730131E-3</v>
      </c>
      <c r="R91" s="122"/>
      <c r="AF91" s="7"/>
      <c r="AG91" s="7"/>
      <c r="AH91" s="7"/>
      <c r="AI91" s="7"/>
      <c r="AJ91" s="7"/>
      <c r="AK91" s="7"/>
      <c r="AL91" s="7"/>
      <c r="AM91" s="7"/>
      <c r="AN91" s="7"/>
      <c r="AR91" s="28"/>
      <c r="AS91" s="7"/>
      <c r="AT91" s="144"/>
      <c r="AU91" s="144"/>
      <c r="AV91" s="144"/>
      <c r="AW91" s="144"/>
      <c r="AX91" s="144"/>
      <c r="AY91" s="144"/>
      <c r="AZ91" s="7"/>
    </row>
    <row r="92" spans="1:52">
      <c r="A92" s="19">
        <f t="shared" ref="A92:A100" si="89">$P91</f>
        <v>9.9622799815730131E-3</v>
      </c>
      <c r="B92" s="26">
        <f t="shared" ref="B92:B100" si="90">COS(A92)</f>
        <v>0.99995037689919852</v>
      </c>
      <c r="C92" s="26">
        <f t="shared" ref="C92:C100" si="91">($C$87+B92)</f>
        <v>1.2617229897399622</v>
      </c>
      <c r="D92" s="26">
        <f t="shared" ref="D92:D100" si="92">POWER(TAN(A92/2),$C$87)</f>
        <v>0.2495885568728079</v>
      </c>
      <c r="E92" s="26">
        <f t="shared" ref="E92:E100" si="93">SIN(A92)</f>
        <v>9.9621151946199457E-3</v>
      </c>
      <c r="F92" s="77">
        <f t="shared" ref="F92:F100" si="94">(C92*$H$87*D92/E92/$I$87/$J$87)</f>
        <v>1.5734754813884022</v>
      </c>
      <c r="G92" s="77">
        <f t="shared" ref="G92:G100" si="95">$D$87*($C$87+$G$87)/9.81/SIN($C$84)/(1-$C$87*$C$84)*(F92-1)</f>
        <v>0.20517864477908826</v>
      </c>
      <c r="H92" s="75">
        <f t="shared" ref="H92:H100" si="96">-(-$H$84+$K$87*((POWER(TAN(A92/2),2*$C$87-1)/(2*$C$87-1))+(POWER(TAN(A92/2),2*$C$87+1)/(2*$C$87+1))-(POWER(TAN($E$87/2),2*$C$87-1)/(2*$C$87-1))-(POWER(TAN($E$87/2),2*$C$87+1)/(2*$C$87+1))))</f>
        <v>0.1155034284725831</v>
      </c>
      <c r="I92" s="75">
        <f t="shared" ref="I92:I100" si="97">-(-$I$84+0.5*$K$87*((POWER(TAN(A92/2),2*$C$87-2)/(2*$C$87-2))-(POWER(TAN(A92/2),2*$C$87+2)/(2*$C$87+2))-(POWER(TAN($E$87/2),2*$C$87-2)/(2*$C$87-2))+(POWER(TAN($E$87/2),2*$C$87+2)/(2*$C$87+2))))</f>
        <v>0.14034915513897381</v>
      </c>
      <c r="J92" s="77">
        <f t="shared" ref="J92:J100" si="98">-$D$87*SIN(A92)*($C$87+$G$87)/($C$87+B92)*F92</f>
        <v>-1.0493970562855235E-2</v>
      </c>
      <c r="K92" s="77">
        <f t="shared" ref="K92:K100" si="99">-$D$87*COS(A92)*($C$87+$G$87)/($C$87+B92)*F92</f>
        <v>-1.0533355230787922</v>
      </c>
      <c r="L92" s="91">
        <f t="shared" ref="L92:L100" si="100">SQRT(J92*J92+K92*K92)</f>
        <v>1.0533877954475488</v>
      </c>
      <c r="M92" s="93"/>
      <c r="N92" s="75">
        <f t="shared" ref="N92:N100" si="101">-(-$I$84+0.5*$K$87*((POWER(TAN(A92/2),2*$C$87-2)/(2*$C$87-2))-(POWER(TAN(A92/2),2*$C$87+2)/(2*$C$87+2))-(POWER(TAN($E$87/2),2*$C$87-2)/(2*$C$87-2))+(POWER(TAN($E$87/2),2*$C$87+2)/(2*$C$87+2))))-$D$84</f>
        <v>1.067144787790103E-3</v>
      </c>
      <c r="O92" s="75">
        <f t="shared" si="87"/>
        <v>4.012559130444826E-2</v>
      </c>
      <c r="P92" s="109">
        <f t="shared" si="88"/>
        <v>9.9349582398510286E-3</v>
      </c>
      <c r="R92" s="122"/>
      <c r="AF92" s="7"/>
      <c r="AG92" s="7"/>
      <c r="AH92" s="7"/>
      <c r="AI92" s="7"/>
      <c r="AJ92" s="7"/>
      <c r="AK92" s="7"/>
      <c r="AL92" s="7"/>
      <c r="AM92" s="7"/>
      <c r="AN92" s="7"/>
      <c r="AR92" s="28"/>
      <c r="AS92" s="7"/>
      <c r="AT92" s="144"/>
      <c r="AU92" s="144"/>
      <c r="AV92" s="144"/>
      <c r="AW92" s="144"/>
      <c r="AX92" s="144"/>
      <c r="AY92" s="144"/>
      <c r="AZ92" s="7"/>
    </row>
    <row r="93" spans="1:52">
      <c r="A93" s="19">
        <f t="shared" si="89"/>
        <v>9.9349582398510286E-3</v>
      </c>
      <c r="B93" s="26">
        <f t="shared" si="90"/>
        <v>0.99995064870831651</v>
      </c>
      <c r="C93" s="26">
        <f t="shared" si="91"/>
        <v>1.2617232615490801</v>
      </c>
      <c r="D93" s="26">
        <f t="shared" si="92"/>
        <v>0.24940918853173158</v>
      </c>
      <c r="E93" s="26">
        <f t="shared" si="93"/>
        <v>9.9347948049726565E-3</v>
      </c>
      <c r="F93" s="77">
        <f t="shared" si="94"/>
        <v>1.5766689343286677</v>
      </c>
      <c r="G93" s="77">
        <f t="shared" si="95"/>
        <v>0.20632120164108897</v>
      </c>
      <c r="H93" s="75">
        <f t="shared" si="96"/>
        <v>0.115491441212871</v>
      </c>
      <c r="I93" s="75">
        <f t="shared" si="97"/>
        <v>0.13914427607445537</v>
      </c>
      <c r="J93" s="77">
        <f t="shared" si="98"/>
        <v>-1.0486429006804963E-2</v>
      </c>
      <c r="K93" s="77">
        <f t="shared" si="99"/>
        <v>-1.0554733835810903</v>
      </c>
      <c r="L93" s="91">
        <f t="shared" si="100"/>
        <v>1.0555254751266925</v>
      </c>
      <c r="M93" s="93"/>
      <c r="N93" s="75">
        <f t="shared" si="101"/>
        <v>-1.3773427672833516E-4</v>
      </c>
      <c r="O93" s="75">
        <f t="shared" si="87"/>
        <v>3.9175136018066492E-2</v>
      </c>
      <c r="P93" s="109">
        <f t="shared" si="88"/>
        <v>9.9384617814570093E-3</v>
      </c>
      <c r="R93" s="122"/>
      <c r="AF93" s="7"/>
      <c r="AG93" s="7"/>
      <c r="AH93" s="7"/>
      <c r="AI93" s="7"/>
      <c r="AJ93" s="7"/>
      <c r="AK93" s="7"/>
      <c r="AL93" s="7"/>
      <c r="AM93" s="7"/>
      <c r="AN93" s="7"/>
      <c r="AR93" s="28"/>
      <c r="AS93" s="7"/>
      <c r="AT93" s="144"/>
      <c r="AU93" s="144"/>
      <c r="AV93" s="144"/>
      <c r="AW93" s="144"/>
      <c r="AX93" s="144"/>
      <c r="AY93" s="144"/>
      <c r="AZ93" s="7"/>
    </row>
    <row r="94" spans="1:52">
      <c r="A94" s="19">
        <f t="shared" si="89"/>
        <v>9.9384617814570093E-3</v>
      </c>
      <c r="B94" s="26">
        <f t="shared" si="90"/>
        <v>0.99995061389521256</v>
      </c>
      <c r="C94" s="26">
        <f t="shared" si="91"/>
        <v>1.2617232267359761</v>
      </c>
      <c r="D94" s="26">
        <f t="shared" si="92"/>
        <v>0.24943220976125446</v>
      </c>
      <c r="E94" s="26">
        <f t="shared" si="93"/>
        <v>9.9382981736133528E-3</v>
      </c>
      <c r="F94" s="77">
        <f t="shared" si="94"/>
        <v>1.5762585762871606</v>
      </c>
      <c r="G94" s="77">
        <f t="shared" si="95"/>
        <v>0.20617438332092855</v>
      </c>
      <c r="H94" s="75">
        <f t="shared" si="96"/>
        <v>0.11549298109088156</v>
      </c>
      <c r="I94" s="75">
        <f t="shared" si="97"/>
        <v>0.13929923957509927</v>
      </c>
      <c r="J94" s="77">
        <f t="shared" si="98"/>
        <v>-1.0487396936216311E-2</v>
      </c>
      <c r="K94" s="77">
        <f t="shared" si="99"/>
        <v>-1.0551986689607913</v>
      </c>
      <c r="L94" s="91">
        <f t="shared" si="100"/>
        <v>1.0552507836865714</v>
      </c>
      <c r="M94" s="93"/>
      <c r="N94" s="75">
        <f t="shared" si="101"/>
        <v>1.7229223915560254E-5</v>
      </c>
      <c r="O94" s="75">
        <f t="shared" si="87"/>
        <v>3.9297344156043246E-2</v>
      </c>
      <c r="P94" s="109">
        <f t="shared" si="88"/>
        <v>9.9380231568769808E-3</v>
      </c>
      <c r="R94" s="122"/>
      <c r="AF94" s="7"/>
      <c r="AG94" s="7"/>
      <c r="AH94" s="7"/>
      <c r="AI94" s="7"/>
      <c r="AJ94" s="7"/>
      <c r="AK94" s="7"/>
      <c r="AL94" s="7"/>
      <c r="AM94" s="7"/>
      <c r="AN94" s="7"/>
      <c r="AR94" s="28"/>
      <c r="AS94" s="7"/>
      <c r="AT94" s="144"/>
      <c r="AU94" s="144"/>
      <c r="AV94" s="144"/>
      <c r="AW94" s="144"/>
      <c r="AX94" s="144"/>
      <c r="AY94" s="144"/>
      <c r="AZ94" s="7"/>
    </row>
    <row r="95" spans="1:52">
      <c r="A95" s="19">
        <f t="shared" si="89"/>
        <v>9.9380231568769808E-3</v>
      </c>
      <c r="B95" s="26">
        <f t="shared" si="90"/>
        <v>0.99995061825429821</v>
      </c>
      <c r="C95" s="26">
        <f t="shared" si="91"/>
        <v>1.2617232310950617</v>
      </c>
      <c r="D95" s="26">
        <f t="shared" si="92"/>
        <v>0.2494293279551327</v>
      </c>
      <c r="E95" s="26">
        <f t="shared" si="93"/>
        <v>9.9378595706943271E-3</v>
      </c>
      <c r="F95" s="77">
        <f t="shared" si="94"/>
        <v>1.5763099371386551</v>
      </c>
      <c r="G95" s="77">
        <f t="shared" si="95"/>
        <v>0.20619275925895264</v>
      </c>
      <c r="H95" s="75">
        <f t="shared" si="96"/>
        <v>0.11549278835032073</v>
      </c>
      <c r="I95" s="75">
        <f t="shared" si="97"/>
        <v>0.1392798463860232</v>
      </c>
      <c r="J95" s="77">
        <f t="shared" si="98"/>
        <v>-1.048727577045059E-2</v>
      </c>
      <c r="K95" s="77">
        <f t="shared" si="99"/>
        <v>-1.0552330525367557</v>
      </c>
      <c r="L95" s="91">
        <f t="shared" si="100"/>
        <v>1.0552851643603851</v>
      </c>
      <c r="M95" s="93"/>
      <c r="N95" s="75">
        <f t="shared" si="101"/>
        <v>-2.1639651605065424E-6</v>
      </c>
      <c r="O95" s="75">
        <f t="shared" si="87"/>
        <v>3.9282049662256402E-2</v>
      </c>
      <c r="P95" s="109">
        <f t="shared" si="88"/>
        <v>9.9380782417306836E-3</v>
      </c>
      <c r="R95" s="122"/>
      <c r="AF95" s="7"/>
      <c r="AG95" s="7"/>
      <c r="AH95" s="7"/>
      <c r="AI95" s="7"/>
      <c r="AJ95" s="7"/>
      <c r="AK95" s="7"/>
      <c r="AL95" s="7"/>
      <c r="AM95" s="7"/>
      <c r="AN95" s="7"/>
      <c r="AR95" s="28"/>
      <c r="AS95" s="7"/>
      <c r="AT95" s="144"/>
      <c r="AU95" s="144"/>
      <c r="AV95" s="144"/>
      <c r="AW95" s="144"/>
      <c r="AX95" s="144"/>
      <c r="AY95" s="144"/>
      <c r="AZ95" s="7"/>
    </row>
    <row r="96" spans="1:52">
      <c r="A96" s="19">
        <f t="shared" si="89"/>
        <v>9.9380782417306836E-3</v>
      </c>
      <c r="B96" s="26">
        <f t="shared" si="90"/>
        <v>0.9999506177068711</v>
      </c>
      <c r="C96" s="26">
        <f t="shared" si="91"/>
        <v>1.2617232305476347</v>
      </c>
      <c r="D96" s="26">
        <f t="shared" si="92"/>
        <v>0.24942968987313061</v>
      </c>
      <c r="E96" s="26">
        <f t="shared" si="93"/>
        <v>9.9379146528278291E-3</v>
      </c>
      <c r="F96" s="77">
        <f t="shared" si="94"/>
        <v>1.576303486748021</v>
      </c>
      <c r="G96" s="77">
        <f t="shared" si="95"/>
        <v>0.20619045143158854</v>
      </c>
      <c r="H96" s="75">
        <f t="shared" si="96"/>
        <v>0.11549281255641529</v>
      </c>
      <c r="I96" s="75">
        <f t="shared" si="97"/>
        <v>0.13928228200427425</v>
      </c>
      <c r="J96" s="77">
        <f t="shared" si="98"/>
        <v>-1.048729098732136E-2</v>
      </c>
      <c r="K96" s="77">
        <f t="shared" si="99"/>
        <v>-1.0552287343159752</v>
      </c>
      <c r="L96" s="91">
        <f t="shared" si="100"/>
        <v>1.0552808465040704</v>
      </c>
      <c r="M96" s="93"/>
      <c r="N96" s="75">
        <f t="shared" si="101"/>
        <v>2.7165309054999476E-7</v>
      </c>
      <c r="O96" s="75">
        <f t="shared" si="87"/>
        <v>3.9283970511134109E-2</v>
      </c>
      <c r="P96" s="109">
        <f t="shared" si="88"/>
        <v>9.9380713265699826E-3</v>
      </c>
      <c r="R96" s="122"/>
      <c r="AF96" s="7"/>
      <c r="AG96" s="7"/>
      <c r="AH96" s="7"/>
      <c r="AI96" s="7"/>
      <c r="AJ96" s="7"/>
      <c r="AK96" s="7"/>
      <c r="AL96" s="7"/>
      <c r="AM96" s="7"/>
      <c r="AN96" s="7"/>
      <c r="AR96" s="28"/>
      <c r="AS96" s="7"/>
      <c r="AT96" s="144"/>
      <c r="AU96" s="144"/>
      <c r="AV96" s="144"/>
      <c r="AW96" s="144"/>
      <c r="AX96" s="144"/>
      <c r="AY96" s="144"/>
      <c r="AZ96" s="7"/>
    </row>
    <row r="97" spans="1:52">
      <c r="A97" s="19">
        <f>$P96</f>
        <v>9.9380713265699826E-3</v>
      </c>
      <c r="B97" s="26">
        <f t="shared" si="90"/>
        <v>0.99995061777559335</v>
      </c>
      <c r="C97" s="26">
        <f t="shared" si="91"/>
        <v>1.261723230616357</v>
      </c>
      <c r="D97" s="26">
        <f t="shared" si="92"/>
        <v>0.24942964443928678</v>
      </c>
      <c r="E97" s="26">
        <f t="shared" si="93"/>
        <v>9.9379077380086136E-3</v>
      </c>
      <c r="F97" s="77">
        <f t="shared" si="94"/>
        <v>1.5763042965041867</v>
      </c>
      <c r="G97" s="77">
        <f t="shared" si="95"/>
        <v>0.20619074114697841</v>
      </c>
      <c r="H97" s="75">
        <f t="shared" si="96"/>
        <v>0.11549280951767735</v>
      </c>
      <c r="I97" s="75">
        <f t="shared" si="97"/>
        <v>0.13928197624707581</v>
      </c>
      <c r="J97" s="77">
        <f t="shared" si="98"/>
        <v>-1.048728907705181E-2</v>
      </c>
      <c r="K97" s="77">
        <f t="shared" si="99"/>
        <v>-1.0552292764080904</v>
      </c>
      <c r="L97" s="91">
        <f t="shared" si="100"/>
        <v>1.055281388550432</v>
      </c>
      <c r="M97" s="93"/>
      <c r="N97" s="75">
        <f t="shared" si="101"/>
        <v>-3.4104107898835778E-8</v>
      </c>
      <c r="O97" s="75">
        <f t="shared" si="87"/>
        <v>3.9283729375770071E-2</v>
      </c>
      <c r="P97" s="109">
        <f t="shared" si="88"/>
        <v>9.9380721947176561E-3</v>
      </c>
      <c r="R97" s="122"/>
      <c r="AF97" s="7"/>
      <c r="AG97" s="7"/>
      <c r="AH97" s="7"/>
      <c r="AI97" s="7"/>
      <c r="AJ97" s="7"/>
      <c r="AK97" s="7"/>
      <c r="AL97" s="7"/>
      <c r="AM97" s="7"/>
      <c r="AN97" s="7"/>
      <c r="AR97" s="28"/>
      <c r="AS97" s="7"/>
      <c r="AT97" s="144"/>
      <c r="AU97" s="144"/>
      <c r="AV97" s="144"/>
      <c r="AW97" s="144"/>
      <c r="AX97" s="144"/>
      <c r="AY97" s="144"/>
      <c r="AZ97" s="7"/>
    </row>
    <row r="98" spans="1:52">
      <c r="A98" s="19">
        <f t="shared" si="89"/>
        <v>9.9380721947176561E-3</v>
      </c>
      <c r="B98" s="26">
        <f t="shared" si="90"/>
        <v>0.99995061776696581</v>
      </c>
      <c r="C98" s="26">
        <f t="shared" si="91"/>
        <v>1.2617232306077293</v>
      </c>
      <c r="D98" s="26">
        <f t="shared" si="92"/>
        <v>0.24942965014317367</v>
      </c>
      <c r="E98" s="26">
        <f t="shared" si="93"/>
        <v>9.9379086061134169E-3</v>
      </c>
      <c r="F98" s="77">
        <f t="shared" si="94"/>
        <v>1.5763041948451888</v>
      </c>
      <c r="G98" s="77">
        <f t="shared" si="95"/>
        <v>0.20619070477531809</v>
      </c>
      <c r="H98" s="75">
        <f t="shared" si="96"/>
        <v>0.11549280989916877</v>
      </c>
      <c r="I98" s="75">
        <f t="shared" si="97"/>
        <v>0.13928201463267695</v>
      </c>
      <c r="J98" s="77">
        <f t="shared" si="98"/>
        <v>-1.0487289316872185E-2</v>
      </c>
      <c r="K98" s="77">
        <f t="shared" si="99"/>
        <v>-1.0552292083523676</v>
      </c>
      <c r="L98" s="91">
        <f t="shared" si="100"/>
        <v>1.0552813205004532</v>
      </c>
      <c r="M98" s="93"/>
      <c r="N98" s="75">
        <f t="shared" si="101"/>
        <v>4.2814932432744257E-9</v>
      </c>
      <c r="O98" s="75">
        <f t="shared" si="87"/>
        <v>3.9283759648566063E-2</v>
      </c>
      <c r="P98" s="109">
        <f t="shared" si="88"/>
        <v>9.9380720857287566E-3</v>
      </c>
      <c r="R98" s="122"/>
      <c r="AF98" s="7"/>
      <c r="AG98" s="7"/>
      <c r="AH98" s="7"/>
      <c r="AI98" s="7"/>
      <c r="AJ98" s="7"/>
      <c r="AK98" s="7"/>
      <c r="AL98" s="7"/>
      <c r="AM98" s="7"/>
      <c r="AN98" s="7"/>
      <c r="AR98" s="28"/>
      <c r="AS98" s="7"/>
      <c r="AT98" s="144"/>
      <c r="AU98" s="144"/>
      <c r="AV98" s="144"/>
      <c r="AW98" s="144"/>
      <c r="AX98" s="144"/>
      <c r="AY98" s="144"/>
      <c r="AZ98" s="7"/>
    </row>
    <row r="99" spans="1:52">
      <c r="A99" s="19">
        <f t="shared" si="89"/>
        <v>9.9380720857287566E-3</v>
      </c>
      <c r="B99" s="26">
        <f t="shared" si="90"/>
        <v>0.99995061776804894</v>
      </c>
      <c r="C99" s="26">
        <f t="shared" si="91"/>
        <v>1.2617232306088124</v>
      </c>
      <c r="D99" s="26">
        <f t="shared" si="92"/>
        <v>0.24942964942709694</v>
      </c>
      <c r="E99" s="26">
        <f t="shared" si="93"/>
        <v>9.9379084971298985E-3</v>
      </c>
      <c r="F99" s="77">
        <f t="shared" si="94"/>
        <v>1.576304207607651</v>
      </c>
      <c r="G99" s="77">
        <f t="shared" si="95"/>
        <v>0.20619070934148487</v>
      </c>
      <c r="H99" s="75">
        <f t="shared" si="96"/>
        <v>0.11549280985127562</v>
      </c>
      <c r="I99" s="75">
        <f t="shared" si="97"/>
        <v>0.13928200981367644</v>
      </c>
      <c r="J99" s="77">
        <f t="shared" si="98"/>
        <v>-1.0487289286764682E-2</v>
      </c>
      <c r="K99" s="77">
        <f t="shared" si="99"/>
        <v>-1.0552292168962112</v>
      </c>
      <c r="L99" s="91">
        <f t="shared" si="100"/>
        <v>1.0552813290435756</v>
      </c>
      <c r="M99" s="93"/>
      <c r="N99" s="75">
        <f t="shared" si="101"/>
        <v>-5.3750726092260948E-10</v>
      </c>
      <c r="O99" s="75">
        <f t="shared" si="87"/>
        <v>3.9283755848062402E-2</v>
      </c>
      <c r="P99" s="109">
        <f t="shared" si="88"/>
        <v>9.9380720994114418E-3</v>
      </c>
      <c r="R99" s="122"/>
      <c r="AF99" s="7"/>
      <c r="AG99" s="7"/>
      <c r="AH99" s="7"/>
      <c r="AI99" s="7"/>
      <c r="AJ99" s="7"/>
      <c r="AK99" s="7"/>
      <c r="AL99" s="7"/>
      <c r="AM99" s="7"/>
      <c r="AN99" s="7"/>
      <c r="AR99" s="28"/>
      <c r="AS99" s="7"/>
      <c r="AT99" s="144"/>
      <c r="AU99" s="144"/>
      <c r="AV99" s="144"/>
      <c r="AW99" s="144"/>
      <c r="AX99" s="144"/>
      <c r="AY99" s="144"/>
      <c r="AZ99" s="7"/>
    </row>
    <row r="100" spans="1:52">
      <c r="A100" s="19">
        <f t="shared" si="89"/>
        <v>9.9380720994114418E-3</v>
      </c>
      <c r="B100" s="26">
        <f t="shared" si="90"/>
        <v>0.99995061776791294</v>
      </c>
      <c r="C100" s="26">
        <f t="shared" si="91"/>
        <v>1.2617232306086765</v>
      </c>
      <c r="D100" s="26">
        <f t="shared" si="92"/>
        <v>0.2494296495169947</v>
      </c>
      <c r="E100" s="26">
        <f t="shared" si="93"/>
        <v>9.9379085108119089E-3</v>
      </c>
      <c r="F100" s="77">
        <f t="shared" si="94"/>
        <v>1.576304206005426</v>
      </c>
      <c r="G100" s="77">
        <f t="shared" si="95"/>
        <v>0.20619070876823917</v>
      </c>
      <c r="H100" s="81">
        <f t="shared" si="96"/>
        <v>0.11549280985728823</v>
      </c>
      <c r="I100" s="81">
        <f t="shared" si="97"/>
        <v>0.13928201041866342</v>
      </c>
      <c r="J100" s="80">
        <f t="shared" si="98"/>
        <v>-1.0487289290544443E-2</v>
      </c>
      <c r="K100" s="80">
        <f t="shared" si="99"/>
        <v>-1.0552292158236001</v>
      </c>
      <c r="L100" s="91">
        <f t="shared" si="100"/>
        <v>1.0552813279710551</v>
      </c>
      <c r="M100" s="93"/>
      <c r="N100" s="75">
        <f t="shared" si="101"/>
        <v>6.7479716259200018E-11</v>
      </c>
      <c r="O100" s="75">
        <f t="shared" si="87"/>
        <v>3.9283756325185215E-2</v>
      </c>
      <c r="P100" s="109">
        <f t="shared" si="88"/>
        <v>9.9380720976936909E-3</v>
      </c>
      <c r="R100" s="122"/>
      <c r="AF100" s="7"/>
      <c r="AG100" s="7"/>
      <c r="AH100" s="7"/>
      <c r="AI100" s="7"/>
      <c r="AJ100" s="7"/>
      <c r="AK100" s="7"/>
      <c r="AL100" s="7"/>
      <c r="AM100" s="7"/>
      <c r="AN100" s="7"/>
      <c r="AR100" s="28"/>
      <c r="AS100" s="7"/>
      <c r="AT100" s="144"/>
      <c r="AU100" s="144"/>
      <c r="AV100" s="144"/>
      <c r="AW100" s="144"/>
      <c r="AX100" s="144"/>
      <c r="AY100" s="144"/>
      <c r="AZ100" s="7"/>
    </row>
    <row r="101" spans="1:52">
      <c r="A101" s="88" t="s">
        <v>60</v>
      </c>
      <c r="B101" s="8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AF101" s="7"/>
      <c r="AG101" s="7"/>
      <c r="AH101" s="7"/>
      <c r="AI101" s="7"/>
      <c r="AJ101" s="7"/>
      <c r="AK101" s="7"/>
      <c r="AL101" s="7"/>
      <c r="AM101" s="7"/>
      <c r="AN101" s="7"/>
      <c r="AR101" s="28"/>
      <c r="AS101" s="7"/>
      <c r="AT101" s="144"/>
      <c r="AU101" s="144"/>
      <c r="AV101" s="144"/>
      <c r="AW101" s="144"/>
      <c r="AX101" s="144"/>
      <c r="AY101" s="144"/>
      <c r="AZ101" s="7"/>
    </row>
    <row r="102" spans="1:52">
      <c r="A102" s="26" t="s">
        <v>11</v>
      </c>
      <c r="B102" s="26" t="s">
        <v>13</v>
      </c>
      <c r="C102" s="26" t="s">
        <v>22</v>
      </c>
      <c r="D102" s="26" t="s">
        <v>18</v>
      </c>
      <c r="E102" s="26" t="s">
        <v>19</v>
      </c>
      <c r="F102" s="26" t="s">
        <v>20</v>
      </c>
      <c r="G102" s="26" t="s">
        <v>2</v>
      </c>
      <c r="H102" s="26" t="s">
        <v>1</v>
      </c>
      <c r="I102" s="26" t="s">
        <v>0</v>
      </c>
      <c r="J102" s="76" t="s">
        <v>3</v>
      </c>
      <c r="K102" s="76" t="s">
        <v>4</v>
      </c>
      <c r="L102" s="44" t="s">
        <v>7</v>
      </c>
      <c r="M102" s="28"/>
      <c r="N102" s="28"/>
      <c r="O102" s="28"/>
      <c r="P102" s="31"/>
      <c r="AF102" s="7"/>
      <c r="AG102" s="7"/>
      <c r="AH102" s="7"/>
      <c r="AI102" s="7"/>
      <c r="AJ102" s="7"/>
      <c r="AK102" s="7"/>
      <c r="AL102" s="7"/>
      <c r="AM102" s="7"/>
      <c r="AN102" s="7"/>
      <c r="AR102" s="28"/>
      <c r="AS102" s="7"/>
      <c r="AT102" s="144"/>
      <c r="AU102" s="144"/>
      <c r="AV102" s="144"/>
      <c r="AW102" s="144"/>
      <c r="AX102" s="144"/>
      <c r="AY102" s="144"/>
      <c r="AZ102" s="7"/>
    </row>
    <row r="103" spans="1:52">
      <c r="A103" s="19">
        <f>$E87</f>
        <v>1.8407517857569076E-2</v>
      </c>
      <c r="B103" s="26">
        <f t="shared" ref="B103:B108" si="102">COS(A103)</f>
        <v>0.99983058642687084</v>
      </c>
      <c r="C103" s="26">
        <f t="shared" ref="C103:C108" si="103">($C$87+B103)</f>
        <v>1.2616031992676344</v>
      </c>
      <c r="D103" s="26">
        <f t="shared" ref="D103:D108" si="104">POWER(TAN(A103/2),$C$87)</f>
        <v>0.2931062437218066</v>
      </c>
      <c r="E103" s="26">
        <f t="shared" ref="E103:E108" si="105">SIN(A103)</f>
        <v>1.8406478351370742E-2</v>
      </c>
      <c r="F103" s="77">
        <f t="shared" ref="F103:F108" si="106">(C103*$H$87*D103/E103/$I$87/$J$87)</f>
        <v>1</v>
      </c>
      <c r="G103" s="77">
        <f t="shared" ref="G103:G108" si="107">$D$87*($C$87+$G$87)/9.81/SIN($C$84)/(1-$C$87*$C$84)*(F103-1)</f>
        <v>0</v>
      </c>
      <c r="H103" s="121">
        <f t="shared" ref="H103:H108" si="108">-(-$H$84+$K$87*((POWER(TAN(A103/2),2*$C$87-1)/(2*$C$87-1))+(POWER(TAN(A103/2),2*$C$87+1)/(2*$C$87+1))-(POWER(TAN($E$87/2),2*$C$87-1)/(2*$C$87-1))-(POWER(TAN($E$87/2),2*$C$87+1)/(2*$C$87+1))))</f>
        <v>0.11782545501571567</v>
      </c>
      <c r="I103" s="121">
        <f t="shared" ref="I103:I108" si="109">-(-$I$84+0.5*$K$87*((POWER(TAN(A103/2),2*$C$87-2)/(2*$C$87-2))-(POWER(TAN(A103/2),2*$C$87+2)/(2*$C$87+2))-(POWER(TAN($E$87/2),2*$C$87-2)/(2*$C$87-2))+(POWER(TAN($E$87/2),2*$C$87+2)/(2*$C$87+2))))</f>
        <v>0.31710907741391259</v>
      </c>
      <c r="J103" s="77">
        <f t="shared" ref="J103:J108" si="110">-$D$87*SIN(A103)*($C$87+$G$87)/($C$87+B103)*F103</f>
        <v>-1.2323675139374216E-2</v>
      </c>
      <c r="K103" s="77">
        <f t="shared" ref="K103:K108" si="111">-$D$87*COS(A103)*($C$87+$G$87)/($C$87+B103)*F103</f>
        <v>-0.66941579515220928</v>
      </c>
      <c r="L103" s="91">
        <f t="shared" ref="L103:L108" si="112">SQRT(J103*J103+K103*K103)</f>
        <v>0.66952922249010571</v>
      </c>
      <c r="M103" s="28"/>
      <c r="N103" s="28"/>
      <c r="O103" s="28"/>
      <c r="P103" s="31"/>
      <c r="AF103" s="7"/>
      <c r="AG103" s="7"/>
      <c r="AH103" s="7"/>
      <c r="AI103" s="7"/>
      <c r="AJ103" s="7"/>
      <c r="AK103" s="7"/>
      <c r="AL103" s="7"/>
      <c r="AM103" s="7"/>
      <c r="AN103" s="7"/>
      <c r="AR103" s="28"/>
      <c r="AS103" s="7"/>
      <c r="AT103" s="144"/>
      <c r="AU103" s="144"/>
      <c r="AV103" s="144"/>
      <c r="AW103" s="144"/>
      <c r="AX103" s="144"/>
      <c r="AY103" s="144"/>
      <c r="AZ103" s="7"/>
    </row>
    <row r="104" spans="1:52">
      <c r="A104" s="20">
        <f>A103-$F$87</f>
        <v>1.6733628705937548E-2</v>
      </c>
      <c r="B104" s="26">
        <f t="shared" si="102"/>
        <v>0.99985999610213649</v>
      </c>
      <c r="C104" s="26">
        <f t="shared" si="103"/>
        <v>1.2616326089429002</v>
      </c>
      <c r="D104" s="26">
        <f t="shared" si="104"/>
        <v>0.28588132795876903</v>
      </c>
      <c r="E104" s="26">
        <f t="shared" si="105"/>
        <v>1.6732847774233731E-2</v>
      </c>
      <c r="F104" s="77">
        <f t="shared" si="106"/>
        <v>1.0729307421369492</v>
      </c>
      <c r="G104" s="77">
        <f t="shared" si="107"/>
        <v>2.6093235578554242E-2</v>
      </c>
      <c r="H104" s="121">
        <f t="shared" si="108"/>
        <v>0.11750787391301769</v>
      </c>
      <c r="I104" s="121">
        <f t="shared" si="109"/>
        <v>0.29900241145172363</v>
      </c>
      <c r="J104" s="77">
        <f t="shared" si="110"/>
        <v>-1.2019902986169843E-2</v>
      </c>
      <c r="K104" s="77">
        <f t="shared" si="111"/>
        <v>-0.71824116940848726</v>
      </c>
      <c r="L104" s="91">
        <f t="shared" si="112"/>
        <v>0.71834174005209261</v>
      </c>
      <c r="M104" s="28"/>
      <c r="N104" s="28"/>
      <c r="O104" s="28"/>
      <c r="P104" s="31"/>
      <c r="AF104" s="7"/>
      <c r="AG104" s="7"/>
      <c r="AH104" s="7"/>
      <c r="AI104" s="7"/>
      <c r="AJ104" s="7"/>
      <c r="AK104" s="7"/>
      <c r="AL104" s="7"/>
      <c r="AM104" s="7"/>
      <c r="AN104" s="7"/>
      <c r="AR104" s="28"/>
      <c r="AS104" s="7"/>
      <c r="AT104" s="144"/>
      <c r="AU104" s="144"/>
      <c r="AV104" s="144"/>
      <c r="AW104" s="144"/>
      <c r="AX104" s="144"/>
      <c r="AY104" s="144"/>
      <c r="AZ104" s="7"/>
    </row>
    <row r="105" spans="1:52">
      <c r="A105" s="20">
        <f>A104-$F$87</f>
        <v>1.5059739554306022E-2</v>
      </c>
      <c r="B105" s="26">
        <f t="shared" si="102"/>
        <v>0.99988660426544185</v>
      </c>
      <c r="C105" s="26">
        <f t="shared" si="103"/>
        <v>1.2616592171062053</v>
      </c>
      <c r="D105" s="26">
        <f t="shared" si="104"/>
        <v>0.27810145169112349</v>
      </c>
      <c r="E105" s="26">
        <f t="shared" si="105"/>
        <v>1.5059170313259632E-2</v>
      </c>
      <c r="F105" s="77">
        <f t="shared" si="106"/>
        <v>1.1597573366798621</v>
      </c>
      <c r="G105" s="77">
        <f t="shared" si="107"/>
        <v>5.7158143455640242E-2</v>
      </c>
      <c r="H105" s="121">
        <f t="shared" si="108"/>
        <v>0.11713959719328444</v>
      </c>
      <c r="I105" s="121">
        <f t="shared" si="109"/>
        <v>0.27578432574873546</v>
      </c>
      <c r="J105" s="77">
        <f t="shared" si="110"/>
        <v>-1.16927974747704E-2</v>
      </c>
      <c r="K105" s="77">
        <f t="shared" si="111"/>
        <v>-0.77636890467447217</v>
      </c>
      <c r="L105" s="91">
        <f t="shared" si="112"/>
        <v>0.77645695158084949</v>
      </c>
      <c r="M105" s="45"/>
      <c r="N105" s="28"/>
      <c r="O105" s="28"/>
      <c r="P105" s="31"/>
      <c r="AF105" s="7"/>
      <c r="AG105" s="7"/>
      <c r="AH105" s="7"/>
      <c r="AI105" s="7"/>
      <c r="AJ105" s="7"/>
      <c r="AK105" s="7"/>
      <c r="AL105" s="7"/>
      <c r="AM105" s="7"/>
      <c r="AN105" s="7"/>
      <c r="AR105" s="28"/>
      <c r="AS105" s="7"/>
      <c r="AT105" s="144"/>
      <c r="AU105" s="144"/>
      <c r="AV105" s="144"/>
      <c r="AW105" s="144"/>
      <c r="AX105" s="144"/>
      <c r="AY105" s="144"/>
      <c r="AZ105" s="7"/>
    </row>
    <row r="106" spans="1:52">
      <c r="A106" s="20">
        <f>A105-$F$87</f>
        <v>1.3385850402674496E-2</v>
      </c>
      <c r="B106" s="26">
        <f t="shared" si="102"/>
        <v>0.99991041084223342</v>
      </c>
      <c r="C106" s="26">
        <f t="shared" si="103"/>
        <v>1.261683023682997</v>
      </c>
      <c r="D106" s="26">
        <f t="shared" si="104"/>
        <v>0.26965439871958358</v>
      </c>
      <c r="E106" s="26">
        <f t="shared" si="105"/>
        <v>1.3385450657932417E-2</v>
      </c>
      <c r="F106" s="77">
        <f t="shared" si="106"/>
        <v>1.2651663257979353</v>
      </c>
      <c r="G106" s="77">
        <f t="shared" si="107"/>
        <v>9.4871479486011823E-2</v>
      </c>
      <c r="H106" s="121">
        <f t="shared" si="108"/>
        <v>0.11670539297129306</v>
      </c>
      <c r="I106" s="121">
        <f t="shared" si="109"/>
        <v>0.24517007886586739</v>
      </c>
      <c r="J106" s="77">
        <f t="shared" si="110"/>
        <v>-1.1337640466224564E-2</v>
      </c>
      <c r="K106" s="77">
        <f t="shared" si="111"/>
        <v>-0.84693635098836839</v>
      </c>
      <c r="L106" s="91">
        <f t="shared" si="112"/>
        <v>0.84701223410103943</v>
      </c>
      <c r="M106" s="45"/>
      <c r="N106" s="28"/>
      <c r="O106" s="28"/>
      <c r="P106" s="31"/>
      <c r="AF106" s="7"/>
      <c r="AG106" s="7"/>
      <c r="AH106" s="7"/>
      <c r="AI106" s="7"/>
      <c r="AJ106" s="7"/>
      <c r="AK106" s="7"/>
      <c r="AL106" s="7"/>
      <c r="AM106" s="7"/>
      <c r="AN106" s="7"/>
      <c r="AR106" s="28"/>
      <c r="AS106" s="7"/>
      <c r="AT106" s="144"/>
      <c r="AU106" s="144"/>
      <c r="AV106" s="144"/>
      <c r="AW106" s="144"/>
      <c r="AX106" s="144"/>
      <c r="AY106" s="144"/>
      <c r="AZ106" s="7"/>
    </row>
    <row r="107" spans="1:52">
      <c r="A107" s="20">
        <f>A106-$F$87</f>
        <v>1.1711961251042969E-2</v>
      </c>
      <c r="B107" s="26">
        <f t="shared" si="102"/>
        <v>0.99993141576580757</v>
      </c>
      <c r="C107" s="26">
        <f t="shared" si="103"/>
        <v>1.2617040286065713</v>
      </c>
      <c r="D107" s="26">
        <f t="shared" si="104"/>
        <v>0.26038743414689608</v>
      </c>
      <c r="E107" s="26">
        <f t="shared" si="105"/>
        <v>1.1711693497854281E-2</v>
      </c>
      <c r="F107" s="77">
        <f t="shared" si="106"/>
        <v>1.396306200700965</v>
      </c>
      <c r="G107" s="77">
        <f t="shared" si="107"/>
        <v>0.14179083817238472</v>
      </c>
      <c r="H107" s="121">
        <f t="shared" si="108"/>
        <v>0.11618271193116175</v>
      </c>
      <c r="I107" s="121">
        <f t="shared" si="109"/>
        <v>0.20336715762021393</v>
      </c>
      <c r="J107" s="77">
        <f t="shared" si="110"/>
        <v>-1.0948010209728619E-2</v>
      </c>
      <c r="K107" s="77">
        <f t="shared" si="111"/>
        <v>-0.93472898269051519</v>
      </c>
      <c r="L107" s="91">
        <f t="shared" si="112"/>
        <v>0.93479309475904759</v>
      </c>
      <c r="M107" s="45"/>
      <c r="N107" s="28"/>
      <c r="O107" s="28"/>
      <c r="P107" s="89"/>
      <c r="AF107" s="7"/>
      <c r="AG107" s="7"/>
      <c r="AH107" s="7"/>
      <c r="AI107" s="7"/>
      <c r="AJ107" s="7"/>
      <c r="AK107" s="7"/>
      <c r="AL107" s="7"/>
      <c r="AM107" s="7"/>
      <c r="AN107" s="7"/>
      <c r="AR107" s="28"/>
      <c r="AS107" s="7"/>
      <c r="AT107" s="144"/>
      <c r="AU107" s="144"/>
      <c r="AV107" s="144"/>
      <c r="AW107" s="144"/>
      <c r="AX107" s="144"/>
      <c r="AY107" s="144"/>
      <c r="AZ107" s="7"/>
    </row>
    <row r="108" spans="1:52">
      <c r="A108" s="20">
        <f>A107-$F$87</f>
        <v>1.0038072099411443E-2</v>
      </c>
      <c r="B108" s="26">
        <f t="shared" si="102"/>
        <v>0.99994961897731038</v>
      </c>
      <c r="C108" s="26">
        <f t="shared" si="103"/>
        <v>1.2617222318180739</v>
      </c>
      <c r="D108" s="26">
        <f t="shared" si="104"/>
        <v>0.2500842415478014</v>
      </c>
      <c r="E108" s="26">
        <f t="shared" si="105"/>
        <v>1.00379035227325E-2</v>
      </c>
      <c r="F108" s="77">
        <f t="shared" si="106"/>
        <v>1.564695803283157</v>
      </c>
      <c r="G108" s="77">
        <f t="shared" si="107"/>
        <v>0.20203744255912659</v>
      </c>
      <c r="H108" s="121">
        <f t="shared" si="108"/>
        <v>0.11553642928556652</v>
      </c>
      <c r="I108" s="121">
        <f t="shared" si="109"/>
        <v>0.14364910745829182</v>
      </c>
      <c r="J108" s="77">
        <f t="shared" si="110"/>
        <v>-1.0514811664118105E-2</v>
      </c>
      <c r="K108" s="77">
        <f t="shared" si="111"/>
        <v>-1.0474579570666067</v>
      </c>
      <c r="L108" s="91">
        <f t="shared" si="112"/>
        <v>1.0475107317285495</v>
      </c>
      <c r="M108" s="45"/>
      <c r="N108" s="28"/>
      <c r="O108" s="28"/>
      <c r="P108" s="28"/>
      <c r="W108" s="18"/>
      <c r="X108" s="18"/>
      <c r="Y108" s="18"/>
      <c r="Z108" s="18"/>
      <c r="AA108" s="18"/>
      <c r="AB108" s="18"/>
      <c r="AC108" s="18"/>
      <c r="AD108" s="18"/>
      <c r="AE108" s="18"/>
      <c r="AF108" s="7"/>
      <c r="AG108" s="7"/>
      <c r="AH108" s="7"/>
      <c r="AI108" s="7"/>
      <c r="AJ108" s="7"/>
      <c r="AK108" s="7"/>
      <c r="AL108" s="7"/>
      <c r="AM108" s="7"/>
      <c r="AN108" s="7"/>
      <c r="AR108" s="28"/>
      <c r="AS108" s="7"/>
      <c r="AT108" s="144"/>
      <c r="AU108" s="144"/>
      <c r="AV108" s="144"/>
      <c r="AW108" s="144"/>
      <c r="AX108" s="144"/>
      <c r="AY108" s="144"/>
      <c r="AZ108" s="7"/>
    </row>
    <row r="109" spans="1:52" s="18" customFormat="1">
      <c r="A109" s="142"/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T109"/>
      <c r="U109"/>
      <c r="AF109" s="7"/>
      <c r="AG109" s="7"/>
      <c r="AH109" s="7"/>
      <c r="AI109" s="7"/>
      <c r="AJ109" s="7"/>
      <c r="AK109" s="7"/>
      <c r="AL109" s="7"/>
      <c r="AM109" s="7"/>
      <c r="AN109" s="7"/>
      <c r="AR109" s="92"/>
      <c r="AS109" s="7"/>
      <c r="AT109" s="144"/>
      <c r="AU109" s="144"/>
      <c r="AV109" s="144"/>
      <c r="AW109" s="144"/>
      <c r="AX109" s="144"/>
      <c r="AY109" s="144"/>
      <c r="AZ109" s="7"/>
    </row>
    <row r="110" spans="1:52" s="18" customFormat="1">
      <c r="A110" s="88" t="s">
        <v>73</v>
      </c>
      <c r="B110" s="88"/>
      <c r="C110" s="23" t="str">
        <f>CONCATENATE("m",Stufengrün!Z48)</f>
        <v>m0</v>
      </c>
      <c r="D110" s="23" t="s">
        <v>30</v>
      </c>
      <c r="E110" s="28"/>
      <c r="F110" s="28"/>
      <c r="G110" s="28"/>
      <c r="H110" s="36" t="s">
        <v>57</v>
      </c>
      <c r="I110" s="36" t="s">
        <v>51</v>
      </c>
      <c r="J110" s="36" t="s">
        <v>58</v>
      </c>
      <c r="K110" s="36" t="s">
        <v>59</v>
      </c>
      <c r="L110" s="28"/>
      <c r="M110" s="28"/>
      <c r="N110" s="28"/>
      <c r="O110" s="28"/>
      <c r="P110" s="28"/>
      <c r="T110"/>
      <c r="U110"/>
      <c r="AF110" s="7"/>
      <c r="AG110" s="7"/>
      <c r="AH110" s="7"/>
      <c r="AI110" s="7"/>
      <c r="AJ110" s="7"/>
      <c r="AK110" s="7"/>
      <c r="AL110" s="7"/>
      <c r="AM110" s="7"/>
      <c r="AN110" s="7"/>
      <c r="AR110" s="92"/>
      <c r="AS110" s="7"/>
      <c r="AT110" s="144"/>
      <c r="AU110" s="144"/>
      <c r="AV110" s="144"/>
      <c r="AW110" s="144"/>
      <c r="AX110" s="144"/>
      <c r="AY110" s="144"/>
      <c r="AZ110" s="7"/>
    </row>
    <row r="111" spans="1:52" s="18" customFormat="1">
      <c r="A111" s="88" t="s">
        <v>69</v>
      </c>
      <c r="B111" s="88"/>
      <c r="C111" s="36">
        <f>Stufengrün!AA48</f>
        <v>0.38197186342054879</v>
      </c>
      <c r="D111" s="26">
        <f>Stufengrün!AC47</f>
        <v>-0.1392820103511837</v>
      </c>
      <c r="E111" s="28"/>
      <c r="F111" s="28"/>
      <c r="G111" s="28"/>
      <c r="H111" s="78">
        <f>H100</f>
        <v>0.11549280985728823</v>
      </c>
      <c r="I111" s="78">
        <f>I100</f>
        <v>0.13928201041866342</v>
      </c>
      <c r="J111" s="78">
        <f>J100</f>
        <v>-1.0487289290544443E-2</v>
      </c>
      <c r="K111" s="78">
        <f>K100</f>
        <v>-1.0552292158236001</v>
      </c>
      <c r="L111" s="28"/>
      <c r="M111" s="28"/>
      <c r="N111" s="28"/>
      <c r="O111" s="28"/>
      <c r="P111" s="28"/>
      <c r="T111"/>
      <c r="U111"/>
      <c r="AF111" s="7"/>
      <c r="AG111" s="7"/>
      <c r="AH111" s="7"/>
      <c r="AI111" s="7"/>
      <c r="AJ111" s="7"/>
      <c r="AK111" s="7"/>
      <c r="AL111" s="7"/>
      <c r="AM111" s="7"/>
      <c r="AN111" s="7"/>
      <c r="AR111" s="92"/>
      <c r="AS111" s="7"/>
      <c r="AT111" s="144"/>
      <c r="AU111" s="144"/>
      <c r="AV111" s="144"/>
      <c r="AW111" s="144"/>
      <c r="AX111" s="144"/>
      <c r="AY111" s="144"/>
      <c r="AZ111" s="7"/>
    </row>
    <row r="112" spans="1:52" s="18" customFormat="1">
      <c r="A112" s="95"/>
      <c r="B112" s="95"/>
      <c r="C112" s="28"/>
      <c r="D112" s="28"/>
      <c r="E112" s="28"/>
      <c r="F112" s="28"/>
      <c r="G112" s="28"/>
      <c r="H112" s="37" t="s">
        <v>8</v>
      </c>
      <c r="I112" s="37" t="s">
        <v>8</v>
      </c>
      <c r="J112" s="37" t="s">
        <v>9</v>
      </c>
      <c r="K112" s="37" t="s">
        <v>9</v>
      </c>
      <c r="L112" s="28"/>
      <c r="M112" s="28"/>
      <c r="N112" s="28"/>
      <c r="O112" s="28"/>
      <c r="P112" s="28"/>
      <c r="T112"/>
      <c r="U112"/>
      <c r="AF112" s="7"/>
      <c r="AG112" s="7"/>
      <c r="AH112" s="7"/>
      <c r="AI112" s="7"/>
      <c r="AJ112" s="7"/>
      <c r="AK112" s="7"/>
      <c r="AL112" s="7"/>
      <c r="AM112" s="7"/>
      <c r="AN112" s="7"/>
      <c r="AR112" s="92"/>
      <c r="AS112" s="7"/>
      <c r="AT112" s="144"/>
      <c r="AU112" s="144"/>
      <c r="AV112" s="144"/>
      <c r="AW112" s="144"/>
      <c r="AX112" s="144"/>
      <c r="AY112" s="144"/>
      <c r="AZ112" s="7"/>
    </row>
    <row r="113" spans="1:52" s="18" customFormat="1">
      <c r="A113" s="88" t="s">
        <v>68</v>
      </c>
      <c r="B113" s="88"/>
      <c r="C113" s="115" t="s">
        <v>15</v>
      </c>
      <c r="D113" s="115" t="s">
        <v>55</v>
      </c>
      <c r="E113" s="115" t="s">
        <v>12</v>
      </c>
      <c r="F113" s="115" t="s">
        <v>10</v>
      </c>
      <c r="G113" s="115" t="s">
        <v>14</v>
      </c>
      <c r="H113" s="115" t="s">
        <v>21</v>
      </c>
      <c r="I113" s="115" t="s">
        <v>16</v>
      </c>
      <c r="J113" s="115" t="s">
        <v>17</v>
      </c>
      <c r="K113" s="115" t="s">
        <v>23</v>
      </c>
      <c r="L113" s="28"/>
      <c r="M113" s="28"/>
      <c r="N113" s="28"/>
      <c r="O113" s="28"/>
      <c r="P113" s="28"/>
      <c r="T113"/>
      <c r="U113"/>
      <c r="AF113" s="7"/>
      <c r="AG113" s="7"/>
      <c r="AH113" s="7"/>
      <c r="AI113" s="7"/>
      <c r="AJ113" s="7"/>
      <c r="AK113" s="7"/>
      <c r="AL113" s="7"/>
      <c r="AM113" s="7"/>
      <c r="AN113" s="7"/>
      <c r="AR113" s="92"/>
      <c r="AS113" s="7"/>
      <c r="AT113" s="144"/>
      <c r="AU113" s="144"/>
      <c r="AV113" s="144"/>
      <c r="AW113" s="144"/>
      <c r="AX113" s="144"/>
      <c r="AY113" s="144"/>
      <c r="AZ113" s="7"/>
    </row>
    <row r="114" spans="1:52" s="18" customFormat="1">
      <c r="A114" s="28"/>
      <c r="B114" s="28"/>
      <c r="C114" s="23">
        <f>Mü/TAN($C111)</f>
        <v>0.17425898005457305</v>
      </c>
      <c r="D114" s="42">
        <f>SQRT($J111*$J111+$K111*$K111)</f>
        <v>1.0552813279710551</v>
      </c>
      <c r="E114" s="20">
        <f>ATAN($J111/$K111)</f>
        <v>9.9380720994114435E-3</v>
      </c>
      <c r="F114" s="23">
        <f>($E114-A127-0.0001)/5</f>
        <v>8.293201550787319E-4</v>
      </c>
      <c r="G114" s="23">
        <f>COS($E114)</f>
        <v>0.99995061776791294</v>
      </c>
      <c r="H114" s="23">
        <f>SIN($E114)</f>
        <v>9.9379085108119106E-3</v>
      </c>
      <c r="I114" s="23">
        <f>$C114+$G114</f>
        <v>1.174209597822486</v>
      </c>
      <c r="J114" s="23">
        <f>POWER(TAN($E114/2),$C114)</f>
        <v>0.39678510158885566</v>
      </c>
      <c r="K114" s="23">
        <f>-$D114*$D114*SIN($E114)*SIN($E114)/(2*9.81*SIN($C111)*POWER(TAN($E114/2),2*$C114))</f>
        <v>-9.5520816003626953E-5</v>
      </c>
      <c r="L114" s="28"/>
      <c r="M114" s="28"/>
      <c r="N114" s="28"/>
      <c r="O114" s="28"/>
      <c r="P114" s="28"/>
      <c r="T114"/>
      <c r="U114"/>
      <c r="AF114" s="7"/>
      <c r="AG114" s="7"/>
      <c r="AH114" s="7"/>
      <c r="AI114" s="7"/>
      <c r="AJ114" s="7"/>
      <c r="AK114" s="7"/>
      <c r="AL114" s="7"/>
      <c r="AM114" s="7"/>
      <c r="AN114" s="7"/>
      <c r="AR114" s="92"/>
      <c r="AS114" s="7"/>
      <c r="AT114" s="144"/>
      <c r="AU114" s="144"/>
      <c r="AV114" s="144"/>
      <c r="AW114" s="144"/>
      <c r="AX114" s="144"/>
      <c r="AY114" s="144"/>
      <c r="AZ114" s="7"/>
    </row>
    <row r="115" spans="1:52" s="18" customFormat="1">
      <c r="A115" s="88" t="s">
        <v>70</v>
      </c>
      <c r="B115" s="8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45"/>
      <c r="N115" s="28"/>
      <c r="O115" s="28"/>
      <c r="P115" s="28"/>
      <c r="T115"/>
      <c r="U115"/>
      <c r="AF115" s="7"/>
      <c r="AG115" s="7"/>
      <c r="AH115" s="7"/>
      <c r="AI115" s="7"/>
      <c r="AJ115" s="7"/>
      <c r="AK115" s="7"/>
      <c r="AL115" s="7"/>
      <c r="AM115" s="7"/>
      <c r="AN115" s="7"/>
      <c r="AR115" s="92"/>
      <c r="AS115" s="7"/>
      <c r="AT115" s="144"/>
      <c r="AU115" s="144"/>
      <c r="AV115" s="144"/>
      <c r="AW115" s="144"/>
      <c r="AX115" s="144"/>
      <c r="AY115" s="144"/>
      <c r="AZ115" s="7"/>
    </row>
    <row r="116" spans="1:52" s="18" customFormat="1">
      <c r="A116" s="115" t="s">
        <v>11</v>
      </c>
      <c r="B116" s="115" t="s">
        <v>13</v>
      </c>
      <c r="C116" s="105" t="s">
        <v>22</v>
      </c>
      <c r="D116" s="105" t="s">
        <v>18</v>
      </c>
      <c r="E116" s="115" t="s">
        <v>19</v>
      </c>
      <c r="F116" s="105" t="s">
        <v>20</v>
      </c>
      <c r="G116" s="105" t="s">
        <v>2</v>
      </c>
      <c r="H116" s="105" t="s">
        <v>65</v>
      </c>
      <c r="I116" s="105" t="s">
        <v>66</v>
      </c>
      <c r="J116" s="106" t="s">
        <v>3</v>
      </c>
      <c r="K116" s="106" t="s">
        <v>4</v>
      </c>
      <c r="L116" s="116" t="s">
        <v>7</v>
      </c>
      <c r="M116" s="93"/>
      <c r="N116" s="105" t="s">
        <v>61</v>
      </c>
      <c r="O116" s="105" t="s">
        <v>62</v>
      </c>
      <c r="P116" s="115" t="s">
        <v>63</v>
      </c>
      <c r="T116"/>
      <c r="U116"/>
      <c r="AF116" s="7"/>
      <c r="AG116" s="7"/>
      <c r="AH116" s="7"/>
      <c r="AI116" s="7"/>
      <c r="AJ116" s="7"/>
      <c r="AK116" s="7"/>
      <c r="AL116" s="7"/>
      <c r="AM116" s="7"/>
      <c r="AN116" s="7"/>
      <c r="AR116" s="92"/>
      <c r="AS116" s="7"/>
      <c r="AT116" s="144"/>
      <c r="AU116" s="144"/>
      <c r="AV116" s="144"/>
      <c r="AW116" s="144"/>
      <c r="AX116" s="144"/>
      <c r="AY116" s="144"/>
      <c r="AZ116" s="7"/>
    </row>
    <row r="117" spans="1:52" s="18" customFormat="1">
      <c r="A117" s="19">
        <f>$E114</f>
        <v>9.9380720994114435E-3</v>
      </c>
      <c r="B117" s="26">
        <f>COS(A117)</f>
        <v>0.99995061776791294</v>
      </c>
      <c r="C117" s="26">
        <f>($C$114+B117)</f>
        <v>1.174209597822486</v>
      </c>
      <c r="D117" s="26">
        <f>POWER(TAN(A117/2),$C$114)</f>
        <v>0.39678510158885566</v>
      </c>
      <c r="E117" s="26">
        <f>SIN(A117)</f>
        <v>9.9379085108119106E-3</v>
      </c>
      <c r="F117" s="77">
        <f>(C117*$H$114*D117/E117/$I$114/$J$114)</f>
        <v>1.0000000000000002</v>
      </c>
      <c r="G117" s="77">
        <f>$D$114*($C$114+$G$114)/9.81/SIN($C$111)/(1-$C$114*$C$111)*(F117-1)</f>
        <v>8.0608507159813881E-17</v>
      </c>
      <c r="H117" s="75">
        <f>-(-$H$111+$K$114*((POWER(TAN(A117/2),2*$C$114-1)/(2*$C$114-1))+(POWER(TAN(A117/2),2*$C$114+1)/(2*$C$114+1))-(POWER(TAN($E$114/2),2*$C$114-1)/(2*$C$114-1))-(POWER(TAN($E$114/2),2*$C$114+1)/(2*$C$114+1))))</f>
        <v>0.11549280985728823</v>
      </c>
      <c r="I117" s="75">
        <f>-(-$I$111+0.5*$K$114*((POWER(TAN(A117/2),2*$C$114-2)/(2*$C$114-2))-(POWER(TAN(A117/2),2*$C$114+2)/(2*$C$114+2))-(POWER(TAN($E$114/2),2*$C$114-2)/(2*$C$114-2))+(POWER(TAN($E$114/2),2*$C$114+2)/(2*$C$114+2))))</f>
        <v>0.13928201041866342</v>
      </c>
      <c r="J117" s="77">
        <f>-$D$114*SIN(A117)*($C$114+$G$114)/($C$114+B117)*F117</f>
        <v>-1.0487289290544445E-2</v>
      </c>
      <c r="K117" s="77">
        <f>-$D$114*COS(A117)*($C$114+$G$114)/($C$114+B117)*F117</f>
        <v>-1.0552292158236003</v>
      </c>
      <c r="L117" s="91">
        <f>SQRT(J117*J117+K117*K117)</f>
        <v>1.0552813279710553</v>
      </c>
      <c r="M117" s="93"/>
      <c r="N117" s="75">
        <f>-(-$I$111+0.5*$K$114*((POWER(TAN(A117/2),2*$C$114-2)/(2*$C$114-2))-(POWER(TAN(A117/2),2*$C$114+2)/(2*$C$114+2))-(POWER(TAN($E$114/2),2*$C$114-2)/(2*$C$114-2))+(POWER(TAN($E$114/2),2*$C$114+2)/(2*$C$114+2))))-$D$111</f>
        <v>0.2785640207698471</v>
      </c>
      <c r="O117" s="75">
        <f>-(-$I$111+0.5*$K$114*((POWER(TAN((A117+$M$9)/2),2*$C$114-2)/(2*$C$114-2))-(POWER(TAN((A117+$M$9)/2),2*$C$114+2)/(2*$C$114+2))-(POWER(TAN($E$114/2),2*$C$114-2)/(2*$C$114-2))+(POWER(TAN($E$114/2),2*$C$114+2)/(2*$C$114+2))))-$D$111</f>
        <v>0.30556736977394072</v>
      </c>
      <c r="P117" s="109">
        <f>IF(A117-N117/(O117-N117)*$M$9&lt;0,A117*0.5,A117-N117/(O117-N117)*$M$9)</f>
        <v>4.9690360497057218E-3</v>
      </c>
      <c r="T117"/>
      <c r="U117"/>
      <c r="AF117" s="7"/>
      <c r="AG117" s="7"/>
      <c r="AH117" s="7"/>
      <c r="AI117" s="7"/>
      <c r="AJ117" s="7"/>
      <c r="AK117" s="7"/>
      <c r="AL117" s="7"/>
      <c r="AM117" s="7"/>
      <c r="AN117" s="7"/>
      <c r="AR117" s="92"/>
      <c r="AS117" s="7"/>
      <c r="AT117" s="144"/>
      <c r="AU117" s="144"/>
      <c r="AV117" s="144"/>
      <c r="AW117" s="144"/>
      <c r="AX117" s="144"/>
      <c r="AY117" s="144"/>
      <c r="AZ117" s="7"/>
    </row>
    <row r="118" spans="1:52" s="18" customFormat="1">
      <c r="A118" s="19">
        <f>$P117</f>
        <v>4.9690360497057218E-3</v>
      </c>
      <c r="B118" s="26">
        <f>COS(A118)</f>
        <v>0.99998765436577086</v>
      </c>
      <c r="C118" s="26">
        <f>($C$114+B118)</f>
        <v>1.1742466344203439</v>
      </c>
      <c r="D118" s="26">
        <f>POWER(TAN(A118/2),$C$114)</f>
        <v>0.35163954530619634</v>
      </c>
      <c r="E118" s="26">
        <f>SIN(A118)</f>
        <v>4.9690156010550445E-3</v>
      </c>
      <c r="F118" s="77">
        <f>(C118*$H$114*D118/E118/$I$114/$J$114)</f>
        <v>1.7724773126121951</v>
      </c>
      <c r="G118" s="77">
        <f>$D$114*($C$114+$G$114)/9.81/SIN($C$111)/(1-$C$114*$C$111)*(F118-1)</f>
        <v>0.28043123590198227</v>
      </c>
      <c r="H118" s="75">
        <f>-(-$H$111+$K$114*((POWER(TAN(A118/2),2*$C$114-1)/(2*$C$114-1))+(POWER(TAN(A118/2),2*$C$114+1)/(2*$C$114+1))-(POWER(TAN($E$114/2),2*$C$114-1)/(2*$C$114-1))-(POWER(TAN($E$114/2),2*$C$114+1)/(2*$C$114+1))))</f>
        <v>0.11284119536318868</v>
      </c>
      <c r="I118" s="75">
        <f>-(-$I$111+0.5*$K$114*((POWER(TAN(A118/2),2*$C$114-2)/(2*$C$114-2))-(POWER(TAN(A118/2),2*$C$114+2)/(2*$C$114+2))-(POWER(TAN($E$114/2),2*$C$114-2)/(2*$C$114-2))+(POWER(TAN($E$114/2),2*$C$114+2)/(2*$C$114+2))))</f>
        <v>-0.25562112718915553</v>
      </c>
      <c r="J118" s="77">
        <f>-$D$114*SIN(A118)*($C$114+$G$114)/($C$114+B118)*F118</f>
        <v>-9.2940627630792253E-3</v>
      </c>
      <c r="K118" s="77">
        <f>-$D$114*COS(A118)*($C$114+$G$114)/($C$114+B118)*F118</f>
        <v>-1.8703801251915</v>
      </c>
      <c r="L118" s="91">
        <f>SQRT(J118*J118+K118*K118)</f>
        <v>1.870403216505472</v>
      </c>
      <c r="M118" s="93"/>
      <c r="N118" s="75">
        <f>-(-$I$111+0.5*$K$114*((POWER(TAN(A118/2),2*$C$114-2)/(2*$C$114-2))-(POWER(TAN(A118/2),2*$C$114+2)/(2*$C$114+2))-(POWER(TAN($E$114/2),2*$C$114-2)/(2*$C$114-2))+(POWER(TAN($E$114/2),2*$C$114+2)/(2*$C$114+2))))-$D$111</f>
        <v>-0.11633911683797182</v>
      </c>
      <c r="O118" s="75">
        <f t="shared" ref="O118:O127" si="113">-(-$I$111+0.5*$K$114*((POWER(TAN((A118+$M$9)/2),2*$C$114-2)/(2*$C$114-2))-(POWER(TAN((A118+$M$9)/2),2*$C$114+2)/(2*$C$114+2))-(POWER(TAN($E$114/2),2*$C$114-2)/(2*$C$114-2))+(POWER(TAN($E$114/2),2*$C$114+2)/(2*$C$114+2))))-$D$111</f>
        <v>3.5011921771858773E-2</v>
      </c>
      <c r="P118" s="109">
        <f t="shared" ref="P118:P127" si="114">IF(A118-N118/(O118-N118)*$M$9&lt;0,A118*0.5,A118-N118/(O118-N118)*$M$9)</f>
        <v>5.7377068028538628E-3</v>
      </c>
      <c r="T118"/>
      <c r="U118"/>
      <c r="AF118" s="7"/>
      <c r="AG118" s="7"/>
      <c r="AH118" s="7"/>
      <c r="AI118" s="7"/>
      <c r="AJ118" s="7"/>
      <c r="AK118" s="7"/>
      <c r="AL118" s="7"/>
      <c r="AM118" s="7"/>
      <c r="AN118" s="7"/>
      <c r="AR118" s="92"/>
      <c r="AS118" s="7"/>
      <c r="AT118" s="144"/>
      <c r="AU118" s="144"/>
      <c r="AV118" s="144"/>
      <c r="AW118" s="144"/>
      <c r="AX118" s="144"/>
      <c r="AY118" s="144"/>
      <c r="AZ118" s="7"/>
    </row>
    <row r="119" spans="1:52" s="18" customFormat="1">
      <c r="A119" s="19">
        <f t="shared" ref="A119:A127" si="115">$P118</f>
        <v>5.7377068028538628E-3</v>
      </c>
      <c r="B119" s="26">
        <f t="shared" ref="B119:B127" si="116">COS(A119)</f>
        <v>0.99998353940548101</v>
      </c>
      <c r="C119" s="26">
        <f t="shared" ref="C119:C127" si="117">($C$114+B119)</f>
        <v>1.1742425194600541</v>
      </c>
      <c r="D119" s="26">
        <f t="shared" ref="D119:D127" si="118">POWER(TAN(A119/2),$C$114)</f>
        <v>0.36056457764240274</v>
      </c>
      <c r="E119" s="26">
        <f t="shared" ref="E119:E127" si="119">SIN(A119)</f>
        <v>5.7376753207975979E-3</v>
      </c>
      <c r="F119" s="77">
        <f t="shared" ref="F119:F127" si="120">(C119*$H$114*D119/E119/$I$114/$J$114)</f>
        <v>1.5739788896948668</v>
      </c>
      <c r="G119" s="77">
        <f t="shared" ref="G119:G127" si="121">$D$114*($C$114+$G$114)/9.81/SIN($C$111)/(1-$C$114*$C$111)*(F119-1)</f>
        <v>0.20837066253049458</v>
      </c>
      <c r="H119" s="75">
        <f t="shared" ref="H119:H127" si="122">-(-$H$111+$K$114*((POWER(TAN(A119/2),2*$C$114-1)/(2*$C$114-1))+(POWER(TAN(A119/2),2*$C$114+1)/(2*$C$114+1))-(POWER(TAN($E$114/2),2*$C$114-1)/(2*$C$114-1))-(POWER(TAN($E$114/2),2*$C$114+1)/(2*$C$114+1))))</f>
        <v>0.11349391601558843</v>
      </c>
      <c r="I119" s="75">
        <f t="shared" ref="I119:I127" si="123">-(-$I$111+0.5*$K$114*((POWER(TAN(A119/2),2*$C$114-2)/(2*$C$114-2))-(POWER(TAN(A119/2),2*$C$114+2)/(2*$C$114+2))-(POWER(TAN($E$114/2),2*$C$114-2)/(2*$C$114-2))+(POWER(TAN($E$114/2),2*$C$114+2)/(2*$C$114+2))))</f>
        <v>-0.13313704539149815</v>
      </c>
      <c r="J119" s="77">
        <f t="shared" ref="J119:J127" si="124">-$D$114*SIN(A119)*($C$114+$G$114)/($C$114+B119)*F119</f>
        <v>-9.5299571947563659E-3</v>
      </c>
      <c r="K119" s="77">
        <f t="shared" ref="K119:K127" si="125">-$D$114*COS(A119)*($C$114+$G$114)/($C$114+B119)*F119</f>
        <v>-1.6609166244475564</v>
      </c>
      <c r="L119" s="91">
        <f t="shared" ref="L119:L127" si="126">SQRT(J119*J119+K119*K119)</f>
        <v>1.6609439645726762</v>
      </c>
      <c r="M119" s="93"/>
      <c r="N119" s="75">
        <f t="shared" ref="N119:N127" si="127">-(-$I$111+0.5*$K$114*((POWER(TAN(A119/2),2*$C$114-2)/(2*$C$114-2))-(POWER(TAN(A119/2),2*$C$114+2)/(2*$C$114+2))-(POWER(TAN($E$114/2),2*$C$114-2)/(2*$C$114-2))+(POWER(TAN($E$114/2),2*$C$114+2)/(2*$C$114+2))))-$D$111</f>
        <v>6.144964959685556E-3</v>
      </c>
      <c r="O119" s="75">
        <f t="shared" si="113"/>
        <v>0.11260421462220907</v>
      </c>
      <c r="P119" s="109">
        <f t="shared" si="114"/>
        <v>5.6799855153268032E-3</v>
      </c>
      <c r="T119"/>
      <c r="U119"/>
      <c r="AF119" s="7"/>
      <c r="AG119" s="7"/>
      <c r="AH119" s="7"/>
      <c r="AI119" s="7"/>
      <c r="AJ119" s="7"/>
      <c r="AK119" s="7"/>
      <c r="AL119" s="7"/>
      <c r="AM119" s="7"/>
      <c r="AN119" s="7"/>
      <c r="AR119" s="92"/>
      <c r="AS119" s="7"/>
      <c r="AT119" s="144"/>
      <c r="AU119" s="144"/>
      <c r="AV119" s="144"/>
      <c r="AW119" s="144"/>
      <c r="AX119" s="144"/>
      <c r="AY119" s="144"/>
      <c r="AZ119" s="7"/>
    </row>
    <row r="120" spans="1:52" s="18" customFormat="1">
      <c r="A120" s="19">
        <f t="shared" si="115"/>
        <v>5.6799855153268032E-3</v>
      </c>
      <c r="B120" s="26">
        <f t="shared" si="116"/>
        <v>0.99998386892564162</v>
      </c>
      <c r="C120" s="26">
        <f t="shared" si="117"/>
        <v>1.1742428489802146</v>
      </c>
      <c r="D120" s="26">
        <f t="shared" si="118"/>
        <v>0.35992984707572573</v>
      </c>
      <c r="E120" s="26">
        <f t="shared" si="119"/>
        <v>5.6799549738710577E-3</v>
      </c>
      <c r="F120" s="77">
        <f t="shared" si="120"/>
        <v>1.5871753294731445</v>
      </c>
      <c r="G120" s="77">
        <f t="shared" si="121"/>
        <v>0.21316134551381005</v>
      </c>
      <c r="H120" s="75">
        <f t="shared" si="122"/>
        <v>0.11345000403528256</v>
      </c>
      <c r="I120" s="75">
        <f t="shared" si="123"/>
        <v>-0.14082905424140738</v>
      </c>
      <c r="J120" s="77">
        <f t="shared" si="124"/>
        <v>-9.51318085147221E-3</v>
      </c>
      <c r="K120" s="77">
        <f t="shared" si="125"/>
        <v>-1.6748420431863211</v>
      </c>
      <c r="L120" s="91">
        <f t="shared" si="126"/>
        <v>1.6748690606236787</v>
      </c>
      <c r="M120" s="93"/>
      <c r="N120" s="75">
        <f t="shared" si="127"/>
        <v>-1.5470438902236705E-3</v>
      </c>
      <c r="O120" s="75">
        <f t="shared" si="113"/>
        <v>0.10759040957871713</v>
      </c>
      <c r="P120" s="109">
        <f t="shared" si="114"/>
        <v>5.6941607030469741E-3</v>
      </c>
      <c r="T120"/>
      <c r="U120"/>
      <c r="AF120" s="7"/>
      <c r="AG120" s="7"/>
      <c r="AH120" s="7"/>
      <c r="AI120" s="7"/>
      <c r="AJ120" s="7"/>
      <c r="AK120" s="7"/>
      <c r="AL120" s="7"/>
      <c r="AM120" s="7"/>
      <c r="AN120" s="7"/>
      <c r="AR120" s="92"/>
      <c r="AS120" s="7"/>
      <c r="AT120" s="144"/>
      <c r="AU120" s="144"/>
      <c r="AV120" s="144"/>
      <c r="AW120" s="144"/>
      <c r="AX120" s="144"/>
      <c r="AY120" s="144"/>
      <c r="AZ120" s="7"/>
    </row>
    <row r="121" spans="1:52" s="18" customFormat="1">
      <c r="A121" s="19">
        <f t="shared" si="115"/>
        <v>5.6941607030469741E-3</v>
      </c>
      <c r="B121" s="26">
        <f t="shared" si="116"/>
        <v>0.9999837883107473</v>
      </c>
      <c r="C121" s="26">
        <f t="shared" si="117"/>
        <v>1.1742427683653203</v>
      </c>
      <c r="D121" s="26">
        <f t="shared" si="118"/>
        <v>0.36008621581116906</v>
      </c>
      <c r="E121" s="26">
        <f t="shared" si="119"/>
        <v>5.6941299323590936E-3</v>
      </c>
      <c r="F121" s="77">
        <f t="shared" si="120"/>
        <v>1.5839119283595691</v>
      </c>
      <c r="G121" s="77">
        <f t="shared" si="121"/>
        <v>0.2119766380892914</v>
      </c>
      <c r="H121" s="75">
        <f t="shared" si="122"/>
        <v>0.11346085601232779</v>
      </c>
      <c r="I121" s="75">
        <f t="shared" si="123"/>
        <v>-0.13892088905008895</v>
      </c>
      <c r="J121" s="77">
        <f t="shared" si="124"/>
        <v>-9.517313779240982E-3</v>
      </c>
      <c r="K121" s="77">
        <f t="shared" si="125"/>
        <v>-1.6713983699989945</v>
      </c>
      <c r="L121" s="91">
        <f t="shared" si="126"/>
        <v>1.6714254666292685</v>
      </c>
      <c r="M121" s="93"/>
      <c r="N121" s="75">
        <f t="shared" si="127"/>
        <v>3.6112130109475227E-4</v>
      </c>
      <c r="O121" s="75">
        <f t="shared" si="113"/>
        <v>0.10883232301998422</v>
      </c>
      <c r="P121" s="109">
        <f t="shared" si="114"/>
        <v>5.6908315124842047E-3</v>
      </c>
      <c r="T121"/>
      <c r="U121"/>
      <c r="AF121" s="7"/>
      <c r="AG121" s="7"/>
      <c r="AH121" s="7"/>
      <c r="AI121" s="7"/>
      <c r="AJ121" s="7"/>
      <c r="AK121" s="7"/>
      <c r="AL121" s="7"/>
      <c r="AM121" s="7"/>
      <c r="AN121" s="7"/>
      <c r="AR121" s="92"/>
      <c r="AS121" s="7"/>
      <c r="AT121" s="144"/>
      <c r="AU121" s="144"/>
      <c r="AV121" s="144"/>
      <c r="AW121" s="144"/>
      <c r="AX121" s="144"/>
      <c r="AY121" s="144"/>
      <c r="AZ121" s="7"/>
    </row>
    <row r="122" spans="1:52" s="18" customFormat="1">
      <c r="A122" s="19">
        <f t="shared" si="115"/>
        <v>5.6908315124842047E-3</v>
      </c>
      <c r="B122" s="26">
        <f t="shared" si="116"/>
        <v>0.99998380726204927</v>
      </c>
      <c r="C122" s="26">
        <f t="shared" si="117"/>
        <v>1.1742427873166223</v>
      </c>
      <c r="D122" s="26">
        <f t="shared" si="118"/>
        <v>0.3600495198890975</v>
      </c>
      <c r="E122" s="26">
        <f t="shared" si="119"/>
        <v>5.6908007957365775E-3</v>
      </c>
      <c r="F122" s="77">
        <f t="shared" si="120"/>
        <v>1.5846770386158677</v>
      </c>
      <c r="G122" s="77">
        <f t="shared" si="121"/>
        <v>0.2122543948742118</v>
      </c>
      <c r="H122" s="75">
        <f t="shared" si="122"/>
        <v>0.11345831132371001</v>
      </c>
      <c r="I122" s="75">
        <f t="shared" si="123"/>
        <v>-0.1393679093510963</v>
      </c>
      <c r="J122" s="77">
        <f t="shared" si="124"/>
        <v>-9.5163438820623659E-3</v>
      </c>
      <c r="K122" s="77">
        <f t="shared" si="125"/>
        <v>-1.6722057453722423</v>
      </c>
      <c r="L122" s="91">
        <f t="shared" si="126"/>
        <v>1.6722328234001442</v>
      </c>
      <c r="M122" s="93"/>
      <c r="N122" s="75">
        <f t="shared" si="127"/>
        <v>-8.5898999912598084E-5</v>
      </c>
      <c r="O122" s="75">
        <f t="shared" si="113"/>
        <v>0.10854127345772882</v>
      </c>
      <c r="P122" s="109">
        <f t="shared" si="114"/>
        <v>5.6916222814784555E-3</v>
      </c>
      <c r="T122"/>
      <c r="U122"/>
      <c r="AF122" s="7"/>
      <c r="AG122" s="7"/>
      <c r="AH122" s="7"/>
      <c r="AI122" s="7"/>
      <c r="AJ122" s="7"/>
      <c r="AK122" s="7"/>
      <c r="AL122" s="7"/>
      <c r="AM122" s="7"/>
      <c r="AN122" s="7"/>
      <c r="AR122" s="92"/>
      <c r="AS122" s="7"/>
      <c r="AT122" s="144"/>
      <c r="AU122" s="144"/>
      <c r="AV122" s="144"/>
      <c r="AW122" s="144"/>
      <c r="AX122" s="144"/>
      <c r="AY122" s="144"/>
      <c r="AZ122" s="7"/>
    </row>
    <row r="123" spans="1:52" s="18" customFormat="1">
      <c r="A123" s="19">
        <f t="shared" si="115"/>
        <v>5.6916222814784555E-3</v>
      </c>
      <c r="B123" s="26">
        <f t="shared" si="116"/>
        <v>0.99998380276162779</v>
      </c>
      <c r="C123" s="26">
        <f t="shared" si="117"/>
        <v>1.1742427828162008</v>
      </c>
      <c r="D123" s="26">
        <f t="shared" si="118"/>
        <v>0.36005823772598256</v>
      </c>
      <c r="E123" s="26">
        <f t="shared" si="119"/>
        <v>5.6915915519243337E-3</v>
      </c>
      <c r="F123" s="77">
        <f t="shared" si="120"/>
        <v>1.5844952311232168</v>
      </c>
      <c r="G123" s="77">
        <f t="shared" si="121"/>
        <v>0.21218839358326394</v>
      </c>
      <c r="H123" s="75">
        <f t="shared" si="122"/>
        <v>0.11345891597576023</v>
      </c>
      <c r="I123" s="75">
        <f t="shared" si="123"/>
        <v>-0.13926166766797596</v>
      </c>
      <c r="J123" s="77">
        <f t="shared" si="124"/>
        <v>-9.5165743001829929E-3</v>
      </c>
      <c r="K123" s="77">
        <f t="shared" si="125"/>
        <v>-1.6720138947326699</v>
      </c>
      <c r="L123" s="91">
        <f t="shared" si="126"/>
        <v>1.6720409771789453</v>
      </c>
      <c r="M123" s="93"/>
      <c r="N123" s="75">
        <f t="shared" si="127"/>
        <v>2.0342683207746903E-5</v>
      </c>
      <c r="O123" s="75">
        <f t="shared" si="113"/>
        <v>0.10861044003587392</v>
      </c>
      <c r="P123" s="109">
        <f t="shared" si="114"/>
        <v>5.6914349468714914E-3</v>
      </c>
      <c r="T123"/>
      <c r="U123"/>
      <c r="AF123" s="7"/>
      <c r="AG123" s="7"/>
      <c r="AH123" s="7"/>
      <c r="AI123" s="7"/>
      <c r="AJ123" s="7"/>
      <c r="AK123" s="7"/>
      <c r="AL123" s="7"/>
      <c r="AM123" s="7"/>
      <c r="AN123" s="7"/>
      <c r="AR123" s="92"/>
      <c r="AS123" s="7"/>
      <c r="AT123" s="144"/>
      <c r="AU123" s="144"/>
      <c r="AV123" s="144"/>
      <c r="AW123" s="144"/>
      <c r="AX123" s="144"/>
      <c r="AY123" s="144"/>
      <c r="AZ123" s="7"/>
    </row>
    <row r="124" spans="1:52" s="18" customFormat="1">
      <c r="A124" s="19">
        <f>$P123</f>
        <v>5.6914349468714914E-3</v>
      </c>
      <c r="B124" s="26">
        <f t="shared" si="116"/>
        <v>0.99998380382784224</v>
      </c>
      <c r="C124" s="26">
        <f t="shared" si="117"/>
        <v>1.1742427838824152</v>
      </c>
      <c r="D124" s="26">
        <f t="shared" si="118"/>
        <v>0.3600561725450413</v>
      </c>
      <c r="E124" s="26">
        <f t="shared" si="119"/>
        <v>5.6914042203515735E-3</v>
      </c>
      <c r="F124" s="77">
        <f t="shared" si="120"/>
        <v>1.5845382974788835</v>
      </c>
      <c r="G124" s="77">
        <f t="shared" si="121"/>
        <v>0.21220402789529905</v>
      </c>
      <c r="H124" s="75">
        <f t="shared" si="122"/>
        <v>0.11345877274513509</v>
      </c>
      <c r="I124" s="75">
        <f t="shared" si="123"/>
        <v>-0.13928683297738517</v>
      </c>
      <c r="J124" s="77">
        <f t="shared" si="124"/>
        <v>-9.5165197161023885E-3</v>
      </c>
      <c r="K124" s="77">
        <f t="shared" si="125"/>
        <v>-1.6720593400977717</v>
      </c>
      <c r="L124" s="91">
        <f t="shared" si="126"/>
        <v>1.6720864214973168</v>
      </c>
      <c r="M124" s="93"/>
      <c r="N124" s="75">
        <f t="shared" si="127"/>
        <v>-4.8226262014672283E-6</v>
      </c>
      <c r="O124" s="75">
        <f t="shared" si="113"/>
        <v>0.10859405630722166</v>
      </c>
      <c r="P124" s="109">
        <f t="shared" si="114"/>
        <v>5.6914793545693315E-3</v>
      </c>
      <c r="T124"/>
      <c r="U124"/>
      <c r="AF124" s="7"/>
      <c r="AG124" s="7"/>
      <c r="AH124" s="7"/>
      <c r="AI124" s="7"/>
      <c r="AJ124" s="7"/>
      <c r="AK124" s="7"/>
      <c r="AL124" s="7"/>
      <c r="AM124" s="7"/>
      <c r="AN124" s="7"/>
      <c r="AR124" s="92"/>
      <c r="AS124" s="7"/>
      <c r="AT124" s="144"/>
      <c r="AU124" s="144"/>
      <c r="AV124" s="144"/>
      <c r="AW124" s="144"/>
      <c r="AX124" s="144"/>
      <c r="AY124" s="144"/>
      <c r="AZ124" s="7"/>
    </row>
    <row r="125" spans="1:52" s="18" customFormat="1">
      <c r="A125" s="19">
        <f t="shared" si="115"/>
        <v>5.6914793545693315E-3</v>
      </c>
      <c r="B125" s="26">
        <f t="shared" si="116"/>
        <v>0.99998380357509919</v>
      </c>
      <c r="C125" s="26">
        <f t="shared" si="117"/>
        <v>1.1742427836296723</v>
      </c>
      <c r="D125" s="26">
        <f t="shared" si="118"/>
        <v>0.36005666210158166</v>
      </c>
      <c r="E125" s="26">
        <f t="shared" si="119"/>
        <v>5.691448627330173E-3</v>
      </c>
      <c r="F125" s="77">
        <f t="shared" si="120"/>
        <v>1.5845280883585171</v>
      </c>
      <c r="G125" s="77">
        <f t="shared" si="121"/>
        <v>0.21220032169422998</v>
      </c>
      <c r="H125" s="75">
        <f t="shared" si="122"/>
        <v>0.11345880669868121</v>
      </c>
      <c r="I125" s="75">
        <f t="shared" si="123"/>
        <v>-0.13928086733825348</v>
      </c>
      <c r="J125" s="77">
        <f t="shared" si="124"/>
        <v>-9.5165326554013767E-3</v>
      </c>
      <c r="K125" s="77">
        <f t="shared" si="125"/>
        <v>-1.6720485670199199</v>
      </c>
      <c r="L125" s="91">
        <f t="shared" si="126"/>
        <v>1.6720756486675921</v>
      </c>
      <c r="M125" s="93"/>
      <c r="N125" s="75">
        <f t="shared" si="127"/>
        <v>1.1430129302214542E-6</v>
      </c>
      <c r="O125" s="75">
        <f t="shared" si="113"/>
        <v>0.10859794018263505</v>
      </c>
      <c r="P125" s="109">
        <f t="shared" si="114"/>
        <v>5.6914688292779786E-3</v>
      </c>
      <c r="T125"/>
      <c r="U125"/>
      <c r="AF125" s="7"/>
      <c r="AG125" s="7"/>
      <c r="AH125" s="7"/>
      <c r="AI125" s="7"/>
      <c r="AJ125" s="7"/>
      <c r="AK125" s="7"/>
      <c r="AL125" s="7"/>
      <c r="AM125" s="7"/>
      <c r="AN125" s="7"/>
      <c r="AR125" s="92"/>
      <c r="AS125" s="7"/>
      <c r="AT125" s="144"/>
      <c r="AU125" s="144"/>
      <c r="AV125" s="144"/>
      <c r="AW125" s="144"/>
      <c r="AX125" s="144"/>
      <c r="AY125" s="144"/>
      <c r="AZ125" s="7"/>
    </row>
    <row r="126" spans="1:52" s="18" customFormat="1">
      <c r="A126" s="19">
        <f t="shared" si="115"/>
        <v>5.6914688292779786E-3</v>
      </c>
      <c r="B126" s="26">
        <f t="shared" si="116"/>
        <v>0.99998380363500328</v>
      </c>
      <c r="C126" s="26">
        <f t="shared" si="117"/>
        <v>1.1742427836895764</v>
      </c>
      <c r="D126" s="26">
        <f t="shared" si="118"/>
        <v>0.36005654606961401</v>
      </c>
      <c r="E126" s="26">
        <f t="shared" si="119"/>
        <v>5.6914381022092914E-3</v>
      </c>
      <c r="F126" s="77">
        <f t="shared" si="120"/>
        <v>1.5845305080602261</v>
      </c>
      <c r="G126" s="77">
        <f t="shared" si="121"/>
        <v>0.21220120011477347</v>
      </c>
      <c r="H126" s="75">
        <f t="shared" si="122"/>
        <v>0.11345879865122038</v>
      </c>
      <c r="I126" s="75">
        <f t="shared" si="123"/>
        <v>-0.13928228127316725</v>
      </c>
      <c r="J126" s="77">
        <f t="shared" si="124"/>
        <v>-9.5165295886007143E-3</v>
      </c>
      <c r="K126" s="77">
        <f t="shared" si="125"/>
        <v>-1.6720511203872965</v>
      </c>
      <c r="L126" s="91">
        <f t="shared" si="126"/>
        <v>1.6720782019761589</v>
      </c>
      <c r="M126" s="93"/>
      <c r="N126" s="75">
        <f t="shared" si="127"/>
        <v>-2.7092198354172758E-7</v>
      </c>
      <c r="O126" s="75">
        <f t="shared" si="113"/>
        <v>0.10859701965200916</v>
      </c>
      <c r="P126" s="109">
        <f t="shared" si="114"/>
        <v>5.691471324017784E-3</v>
      </c>
      <c r="T126"/>
      <c r="U126"/>
      <c r="AF126" s="7"/>
      <c r="AG126" s="7"/>
      <c r="AH126" s="7"/>
      <c r="AI126" s="7"/>
      <c r="AJ126" s="7"/>
      <c r="AK126" s="7"/>
      <c r="AL126" s="7"/>
      <c r="AM126" s="7"/>
      <c r="AN126" s="7"/>
      <c r="AR126" s="92"/>
      <c r="AS126" s="7"/>
      <c r="AT126" s="144"/>
      <c r="AU126" s="144"/>
      <c r="AV126" s="144"/>
      <c r="AW126" s="144"/>
      <c r="AX126" s="144"/>
      <c r="AY126" s="144"/>
      <c r="AZ126" s="7"/>
    </row>
    <row r="127" spans="1:52" s="18" customFormat="1">
      <c r="A127" s="19">
        <f t="shared" si="115"/>
        <v>5.691471324017784E-3</v>
      </c>
      <c r="B127" s="26">
        <f t="shared" si="116"/>
        <v>0.99998380362080463</v>
      </c>
      <c r="C127" s="26">
        <f t="shared" si="117"/>
        <v>1.1742427836753777</v>
      </c>
      <c r="D127" s="26">
        <f t="shared" si="118"/>
        <v>0.36005657357191567</v>
      </c>
      <c r="E127" s="26">
        <f t="shared" si="119"/>
        <v>5.6914405969086916E-3</v>
      </c>
      <c r="F127" s="77">
        <f t="shared" si="120"/>
        <v>1.584529934533685</v>
      </c>
      <c r="G127" s="77">
        <f t="shared" si="121"/>
        <v>0.21220099190832631</v>
      </c>
      <c r="H127" s="81">
        <f t="shared" si="122"/>
        <v>0.11345880055865872</v>
      </c>
      <c r="I127" s="81">
        <f t="shared" si="123"/>
        <v>-0.13928194613695224</v>
      </c>
      <c r="J127" s="80">
        <f t="shared" si="124"/>
        <v>-9.5165303155045015E-3</v>
      </c>
      <c r="K127" s="80">
        <f t="shared" si="125"/>
        <v>-1.6720505151788305</v>
      </c>
      <c r="L127" s="91">
        <f t="shared" si="126"/>
        <v>1.6720775967816321</v>
      </c>
      <c r="M127" s="93"/>
      <c r="N127" s="75">
        <f t="shared" si="127"/>
        <v>6.4214231459969184E-8</v>
      </c>
      <c r="O127" s="75">
        <f t="shared" si="113"/>
        <v>0.10859723783960851</v>
      </c>
      <c r="P127" s="109">
        <f t="shared" si="114"/>
        <v>5.6914707327111293E-3</v>
      </c>
      <c r="T127"/>
      <c r="U127"/>
      <c r="AF127" s="7"/>
      <c r="AG127" s="7"/>
      <c r="AH127" s="7"/>
      <c r="AI127" s="7"/>
      <c r="AJ127" s="7"/>
      <c r="AK127" s="7"/>
      <c r="AL127" s="7"/>
      <c r="AM127" s="7"/>
      <c r="AN127" s="7"/>
      <c r="AR127" s="92"/>
      <c r="AS127" s="7"/>
      <c r="AT127" s="144"/>
      <c r="AU127" s="144"/>
      <c r="AV127" s="144"/>
      <c r="AW127" s="144"/>
      <c r="AX127" s="144"/>
      <c r="AY127" s="144"/>
      <c r="AZ127" s="7"/>
    </row>
    <row r="128" spans="1:52" s="18" customFormat="1">
      <c r="A128" s="88" t="s">
        <v>60</v>
      </c>
      <c r="B128" s="8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T128"/>
      <c r="U128"/>
      <c r="AF128" s="7"/>
      <c r="AG128" s="7"/>
      <c r="AH128" s="7"/>
      <c r="AI128" s="7"/>
      <c r="AJ128" s="7"/>
      <c r="AK128" s="7"/>
      <c r="AL128" s="7"/>
      <c r="AM128" s="7"/>
      <c r="AN128" s="7"/>
      <c r="AR128" s="92"/>
      <c r="AS128" s="7"/>
      <c r="AT128" s="144"/>
      <c r="AU128" s="144"/>
      <c r="AV128" s="144"/>
      <c r="AW128" s="144"/>
      <c r="AX128" s="144"/>
      <c r="AY128" s="144"/>
      <c r="AZ128" s="7"/>
    </row>
    <row r="129" spans="1:52" s="18" customFormat="1">
      <c r="A129" s="26" t="s">
        <v>11</v>
      </c>
      <c r="B129" s="26" t="s">
        <v>13</v>
      </c>
      <c r="C129" s="26" t="s">
        <v>22</v>
      </c>
      <c r="D129" s="26" t="s">
        <v>18</v>
      </c>
      <c r="E129" s="26" t="s">
        <v>19</v>
      </c>
      <c r="F129" s="26" t="s">
        <v>20</v>
      </c>
      <c r="G129" s="26" t="s">
        <v>2</v>
      </c>
      <c r="H129" s="26" t="s">
        <v>1</v>
      </c>
      <c r="I129" s="26" t="s">
        <v>0</v>
      </c>
      <c r="J129" s="76" t="s">
        <v>3</v>
      </c>
      <c r="K129" s="76" t="s">
        <v>4</v>
      </c>
      <c r="L129" s="44" t="s">
        <v>7</v>
      </c>
      <c r="M129" s="28"/>
      <c r="N129" s="28"/>
      <c r="O129" s="28"/>
      <c r="P129" s="31"/>
      <c r="T129"/>
      <c r="U129"/>
      <c r="AF129" s="7"/>
      <c r="AG129" s="7"/>
      <c r="AH129" s="7"/>
      <c r="AI129" s="7"/>
      <c r="AJ129" s="7"/>
      <c r="AK129" s="7"/>
      <c r="AL129" s="7"/>
      <c r="AM129" s="7"/>
      <c r="AN129" s="7"/>
      <c r="AR129" s="92"/>
      <c r="AS129" s="7"/>
      <c r="AT129" s="144"/>
      <c r="AU129" s="144"/>
      <c r="AV129" s="144"/>
      <c r="AW129" s="144"/>
      <c r="AX129" s="144"/>
      <c r="AY129" s="144"/>
      <c r="AZ129" s="7"/>
    </row>
    <row r="130" spans="1:52" s="18" customFormat="1">
      <c r="A130" s="19">
        <f>$E114</f>
        <v>9.9380720994114435E-3</v>
      </c>
      <c r="B130" s="26">
        <f t="shared" ref="B130:B135" si="128">COS(A130)</f>
        <v>0.99995061776791294</v>
      </c>
      <c r="C130" s="26">
        <f t="shared" ref="C130:C135" si="129">($C$114+B130)</f>
        <v>1.174209597822486</v>
      </c>
      <c r="D130" s="26">
        <f t="shared" ref="D130:D135" si="130">POWER(TAN(A130/2),$C$114)</f>
        <v>0.39678510158885566</v>
      </c>
      <c r="E130" s="26">
        <f t="shared" ref="E130:E135" si="131">SIN(A130)</f>
        <v>9.9379085108119106E-3</v>
      </c>
      <c r="F130" s="77">
        <f t="shared" ref="F130:F135" si="132">(C130*$H$114*D130/E130/$I$114/$J$114)</f>
        <v>1.0000000000000002</v>
      </c>
      <c r="G130" s="77">
        <f t="shared" ref="G130:G135" si="133">$D$114*($C$114+$G$114)/9.81/SIN($C$111)/(1-$C$114*$C$111)*(F130-1)</f>
        <v>8.0608507159813881E-17</v>
      </c>
      <c r="H130" s="109">
        <f t="shared" ref="H130:H135" si="134">-(-$H$111+$K$114*((POWER(TAN(A130/2),2*$C$114-1)/(2*$C$114-1))+(POWER(TAN(A130/2),2*$C$114+1)/(2*$C$114+1))-(POWER(TAN($E$114/2),2*$C$114-1)/(2*$C$114-1))-(POWER(TAN($E$114/2),2*$C$114+1)/(2*$C$114+1))))</f>
        <v>0.11549280985728823</v>
      </c>
      <c r="I130" s="109">
        <f t="shared" ref="I130:I135" si="135">-(-$I$111+0.5*$K$114*((POWER(TAN(A130/2),2*$C$114-2)/(2*$C$114-2))-(POWER(TAN(A130/2),2*$C$114+2)/(2*$C$114+2))-(POWER(TAN($E$114/2),2*$C$114-2)/(2*$C$114-2))+(POWER(TAN($E$114/2),2*$C$114+2)/(2*$C$114+2))))</f>
        <v>0.13928201041866342</v>
      </c>
      <c r="J130" s="77">
        <f t="shared" ref="J130:J135" si="136">-$D$114*SIN(A130)*($C$114+$G$114)/($C$114+B130)*F130</f>
        <v>-1.0487289290544445E-2</v>
      </c>
      <c r="K130" s="77">
        <f t="shared" ref="K130:K135" si="137">-$D$114*COS(A130)*($C$114+$G$114)/($C$114+B130)*F130</f>
        <v>-1.0552292158236003</v>
      </c>
      <c r="L130" s="91">
        <f t="shared" ref="L130:L135" si="138">SQRT(J130*J130+K130*K130)</f>
        <v>1.0552813279710553</v>
      </c>
      <c r="M130" s="28"/>
      <c r="N130" s="28"/>
      <c r="O130" s="28"/>
      <c r="P130" s="31"/>
      <c r="T130"/>
      <c r="U130"/>
      <c r="AF130" s="7"/>
      <c r="AG130" s="7"/>
      <c r="AH130" s="7"/>
      <c r="AI130" s="7"/>
      <c r="AJ130" s="7"/>
      <c r="AK130" s="7"/>
      <c r="AL130" s="7"/>
      <c r="AM130" s="7"/>
      <c r="AN130" s="7"/>
      <c r="AR130" s="92"/>
      <c r="AS130" s="7"/>
      <c r="AT130" s="144"/>
      <c r="AU130" s="144"/>
      <c r="AV130" s="144"/>
      <c r="AW130" s="144"/>
      <c r="AX130" s="144"/>
      <c r="AY130" s="144"/>
      <c r="AZ130" s="7"/>
    </row>
    <row r="131" spans="1:52" s="18" customFormat="1">
      <c r="A131" s="20">
        <f>A130-$F$114</f>
        <v>9.108751944332711E-3</v>
      </c>
      <c r="B131" s="26">
        <f t="shared" si="128"/>
        <v>0.99995851560583726</v>
      </c>
      <c r="C131" s="26">
        <f t="shared" si="129"/>
        <v>1.1742174956604103</v>
      </c>
      <c r="D131" s="26">
        <f t="shared" si="130"/>
        <v>0.39080555485375579</v>
      </c>
      <c r="E131" s="26">
        <f t="shared" si="131"/>
        <v>9.1086259869656953E-3</v>
      </c>
      <c r="F131" s="77">
        <f t="shared" si="132"/>
        <v>1.0746088595966889</v>
      </c>
      <c r="G131" s="77">
        <f t="shared" si="133"/>
        <v>2.7085138119053994E-2</v>
      </c>
      <c r="H131" s="109">
        <f t="shared" si="134"/>
        <v>0.1152214539142886</v>
      </c>
      <c r="I131" s="109">
        <f t="shared" si="135"/>
        <v>0.11074147759106959</v>
      </c>
      <c r="J131" s="77">
        <f t="shared" si="136"/>
        <v>-1.03292459663717E-2</v>
      </c>
      <c r="K131" s="77">
        <f t="shared" si="137"/>
        <v>-1.1339599933778164</v>
      </c>
      <c r="L131" s="91">
        <f t="shared" si="138"/>
        <v>1.1340070369727215</v>
      </c>
      <c r="M131" s="28"/>
      <c r="N131" s="28"/>
      <c r="O131" s="28"/>
      <c r="P131" s="31"/>
      <c r="T131"/>
      <c r="U131"/>
      <c r="AF131" s="7"/>
      <c r="AG131" s="7"/>
      <c r="AH131" s="7"/>
      <c r="AI131" s="7"/>
      <c r="AJ131" s="7"/>
      <c r="AK131" s="7"/>
      <c r="AL131" s="7"/>
      <c r="AM131" s="7"/>
      <c r="AN131" s="7"/>
      <c r="AR131" s="92"/>
      <c r="AS131" s="7"/>
      <c r="AT131" s="144"/>
      <c r="AU131" s="144"/>
      <c r="AV131" s="144"/>
      <c r="AW131" s="144"/>
      <c r="AX131" s="144"/>
      <c r="AY131" s="144"/>
      <c r="AZ131" s="7"/>
    </row>
    <row r="132" spans="1:52" s="18" customFormat="1">
      <c r="A132" s="20">
        <f>A131-$F$114</f>
        <v>8.2794317892539784E-3</v>
      </c>
      <c r="B132" s="26">
        <f t="shared" si="128"/>
        <v>0.99996572570041331</v>
      </c>
      <c r="C132" s="26">
        <f t="shared" si="129"/>
        <v>1.1742247057549864</v>
      </c>
      <c r="D132" s="26">
        <f t="shared" si="130"/>
        <v>0.38435819802761739</v>
      </c>
      <c r="E132" s="26">
        <f t="shared" si="131"/>
        <v>8.2793371984626572E-3</v>
      </c>
      <c r="F132" s="77">
        <f t="shared" si="132"/>
        <v>1.1627485402365616</v>
      </c>
      <c r="G132" s="77">
        <f t="shared" si="133"/>
        <v>5.908234913132638E-2</v>
      </c>
      <c r="H132" s="109">
        <f t="shared" si="134"/>
        <v>0.11490595074581554</v>
      </c>
      <c r="I132" s="109">
        <f t="shared" si="135"/>
        <v>7.4379895517470512E-2</v>
      </c>
      <c r="J132" s="77">
        <f t="shared" si="136"/>
        <v>-1.0158838116066013E-2</v>
      </c>
      <c r="K132" s="77">
        <f t="shared" si="137"/>
        <v>-1.2269689813927667</v>
      </c>
      <c r="L132" s="91">
        <f t="shared" si="138"/>
        <v>1.2270110363366225</v>
      </c>
      <c r="M132" s="45"/>
      <c r="N132" s="28"/>
      <c r="O132" s="28"/>
      <c r="P132" s="31"/>
      <c r="T132"/>
      <c r="U132"/>
      <c r="AF132" s="7"/>
      <c r="AG132" s="7"/>
      <c r="AH132" s="7"/>
      <c r="AI132" s="7"/>
      <c r="AJ132" s="7"/>
      <c r="AK132" s="7"/>
      <c r="AL132" s="7"/>
      <c r="AM132" s="7"/>
      <c r="AN132" s="7"/>
      <c r="AR132" s="92"/>
      <c r="AS132" s="7"/>
      <c r="AT132" s="144"/>
      <c r="AU132" s="144"/>
      <c r="AV132" s="144"/>
      <c r="AW132" s="144"/>
      <c r="AX132" s="144"/>
      <c r="AY132" s="144"/>
      <c r="AZ132" s="7"/>
    </row>
    <row r="133" spans="1:52" s="18" customFormat="1">
      <c r="A133" s="20">
        <f>A132-$F$114</f>
        <v>7.4501116341752468E-3</v>
      </c>
      <c r="B133" s="26">
        <f t="shared" si="128"/>
        <v>0.99997224804668194</v>
      </c>
      <c r="C133" s="26">
        <f t="shared" si="129"/>
        <v>1.174231228101255</v>
      </c>
      <c r="D133" s="26">
        <f t="shared" si="130"/>
        <v>0.37735353817840078</v>
      </c>
      <c r="E133" s="26">
        <f t="shared" si="131"/>
        <v>7.4500427156643095E-3</v>
      </c>
      <c r="F133" s="77">
        <f t="shared" si="132"/>
        <v>1.2686367882037102</v>
      </c>
      <c r="G133" s="77">
        <f t="shared" si="133"/>
        <v>9.7522794902489676E-2</v>
      </c>
      <c r="H133" s="109">
        <f t="shared" si="134"/>
        <v>0.11453350379416648</v>
      </c>
      <c r="I133" s="109">
        <f t="shared" si="135"/>
        <v>2.6907851637245545E-2</v>
      </c>
      <c r="J133" s="77">
        <f t="shared" si="136"/>
        <v>-9.9737003830048711E-3</v>
      </c>
      <c r="K133" s="77">
        <f t="shared" si="137"/>
        <v>-1.3387069006151489</v>
      </c>
      <c r="L133" s="91">
        <f t="shared" si="138"/>
        <v>1.3387440533776229</v>
      </c>
      <c r="M133" s="45"/>
      <c r="N133" s="28"/>
      <c r="O133" s="28"/>
      <c r="P133" s="31"/>
      <c r="AF133" s="7"/>
      <c r="AG133" s="7"/>
      <c r="AH133" s="7"/>
      <c r="AI133" s="7"/>
      <c r="AJ133" s="7"/>
      <c r="AK133" s="7"/>
      <c r="AL133" s="7"/>
      <c r="AM133" s="7"/>
      <c r="AN133" s="7"/>
      <c r="AR133" s="92"/>
      <c r="AS133" s="7"/>
      <c r="AT133" s="144"/>
      <c r="AU133" s="144"/>
      <c r="AV133" s="144"/>
      <c r="AW133" s="144"/>
      <c r="AX133" s="144"/>
      <c r="AY133" s="144"/>
      <c r="AZ133" s="7"/>
    </row>
    <row r="134" spans="1:52" s="18" customFormat="1">
      <c r="A134" s="20">
        <f>A133-$F$114</f>
        <v>6.6207914790965151E-3</v>
      </c>
      <c r="B134" s="26">
        <f t="shared" si="128"/>
        <v>0.99997808264015742</v>
      </c>
      <c r="C134" s="26">
        <f t="shared" si="129"/>
        <v>1.1742370626947305</v>
      </c>
      <c r="D134" s="26">
        <f t="shared" si="130"/>
        <v>0.36967244500008972</v>
      </c>
      <c r="E134" s="26">
        <f t="shared" si="131"/>
        <v>6.6207431089360747E-3</v>
      </c>
      <c r="F134" s="77">
        <f t="shared" si="132"/>
        <v>1.3984924886772037</v>
      </c>
      <c r="G134" s="77">
        <f t="shared" si="133"/>
        <v>0.14466410763510199</v>
      </c>
      <c r="H134" s="109">
        <f t="shared" si="134"/>
        <v>0.11408557893603145</v>
      </c>
      <c r="I134" s="109">
        <f t="shared" si="135"/>
        <v>-3.6954052024149336E-2</v>
      </c>
      <c r="J134" s="77">
        <f t="shared" si="136"/>
        <v>-9.7706840754217192E-3</v>
      </c>
      <c r="K134" s="77">
        <f t="shared" si="137"/>
        <v>-1.4757361472967649</v>
      </c>
      <c r="L134" s="91">
        <f t="shared" si="138"/>
        <v>1.4757684922458538</v>
      </c>
      <c r="M134" s="45"/>
      <c r="N134" s="28"/>
      <c r="O134" s="28"/>
      <c r="P134" s="89"/>
      <c r="AF134" s="7"/>
      <c r="AG134" s="7"/>
      <c r="AH134" s="7"/>
      <c r="AI134" s="7"/>
      <c r="AJ134" s="7"/>
      <c r="AK134" s="7"/>
      <c r="AL134" s="7"/>
      <c r="AM134" s="7"/>
      <c r="AN134" s="7"/>
      <c r="AR134" s="92"/>
      <c r="AS134" s="7"/>
      <c r="AT134" s="144"/>
      <c r="AU134" s="144"/>
      <c r="AV134" s="144"/>
      <c r="AW134" s="144"/>
      <c r="AX134" s="144"/>
      <c r="AY134" s="144"/>
      <c r="AZ134" s="7"/>
    </row>
    <row r="135" spans="1:52" s="18" customFormat="1">
      <c r="A135" s="20">
        <f>A134-$F$114</f>
        <v>5.7914713240177834E-3</v>
      </c>
      <c r="B135" s="26">
        <f t="shared" si="128"/>
        <v>0.99998322947682683</v>
      </c>
      <c r="C135" s="26">
        <f t="shared" si="129"/>
        <v>1.1742422095313998</v>
      </c>
      <c r="D135" s="26">
        <f t="shared" si="130"/>
        <v>0.36115107246368616</v>
      </c>
      <c r="E135" s="26">
        <f t="shared" si="131"/>
        <v>5.7914389486469044E-3</v>
      </c>
      <c r="F135" s="77">
        <f t="shared" si="132"/>
        <v>1.561903238099853</v>
      </c>
      <c r="G135" s="77">
        <f t="shared" si="133"/>
        <v>0.20398685753606682</v>
      </c>
      <c r="H135" s="109">
        <f t="shared" si="134"/>
        <v>0.11353416662050055</v>
      </c>
      <c r="I135" s="109">
        <f t="shared" si="135"/>
        <v>-0.12615459924204384</v>
      </c>
      <c r="J135" s="77">
        <f t="shared" si="136"/>
        <v>-9.5454586357973121E-3</v>
      </c>
      <c r="K135" s="77">
        <f t="shared" si="137"/>
        <v>-1.6481739060190208</v>
      </c>
      <c r="L135" s="91">
        <f t="shared" si="138"/>
        <v>1.6482015472212626</v>
      </c>
      <c r="M135" s="45"/>
      <c r="N135" s="28"/>
      <c r="O135" s="28"/>
      <c r="P135" s="28"/>
      <c r="AF135" s="7"/>
      <c r="AG135" s="7"/>
      <c r="AH135" s="7"/>
      <c r="AI135" s="7"/>
      <c r="AJ135" s="7"/>
      <c r="AK135" s="7"/>
      <c r="AL135" s="7"/>
      <c r="AM135" s="7"/>
      <c r="AN135" s="7"/>
      <c r="AR135" s="92"/>
      <c r="AS135" s="7"/>
      <c r="AT135" s="144"/>
      <c r="AU135" s="144"/>
      <c r="AV135" s="144"/>
      <c r="AW135" s="144"/>
      <c r="AX135" s="144"/>
      <c r="AY135" s="144"/>
      <c r="AZ135" s="7"/>
    </row>
    <row r="136" spans="1:52" s="18" customFormat="1">
      <c r="A136" s="142"/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AF136" s="7"/>
      <c r="AG136" s="7"/>
      <c r="AH136" s="7"/>
      <c r="AI136" s="7"/>
      <c r="AJ136" s="7"/>
      <c r="AK136" s="7"/>
      <c r="AL136" s="7"/>
      <c r="AM136" s="7"/>
      <c r="AN136" s="7"/>
      <c r="AR136" s="92"/>
      <c r="AS136" s="7"/>
      <c r="AT136" s="144"/>
      <c r="AU136" s="144"/>
      <c r="AV136" s="144"/>
      <c r="AW136" s="144"/>
      <c r="AX136" s="144"/>
      <c r="AY136" s="144"/>
      <c r="AZ136" s="7"/>
    </row>
    <row r="137" spans="1:52" s="18" customFormat="1">
      <c r="A137" s="88" t="s">
        <v>73</v>
      </c>
      <c r="B137" s="88"/>
      <c r="C137" s="23" t="str">
        <f>CONCATENATE("m",Stufengrün!Z47)</f>
        <v>m-1</v>
      </c>
      <c r="D137" s="23" t="s">
        <v>30</v>
      </c>
      <c r="E137" s="28"/>
      <c r="F137" s="28"/>
      <c r="G137" s="28"/>
      <c r="H137" s="36" t="s">
        <v>57</v>
      </c>
      <c r="I137" s="36" t="s">
        <v>51</v>
      </c>
      <c r="J137" s="36" t="s">
        <v>58</v>
      </c>
      <c r="K137" s="36" t="s">
        <v>59</v>
      </c>
      <c r="L137" s="28"/>
      <c r="M137" s="28"/>
      <c r="N137" s="28"/>
      <c r="O137" s="28"/>
      <c r="P137" s="28"/>
      <c r="AF137" s="7"/>
      <c r="AG137" s="7"/>
      <c r="AH137" s="7"/>
      <c r="AI137" s="7"/>
      <c r="AJ137" s="7"/>
      <c r="AK137" s="7"/>
      <c r="AL137" s="7"/>
      <c r="AM137" s="7"/>
      <c r="AN137" s="7"/>
      <c r="AR137" s="92"/>
      <c r="AS137" s="7"/>
      <c r="AT137" s="144"/>
      <c r="AU137" s="144"/>
      <c r="AV137" s="144"/>
      <c r="AW137" s="144"/>
      <c r="AX137" s="144"/>
      <c r="AY137" s="144"/>
      <c r="AZ137" s="7"/>
    </row>
    <row r="138" spans="1:52" s="18" customFormat="1">
      <c r="A138" s="88" t="s">
        <v>69</v>
      </c>
      <c r="B138" s="88"/>
      <c r="C138" s="36">
        <f>Stufengrün!AA47</f>
        <v>0.26129405619084795</v>
      </c>
      <c r="D138" s="26">
        <f>Stufengrün!AC46</f>
        <v>-0.31710907748474215</v>
      </c>
      <c r="E138" s="28"/>
      <c r="F138" s="28"/>
      <c r="G138" s="28"/>
      <c r="H138" s="78">
        <f>H127</f>
        <v>0.11345880055865872</v>
      </c>
      <c r="I138" s="78">
        <f>I127</f>
        <v>-0.13928194613695224</v>
      </c>
      <c r="J138" s="78">
        <f>J127</f>
        <v>-9.5165303155045015E-3</v>
      </c>
      <c r="K138" s="78">
        <f>K127</f>
        <v>-1.6720505151788305</v>
      </c>
      <c r="L138" s="28"/>
      <c r="M138" s="28"/>
      <c r="N138" s="28"/>
      <c r="O138" s="28"/>
      <c r="P138" s="28"/>
      <c r="AF138" s="7"/>
      <c r="AG138" s="7"/>
      <c r="AH138" s="7"/>
      <c r="AI138" s="7"/>
      <c r="AJ138" s="7"/>
      <c r="AK138" s="7"/>
      <c r="AL138" s="7"/>
      <c r="AM138" s="7"/>
      <c r="AN138" s="7"/>
      <c r="AR138" s="92"/>
      <c r="AS138" s="7"/>
      <c r="AT138" s="144"/>
      <c r="AU138" s="144"/>
      <c r="AV138" s="144"/>
      <c r="AW138" s="144"/>
      <c r="AX138" s="144"/>
      <c r="AY138" s="144"/>
      <c r="AZ138" s="7"/>
    </row>
    <row r="139" spans="1:52" s="18" customFormat="1">
      <c r="A139" s="95"/>
      <c r="B139" s="95"/>
      <c r="C139" s="28"/>
      <c r="D139" s="28"/>
      <c r="E139" s="28"/>
      <c r="F139" s="28"/>
      <c r="G139" s="28"/>
      <c r="H139" s="37" t="s">
        <v>8</v>
      </c>
      <c r="I139" s="37" t="s">
        <v>8</v>
      </c>
      <c r="J139" s="37" t="s">
        <v>9</v>
      </c>
      <c r="K139" s="37" t="s">
        <v>9</v>
      </c>
      <c r="L139" s="28"/>
      <c r="M139" s="28"/>
      <c r="N139" s="28"/>
      <c r="O139" s="28"/>
      <c r="P139" s="28"/>
      <c r="AF139" s="7"/>
      <c r="AG139" s="7"/>
      <c r="AH139" s="7"/>
      <c r="AI139" s="7"/>
      <c r="AJ139" s="7"/>
      <c r="AK139" s="7"/>
      <c r="AL139" s="7"/>
      <c r="AM139" s="7"/>
      <c r="AN139" s="7"/>
      <c r="AR139" s="92"/>
      <c r="AS139" s="7"/>
      <c r="AT139" s="144"/>
      <c r="AU139" s="144"/>
      <c r="AV139" s="144"/>
      <c r="AW139" s="144"/>
      <c r="AX139" s="144"/>
      <c r="AY139" s="144"/>
      <c r="AZ139" s="7"/>
    </row>
    <row r="140" spans="1:52" s="18" customFormat="1">
      <c r="A140" s="88" t="s">
        <v>68</v>
      </c>
      <c r="B140" s="88"/>
      <c r="C140" s="115" t="s">
        <v>15</v>
      </c>
      <c r="D140" s="115" t="s">
        <v>55</v>
      </c>
      <c r="E140" s="115" t="s">
        <v>12</v>
      </c>
      <c r="F140" s="115" t="s">
        <v>10</v>
      </c>
      <c r="G140" s="115" t="s">
        <v>14</v>
      </c>
      <c r="H140" s="115" t="s">
        <v>21</v>
      </c>
      <c r="I140" s="115" t="s">
        <v>16</v>
      </c>
      <c r="J140" s="115" t="s">
        <v>17</v>
      </c>
      <c r="K140" s="115" t="s">
        <v>23</v>
      </c>
      <c r="L140" s="28"/>
      <c r="M140" s="28"/>
      <c r="N140" s="28"/>
      <c r="O140" s="28"/>
      <c r="P140" s="28"/>
      <c r="AF140" s="7"/>
      <c r="AG140" s="7"/>
      <c r="AH140" s="7"/>
      <c r="AI140" s="7"/>
      <c r="AJ140" s="7"/>
      <c r="AK140" s="7"/>
      <c r="AL140" s="7"/>
      <c r="AM140" s="7"/>
      <c r="AN140" s="7"/>
      <c r="AR140" s="92"/>
      <c r="AS140" s="7"/>
      <c r="AT140" s="144"/>
      <c r="AU140" s="144"/>
      <c r="AV140" s="144"/>
      <c r="AW140" s="144"/>
      <c r="AX140" s="144"/>
      <c r="AY140" s="144"/>
      <c r="AZ140" s="7"/>
    </row>
    <row r="141" spans="1:52" s="18" customFormat="1">
      <c r="A141" s="28"/>
      <c r="B141" s="28"/>
      <c r="C141" s="23">
        <f>Mü/TAN($C138)</f>
        <v>0.26177261284076359</v>
      </c>
      <c r="D141" s="42">
        <f>SQRT($J138*$J138+$K138*$K138)</f>
        <v>1.6720775967816321</v>
      </c>
      <c r="E141" s="20">
        <f>ATAN($J138/$K138)</f>
        <v>5.6914713240177831E-3</v>
      </c>
      <c r="F141" s="23">
        <f>($E141-A154-0.0001)/5</f>
        <v>1.3324505366588488E-4</v>
      </c>
      <c r="G141" s="23">
        <f>COS($E141)</f>
        <v>0.99998380362080463</v>
      </c>
      <c r="H141" s="23">
        <f>SIN($E141)</f>
        <v>5.6914405969086907E-3</v>
      </c>
      <c r="I141" s="23">
        <f>$C141+$G141</f>
        <v>1.2617564164615682</v>
      </c>
      <c r="J141" s="23">
        <f>POWER(TAN($E141/2),$C141)</f>
        <v>0.21556495814870275</v>
      </c>
      <c r="K141" s="23">
        <f>-$D141*$D141*SIN($E141)*SIN($E141)/(2*9.81*SIN($C138)*POWER(TAN($E141/2),2*$C141))</f>
        <v>-3.8452588806688732E-4</v>
      </c>
      <c r="L141" s="28"/>
      <c r="M141" s="28"/>
      <c r="N141" s="28"/>
      <c r="O141" s="28"/>
      <c r="P141" s="28"/>
      <c r="AF141" s="7"/>
      <c r="AG141" s="7"/>
      <c r="AH141" s="7"/>
      <c r="AI141" s="7"/>
      <c r="AJ141" s="7"/>
      <c r="AK141" s="7"/>
      <c r="AL141" s="7"/>
      <c r="AM141" s="7"/>
      <c r="AN141" s="7"/>
      <c r="AR141" s="92"/>
      <c r="AS141" s="7"/>
      <c r="AT141" s="144"/>
      <c r="AU141" s="144"/>
      <c r="AV141" s="144"/>
      <c r="AW141" s="144"/>
      <c r="AX141" s="144"/>
      <c r="AY141" s="144"/>
      <c r="AZ141" s="7"/>
    </row>
    <row r="142" spans="1:52" s="18" customFormat="1">
      <c r="A142" s="88" t="s">
        <v>70</v>
      </c>
      <c r="B142" s="8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45"/>
      <c r="N142" s="28"/>
      <c r="O142" s="28"/>
      <c r="P142" s="28"/>
      <c r="AF142" s="7"/>
      <c r="AG142" s="7"/>
      <c r="AH142" s="7"/>
      <c r="AI142" s="7"/>
      <c r="AJ142" s="7"/>
      <c r="AK142" s="7"/>
      <c r="AL142" s="7"/>
      <c r="AM142" s="7"/>
      <c r="AN142" s="7"/>
      <c r="AR142" s="92"/>
      <c r="AS142" s="7"/>
      <c r="AT142" s="144"/>
      <c r="AU142" s="144"/>
      <c r="AV142" s="144"/>
      <c r="AW142" s="144"/>
      <c r="AX142" s="144"/>
      <c r="AY142" s="144"/>
      <c r="AZ142" s="7"/>
    </row>
    <row r="143" spans="1:52" s="18" customFormat="1">
      <c r="A143" s="115" t="s">
        <v>11</v>
      </c>
      <c r="B143" s="115" t="s">
        <v>13</v>
      </c>
      <c r="C143" s="26" t="s">
        <v>22</v>
      </c>
      <c r="D143" s="26" t="s">
        <v>18</v>
      </c>
      <c r="E143" s="115" t="s">
        <v>19</v>
      </c>
      <c r="F143" s="26" t="s">
        <v>20</v>
      </c>
      <c r="G143" s="26" t="s">
        <v>2</v>
      </c>
      <c r="H143" s="26" t="s">
        <v>65</v>
      </c>
      <c r="I143" s="26" t="s">
        <v>66</v>
      </c>
      <c r="J143" s="76" t="s">
        <v>3</v>
      </c>
      <c r="K143" s="76" t="s">
        <v>4</v>
      </c>
      <c r="L143" s="116" t="s">
        <v>7</v>
      </c>
      <c r="M143" s="93"/>
      <c r="N143" s="26" t="s">
        <v>61</v>
      </c>
      <c r="O143" s="26" t="s">
        <v>62</v>
      </c>
      <c r="P143" s="115" t="s">
        <v>63</v>
      </c>
      <c r="AF143" s="7"/>
      <c r="AG143" s="7"/>
      <c r="AH143" s="7"/>
      <c r="AI143" s="7"/>
      <c r="AJ143" s="7"/>
      <c r="AK143" s="7"/>
      <c r="AL143" s="7"/>
      <c r="AM143" s="7"/>
      <c r="AN143" s="7"/>
      <c r="AR143" s="92"/>
      <c r="AS143" s="7"/>
      <c r="AT143" s="144"/>
      <c r="AU143" s="144"/>
      <c r="AV143" s="144"/>
      <c r="AW143" s="144"/>
      <c r="AX143" s="144"/>
      <c r="AY143" s="144"/>
      <c r="AZ143" s="7"/>
    </row>
    <row r="144" spans="1:52" s="18" customFormat="1">
      <c r="A144" s="19">
        <f>E141</f>
        <v>5.6914713240177831E-3</v>
      </c>
      <c r="B144" s="26">
        <f>COS(A144)</f>
        <v>0.99998380362080463</v>
      </c>
      <c r="C144" s="26">
        <f>($C$141+B144)</f>
        <v>1.2617564164615682</v>
      </c>
      <c r="D144" s="26">
        <f>POWER(TAN(A144/2),$C$141)</f>
        <v>0.21556495814870275</v>
      </c>
      <c r="E144" s="26">
        <f>SIN(A144)</f>
        <v>5.6914405969086907E-3</v>
      </c>
      <c r="F144" s="77">
        <f>(C144*$H$141*D144/E144/$I$141/$J$141)</f>
        <v>1.0000000000000002</v>
      </c>
      <c r="G144" s="77">
        <f>$D$141*($C$141+$G$141)/9.81/SIN($C$138)/(1-$C$141*$C$138)*(F144-1)</f>
        <v>1.9842535182842373E-16</v>
      </c>
      <c r="H144" s="75">
        <f>-(-$H$138+$K$141*((POWER(TAN(A144/2),2*$C$141-1)/(2*$C$141-1))+(POWER(TAN(A144/2),2*$C$141+1)/(2*$C$141+1))-(POWER(TAN($E$141/2),2*$C$141-1)/(2*$C$141-1))-(POWER(TAN($E$141/2),2*$C$141+1)/(2*$C$141+1))))</f>
        <v>0.11345880055865872</v>
      </c>
      <c r="I144" s="75">
        <f>-(-$I$138+0.5*$K$141*((POWER(TAN(A144/2),2*$C$141-2)/(2*$C$141-2))-(POWER(TAN(A144/2),2*$C$141+2)/(2*$C$141+2))-(POWER(TAN($E$141/2),2*$C$141-2)/(2*$C$141-2))+(POWER(TAN($E$141/2),2*$C$141+2)/(2*$C$141+2))))</f>
        <v>-0.13928194613695224</v>
      </c>
      <c r="J144" s="77">
        <f>-$D$141*SIN(A144)*($C$141+$G$141)/($C$141+B144)*F144</f>
        <v>-9.5165303155045032E-3</v>
      </c>
      <c r="K144" s="77">
        <f>-$D$141*COS(A144)*($C$141+$G$141)/($C$141+B144)*F144</f>
        <v>-1.6720505151788312</v>
      </c>
      <c r="L144" s="91">
        <f>SQRT(J144*J144+K144*K144)</f>
        <v>1.6720775967816328</v>
      </c>
      <c r="M144" s="93"/>
      <c r="N144" s="75">
        <f>-(-$I$138+0.5*$K$141*((POWER(TAN(A144/2),2*$C$141-2)/(2*$C$141-2))-(POWER(TAN(A144/2),2*$C$141+2)/(2*$C$141+2))-(POWER(TAN($E$141/2),2*$C$141-2)/(2*$C$141-2))+(POWER(TAN($E$141/2),2*$C$141+2)/(2*$C$141+2))))-$D$138</f>
        <v>0.17782713134778991</v>
      </c>
      <c r="O144" s="75">
        <f>-(-$I$138+0.5*$K$141*((POWER(TAN((A144+$M$9)/2),2*$C$141-2)/(2*$C$141-2))-(POWER(TAN((A144+$M$9)/2),2*$C$141+2)/(2*$C$141+2))-(POWER(TAN($E$141/2),2*$C$141-2)/(2*$C$141-2))+(POWER(TAN($E$141/2),2*$C$141+2)/(2*$C$141+2))))-$D$138</f>
        <v>0.33666484411937386</v>
      </c>
      <c r="P144" s="109">
        <f>IF(A144-N144/(O144-N144)*$M$9&lt;0,A144*0.5,A144-N144/(O144-N144)*$M$9)</f>
        <v>4.5719189945057507E-3</v>
      </c>
      <c r="AF144" s="7"/>
      <c r="AG144" s="7"/>
      <c r="AH144" s="7"/>
      <c r="AI144" s="7"/>
      <c r="AJ144" s="7"/>
      <c r="AK144" s="7"/>
      <c r="AL144" s="7"/>
      <c r="AM144" s="7"/>
      <c r="AN144" s="7"/>
      <c r="AR144" s="92"/>
      <c r="AS144" s="7"/>
      <c r="AT144" s="144"/>
      <c r="AU144" s="144"/>
      <c r="AV144" s="144"/>
      <c r="AW144" s="144"/>
      <c r="AX144" s="144"/>
      <c r="AY144" s="144"/>
      <c r="AZ144" s="7"/>
    </row>
    <row r="145" spans="1:52" s="18" customFormat="1">
      <c r="A145" s="19">
        <f>$P144</f>
        <v>4.5719189945057507E-3</v>
      </c>
      <c r="B145" s="26">
        <f t="shared" ref="B145:B154" si="139">COS(A145)</f>
        <v>0.99998954879655855</v>
      </c>
      <c r="C145" s="26">
        <f t="shared" ref="C145:C154" si="140">($C$141+B145)</f>
        <v>1.2617621616373222</v>
      </c>
      <c r="D145" s="26">
        <f t="shared" ref="D145:D154" si="141">POWER(TAN(A145/2),$C$141)</f>
        <v>0.20355260613208695</v>
      </c>
      <c r="E145" s="26">
        <f t="shared" ref="E145:E154" si="142">SIN(A145)</f>
        <v>4.57190306714281E-3</v>
      </c>
      <c r="F145" s="77">
        <f t="shared" ref="F145:F154" si="143">(C145*$H$141*D145/E145/$I$141/$J$141)</f>
        <v>1.1755082294710255</v>
      </c>
      <c r="G145" s="77">
        <f t="shared" ref="G145:G154" si="144">$D$141*($C$141+$G$141)/9.81/SIN($C$138)/(1-$C$141*$C$138)*(F145-1)</f>
        <v>0.15683912785599988</v>
      </c>
      <c r="H145" s="75">
        <f t="shared" ref="H145:H154" si="145">-(-$H$138+$K$141*((POWER(TAN(A145/2),2*$C$141-1)/(2*$C$141-1))+(POWER(TAN(A145/2),2*$C$141+1)/(2*$C$141+1))-(POWER(TAN($E$141/2),2*$C$141-1)/(2*$C$141-1))-(POWER(TAN($E$141/2),2*$C$141+1)/(2*$C$141+1))))</f>
        <v>0.11200914526217468</v>
      </c>
      <c r="I145" s="75">
        <f t="shared" ref="I145:I154" si="146">-(-$I$138+0.5*$K$141*((POWER(TAN(A145/2),2*$C$141-2)/(2*$C$141-2))-(POWER(TAN(A145/2),2*$C$141+2)/(2*$C$141+2))-(POWER(TAN($E$141/2),2*$C$141-2)/(2*$C$141-2))+(POWER(TAN($E$141/2),2*$C$141+2)/(2*$C$141+2))))</f>
        <v>-0.42457634334531935</v>
      </c>
      <c r="J145" s="77">
        <f t="shared" ref="J145:J154" si="147">-$D$141*SIN(A145)*($C$141+$G$141)/($C$141+B145)*F145</f>
        <v>-8.9862218966019376E-3</v>
      </c>
      <c r="K145" s="77">
        <f t="shared" ref="K145:K154" si="148">-$D$141*COS(A145)*($C$141+$G$141)/($C$141+B145)*F145</f>
        <v>-1.9655114834673355</v>
      </c>
      <c r="L145" s="91">
        <f t="shared" ref="L145:L154" si="149">SQRT(J145*J145+K145*K145)</f>
        <v>1.9655320256424063</v>
      </c>
      <c r="M145" s="93"/>
      <c r="N145" s="75">
        <f t="shared" ref="N145:N154" si="150">-(-$I$138+0.5*$K$141*((POWER(TAN(A145/2),2*$C$141-2)/(2*$C$141-2))-(POWER(TAN(A145/2),2*$C$141+2)/(2*$C$141+2))-(POWER(TAN($E$141/2),2*$C$141-2)/(2*$C$141-2))+(POWER(TAN($E$141/2),2*$C$141+2)/(2*$C$141+2))))-$D$138</f>
        <v>-0.1074672658605772</v>
      </c>
      <c r="O145" s="75">
        <f t="shared" ref="O145:O154" si="151">-(-$I$138+0.5*$K$141*((POWER(TAN((A145+$M$9)/2),2*$C$141-2)/(2*$C$141-2))-(POWER(TAN((A145+$M$9)/2),2*$C$141+2)/(2*$C$141+2))-(POWER(TAN($E$141/2),2*$C$141-2)/(2*$C$141-2))+(POWER(TAN($E$141/2),2*$C$141+2)/(2*$C$141+2))))-$D$138</f>
        <v>0.15403561836851096</v>
      </c>
      <c r="P145" s="109">
        <f t="shared" ref="P145:P154" si="152">IF(A145-N145/(O145-N145)*$M$9&lt;0,A145*0.5,A145-N145/(O145-N145)*$M$9)</f>
        <v>4.9828791496007553E-3</v>
      </c>
      <c r="AF145" s="7"/>
      <c r="AG145" s="7"/>
      <c r="AH145" s="7"/>
      <c r="AI145" s="7"/>
      <c r="AJ145" s="7"/>
      <c r="AK145" s="7"/>
      <c r="AL145" s="7"/>
      <c r="AM145" s="7"/>
      <c r="AN145" s="7"/>
      <c r="AR145" s="92"/>
      <c r="AS145" s="7"/>
      <c r="AT145" s="144"/>
      <c r="AU145" s="144"/>
      <c r="AV145" s="144"/>
      <c r="AW145" s="144"/>
      <c r="AX145" s="144"/>
      <c r="AY145" s="144"/>
      <c r="AZ145" s="7"/>
    </row>
    <row r="146" spans="1:52" s="18" customFormat="1">
      <c r="A146" s="19">
        <f t="shared" ref="A146:A154" si="153">$P145</f>
        <v>4.9828791496007553E-3</v>
      </c>
      <c r="B146" s="26">
        <f t="shared" si="139"/>
        <v>0.99998758548337707</v>
      </c>
      <c r="C146" s="26">
        <f t="shared" si="140"/>
        <v>1.2617601983241407</v>
      </c>
      <c r="D146" s="26">
        <f t="shared" si="141"/>
        <v>0.20819113984173057</v>
      </c>
      <c r="E146" s="26">
        <f t="shared" si="142"/>
        <v>4.9828585295716788E-3</v>
      </c>
      <c r="F146" s="77">
        <f t="shared" si="143"/>
        <v>1.1031359316650131</v>
      </c>
      <c r="G146" s="77">
        <f t="shared" si="144"/>
        <v>9.2165191465435503E-2</v>
      </c>
      <c r="H146" s="75">
        <f t="shared" si="145"/>
        <v>0.11259692552418332</v>
      </c>
      <c r="I146" s="75">
        <f t="shared" si="146"/>
        <v>-0.30135553857565356</v>
      </c>
      <c r="J146" s="77">
        <f t="shared" si="147"/>
        <v>-9.1909989023194558E-3</v>
      </c>
      <c r="K146" s="77">
        <f t="shared" si="148"/>
        <v>-1.8445004500861957</v>
      </c>
      <c r="L146" s="91">
        <f t="shared" si="149"/>
        <v>1.8445233489519726</v>
      </c>
      <c r="M146" s="93"/>
      <c r="N146" s="75">
        <f t="shared" si="150"/>
        <v>1.5753538909088594E-2</v>
      </c>
      <c r="O146" s="75">
        <f t="shared" si="151"/>
        <v>0.23093280526056278</v>
      </c>
      <c r="P146" s="109">
        <f t="shared" si="152"/>
        <v>4.9096679189083118E-3</v>
      </c>
      <c r="AF146" s="7"/>
      <c r="AG146" s="7"/>
      <c r="AH146" s="7"/>
      <c r="AI146" s="7"/>
      <c r="AJ146" s="7"/>
      <c r="AK146" s="7"/>
      <c r="AL146" s="7"/>
      <c r="AM146" s="7"/>
      <c r="AN146" s="7"/>
      <c r="AR146" s="92"/>
      <c r="AS146" s="7"/>
      <c r="AT146" s="144"/>
      <c r="AU146" s="144"/>
      <c r="AV146" s="144"/>
      <c r="AW146" s="144"/>
      <c r="AX146" s="144"/>
      <c r="AY146" s="144"/>
      <c r="AZ146" s="7"/>
    </row>
    <row r="147" spans="1:52" s="18" customFormat="1">
      <c r="A147" s="19">
        <f t="shared" si="153"/>
        <v>4.9096679189083118E-3</v>
      </c>
      <c r="B147" s="26">
        <f t="shared" si="139"/>
        <v>0.99998794760467313</v>
      </c>
      <c r="C147" s="26">
        <f t="shared" si="140"/>
        <v>1.2617605604454367</v>
      </c>
      <c r="D147" s="26">
        <f t="shared" si="141"/>
        <v>0.20738603093986607</v>
      </c>
      <c r="E147" s="26">
        <f t="shared" si="142"/>
        <v>4.9096481944729022E-3</v>
      </c>
      <c r="F147" s="77">
        <f t="shared" si="143"/>
        <v>1.1152560710641286</v>
      </c>
      <c r="G147" s="77">
        <f t="shared" si="144"/>
        <v>0.10299609152396659</v>
      </c>
      <c r="H147" s="75">
        <f t="shared" si="145"/>
        <v>0.11249755832827557</v>
      </c>
      <c r="I147" s="75">
        <f t="shared" si="146"/>
        <v>-0.32144558770319454</v>
      </c>
      <c r="J147" s="77">
        <f t="shared" si="147"/>
        <v>-9.1554558189831051E-3</v>
      </c>
      <c r="K147" s="77">
        <f t="shared" si="148"/>
        <v>-1.8647660914109734</v>
      </c>
      <c r="L147" s="91">
        <f t="shared" si="149"/>
        <v>1.8647885665799788</v>
      </c>
      <c r="M147" s="93"/>
      <c r="N147" s="75">
        <f t="shared" si="150"/>
        <v>-4.3365102184523829E-3</v>
      </c>
      <c r="O147" s="75">
        <f t="shared" si="151"/>
        <v>0.21819963220691846</v>
      </c>
      <c r="P147" s="109">
        <f t="shared" si="152"/>
        <v>4.9291546870853355E-3</v>
      </c>
      <c r="AF147" s="7"/>
      <c r="AG147" s="7"/>
      <c r="AH147" s="7"/>
      <c r="AI147" s="7"/>
      <c r="AJ147" s="7"/>
      <c r="AK147" s="7"/>
      <c r="AL147" s="7"/>
      <c r="AM147" s="7"/>
      <c r="AN147" s="7"/>
      <c r="AR147" s="92"/>
      <c r="AS147" s="7"/>
      <c r="AT147" s="144"/>
      <c r="AU147" s="144"/>
      <c r="AV147" s="144"/>
      <c r="AW147" s="144"/>
      <c r="AX147" s="144"/>
      <c r="AY147" s="144"/>
      <c r="AZ147" s="7"/>
    </row>
    <row r="148" spans="1:52" s="18" customFormat="1">
      <c r="A148" s="19">
        <f t="shared" si="153"/>
        <v>4.9291546870853355E-3</v>
      </c>
      <c r="B148" s="26">
        <f t="shared" si="139"/>
        <v>0.99998785174163218</v>
      </c>
      <c r="C148" s="26">
        <f t="shared" si="140"/>
        <v>1.2617604645823959</v>
      </c>
      <c r="D148" s="26">
        <f t="shared" si="141"/>
        <v>0.20760118913833586</v>
      </c>
      <c r="E148" s="26">
        <f t="shared" si="142"/>
        <v>4.929134726854279E-3</v>
      </c>
      <c r="F148" s="77">
        <f t="shared" si="143"/>
        <v>1.1119994812035237</v>
      </c>
      <c r="G148" s="77">
        <f t="shared" si="144"/>
        <v>0.10008591053096481</v>
      </c>
      <c r="H148" s="75">
        <f t="shared" si="145"/>
        <v>0.11252421975912426</v>
      </c>
      <c r="I148" s="75">
        <f t="shared" si="146"/>
        <v>-0.31602597538235605</v>
      </c>
      <c r="J148" s="77">
        <f t="shared" si="147"/>
        <v>-9.164954392109053E-3</v>
      </c>
      <c r="K148" s="77">
        <f t="shared" si="148"/>
        <v>-1.8593208669960766</v>
      </c>
      <c r="L148" s="91">
        <f t="shared" si="149"/>
        <v>1.8593434547807599</v>
      </c>
      <c r="M148" s="93"/>
      <c r="N148" s="75">
        <f t="shared" si="150"/>
        <v>1.0831021023861021E-3</v>
      </c>
      <c r="O148" s="75">
        <f t="shared" si="151"/>
        <v>0.22162688733325231</v>
      </c>
      <c r="P148" s="109">
        <f t="shared" si="152"/>
        <v>4.9242436346099627E-3</v>
      </c>
      <c r="AF148" s="7"/>
      <c r="AG148" s="7"/>
      <c r="AH148" s="7"/>
      <c r="AI148" s="7"/>
      <c r="AJ148" s="7"/>
      <c r="AK148" s="7"/>
      <c r="AL148" s="7"/>
      <c r="AM148" s="7"/>
      <c r="AN148" s="7"/>
      <c r="AR148" s="92"/>
      <c r="AS148" s="7"/>
      <c r="AT148" s="144"/>
      <c r="AU148" s="144"/>
      <c r="AV148" s="144"/>
      <c r="AW148" s="144"/>
      <c r="AX148" s="144"/>
      <c r="AY148" s="144"/>
      <c r="AZ148" s="7"/>
    </row>
    <row r="149" spans="1:52" s="18" customFormat="1">
      <c r="A149" s="19">
        <f t="shared" si="153"/>
        <v>4.9242436346099627E-3</v>
      </c>
      <c r="B149" s="26">
        <f t="shared" si="139"/>
        <v>0.99998787593681238</v>
      </c>
      <c r="C149" s="26">
        <f t="shared" si="140"/>
        <v>1.261760488777576</v>
      </c>
      <c r="D149" s="26">
        <f t="shared" si="141"/>
        <v>0.20754702426813273</v>
      </c>
      <c r="E149" s="26">
        <f t="shared" si="142"/>
        <v>4.9242237339802188E-3</v>
      </c>
      <c r="F149" s="77">
        <f t="shared" si="143"/>
        <v>1.1128180949729491</v>
      </c>
      <c r="G149" s="77">
        <f t="shared" si="144"/>
        <v>0.10081744699529227</v>
      </c>
      <c r="H149" s="75">
        <f t="shared" si="145"/>
        <v>0.11251751523400473</v>
      </c>
      <c r="I149" s="75">
        <f t="shared" si="146"/>
        <v>-0.31738682004335639</v>
      </c>
      <c r="J149" s="77">
        <f t="shared" si="147"/>
        <v>-9.1625631795773377E-3</v>
      </c>
      <c r="K149" s="77">
        <f t="shared" si="148"/>
        <v>-1.8606896410607316</v>
      </c>
      <c r="L149" s="91">
        <f t="shared" si="149"/>
        <v>1.8607122004530239</v>
      </c>
      <c r="M149" s="93"/>
      <c r="N149" s="75">
        <f t="shared" si="150"/>
        <v>-2.7774255861423569E-4</v>
      </c>
      <c r="O149" s="75">
        <f t="shared" si="151"/>
        <v>0.22076578200049363</v>
      </c>
      <c r="P149" s="109">
        <f t="shared" si="152"/>
        <v>4.925500140807863E-3</v>
      </c>
      <c r="AF149" s="7"/>
      <c r="AG149" s="7"/>
      <c r="AH149" s="7"/>
      <c r="AI149" s="7"/>
      <c r="AJ149" s="7"/>
      <c r="AK149" s="7"/>
      <c r="AL149" s="7"/>
      <c r="AM149" s="7"/>
      <c r="AN149" s="7"/>
      <c r="AR149" s="92"/>
      <c r="AS149" s="7"/>
      <c r="AT149" s="144"/>
      <c r="AU149" s="144"/>
      <c r="AV149" s="144"/>
      <c r="AW149" s="144"/>
      <c r="AX149" s="144"/>
      <c r="AY149" s="144"/>
      <c r="AZ149" s="7"/>
    </row>
    <row r="150" spans="1:52" s="18" customFormat="1">
      <c r="A150" s="19">
        <f t="shared" si="153"/>
        <v>4.925500140807863E-3</v>
      </c>
      <c r="B150" s="26">
        <f t="shared" si="139"/>
        <v>0.99998786974870535</v>
      </c>
      <c r="C150" s="26">
        <f t="shared" si="140"/>
        <v>1.261760482589469</v>
      </c>
      <c r="D150" s="26">
        <f t="shared" si="141"/>
        <v>0.20756088629311648</v>
      </c>
      <c r="E150" s="26">
        <f t="shared" si="142"/>
        <v>4.9254802249402707E-3</v>
      </c>
      <c r="F150" s="77">
        <f t="shared" si="143"/>
        <v>1.1126085153463001</v>
      </c>
      <c r="G150" s="77">
        <f t="shared" si="144"/>
        <v>0.1006301607013157</v>
      </c>
      <c r="H150" s="75">
        <f t="shared" si="145"/>
        <v>0.11251923154460354</v>
      </c>
      <c r="I150" s="75">
        <f t="shared" si="146"/>
        <v>-0.31703832432915807</v>
      </c>
      <c r="J150" s="77">
        <f t="shared" si="147"/>
        <v>-9.1631751453723573E-3</v>
      </c>
      <c r="K150" s="77">
        <f t="shared" si="148"/>
        <v>-1.8603392106535772</v>
      </c>
      <c r="L150" s="91">
        <f t="shared" si="149"/>
        <v>1.860361777309435</v>
      </c>
      <c r="M150" s="93"/>
      <c r="N150" s="75">
        <f t="shared" si="150"/>
        <v>7.075315558408013E-5</v>
      </c>
      <c r="O150" s="75">
        <f t="shared" si="151"/>
        <v>0.22098626640855384</v>
      </c>
      <c r="P150" s="109">
        <f t="shared" si="152"/>
        <v>4.9251798683446835E-3</v>
      </c>
      <c r="AF150" s="7"/>
      <c r="AG150" s="7"/>
      <c r="AH150" s="7"/>
      <c r="AI150" s="7"/>
      <c r="AJ150" s="7"/>
      <c r="AK150" s="7"/>
      <c r="AL150" s="7"/>
      <c r="AM150" s="7"/>
      <c r="AN150" s="7"/>
      <c r="AR150" s="92"/>
      <c r="AS150" s="7"/>
      <c r="AT150" s="144"/>
      <c r="AU150" s="144"/>
      <c r="AV150" s="144"/>
      <c r="AW150" s="144"/>
      <c r="AX150" s="144"/>
      <c r="AY150" s="144"/>
      <c r="AZ150" s="7"/>
    </row>
    <row r="151" spans="1:52" s="18" customFormat="1">
      <c r="A151" s="19">
        <f t="shared" si="153"/>
        <v>4.9251798683446835E-3</v>
      </c>
      <c r="B151" s="26">
        <f t="shared" si="139"/>
        <v>0.99998787132614975</v>
      </c>
      <c r="C151" s="26">
        <f t="shared" si="140"/>
        <v>1.2617604841669134</v>
      </c>
      <c r="D151" s="26">
        <f t="shared" si="141"/>
        <v>0.2075573532318537</v>
      </c>
      <c r="E151" s="26">
        <f t="shared" si="142"/>
        <v>4.9251599563618241E-3</v>
      </c>
      <c r="F151" s="77">
        <f t="shared" si="143"/>
        <v>1.1126619265384108</v>
      </c>
      <c r="G151" s="77">
        <f t="shared" si="144"/>
        <v>0.10067789045628862</v>
      </c>
      <c r="H151" s="75">
        <f t="shared" si="145"/>
        <v>0.11251879413340239</v>
      </c>
      <c r="I151" s="75">
        <f t="shared" si="146"/>
        <v>-0.31712713193717479</v>
      </c>
      <c r="J151" s="77">
        <f t="shared" si="147"/>
        <v>-9.1630191715772556E-3</v>
      </c>
      <c r="K151" s="77">
        <f t="shared" si="148"/>
        <v>-1.8604285175490636</v>
      </c>
      <c r="L151" s="91">
        <f t="shared" si="149"/>
        <v>1.8604510823534559</v>
      </c>
      <c r="M151" s="93"/>
      <c r="N151" s="75">
        <f t="shared" si="150"/>
        <v>-1.8054452432636481E-5</v>
      </c>
      <c r="O151" s="75">
        <f t="shared" si="151"/>
        <v>0.22093007785272792</v>
      </c>
      <c r="P151" s="109">
        <f t="shared" si="152"/>
        <v>4.9252615818773764E-3</v>
      </c>
      <c r="AF151" s="7"/>
      <c r="AG151" s="7"/>
      <c r="AH151" s="7"/>
      <c r="AI151" s="7"/>
      <c r="AJ151" s="7"/>
      <c r="AK151" s="7"/>
      <c r="AL151" s="7"/>
      <c r="AM151" s="7"/>
      <c r="AN151" s="7"/>
      <c r="AR151" s="92"/>
      <c r="AS151" s="7"/>
      <c r="AT151" s="144"/>
      <c r="AU151" s="144"/>
      <c r="AV151" s="144"/>
      <c r="AW151" s="144"/>
      <c r="AX151" s="144"/>
      <c r="AY151" s="144"/>
      <c r="AZ151" s="7"/>
    </row>
    <row r="152" spans="1:52" s="18" customFormat="1">
      <c r="A152" s="19">
        <f>$P151</f>
        <v>4.9252615818773764E-3</v>
      </c>
      <c r="B152" s="26">
        <f t="shared" si="139"/>
        <v>0.99998787092369423</v>
      </c>
      <c r="C152" s="26">
        <f t="shared" si="140"/>
        <v>1.2617604837644578</v>
      </c>
      <c r="D152" s="26">
        <f t="shared" si="141"/>
        <v>0.20755825466457592</v>
      </c>
      <c r="E152" s="26">
        <f t="shared" si="142"/>
        <v>4.9252416689034234E-3</v>
      </c>
      <c r="F152" s="77">
        <f t="shared" si="143"/>
        <v>1.1126482987638817</v>
      </c>
      <c r="G152" s="77">
        <f t="shared" si="144"/>
        <v>0.10066571229075075</v>
      </c>
      <c r="H152" s="75">
        <f t="shared" si="145"/>
        <v>0.11251890573741649</v>
      </c>
      <c r="I152" s="75">
        <f t="shared" si="146"/>
        <v>-0.31710447242242334</v>
      </c>
      <c r="J152" s="77">
        <f t="shared" si="147"/>
        <v>-9.1630589670611898E-3</v>
      </c>
      <c r="K152" s="77">
        <f t="shared" si="148"/>
        <v>-1.8604057310470734</v>
      </c>
      <c r="L152" s="91">
        <f t="shared" si="149"/>
        <v>1.860428296323841</v>
      </c>
      <c r="M152" s="93"/>
      <c r="N152" s="75">
        <f t="shared" si="150"/>
        <v>4.6050623188076401E-6</v>
      </c>
      <c r="O152" s="75">
        <f t="shared" si="151"/>
        <v>0.22094441437807233</v>
      </c>
      <c r="P152" s="109">
        <f t="shared" si="152"/>
        <v>4.9252407388145842E-3</v>
      </c>
      <c r="AF152" s="7"/>
      <c r="AG152" s="7"/>
      <c r="AH152" s="7"/>
      <c r="AI152" s="7"/>
      <c r="AJ152" s="7"/>
      <c r="AK152" s="7"/>
      <c r="AL152" s="7"/>
      <c r="AM152" s="7"/>
      <c r="AN152" s="7"/>
      <c r="AR152" s="92"/>
      <c r="AS152" s="7"/>
      <c r="AT152" s="144"/>
      <c r="AU152" s="144"/>
      <c r="AV152" s="144"/>
      <c r="AW152" s="144"/>
      <c r="AX152" s="144"/>
      <c r="AY152" s="144"/>
      <c r="AZ152" s="7"/>
    </row>
    <row r="153" spans="1:52" s="18" customFormat="1">
      <c r="A153" s="19">
        <f t="shared" si="153"/>
        <v>4.9252407388145842E-3</v>
      </c>
      <c r="B153" s="26">
        <f t="shared" si="139"/>
        <v>0.99998787102635112</v>
      </c>
      <c r="C153" s="26">
        <f t="shared" si="140"/>
        <v>1.2617604838671146</v>
      </c>
      <c r="D153" s="26">
        <f t="shared" si="141"/>
        <v>0.20755802473285584</v>
      </c>
      <c r="E153" s="26">
        <f t="shared" si="142"/>
        <v>4.9252208260934377E-3</v>
      </c>
      <c r="F153" s="77">
        <f t="shared" si="143"/>
        <v>1.1126517748283704</v>
      </c>
      <c r="G153" s="77">
        <f t="shared" si="144"/>
        <v>0.10066881860049146</v>
      </c>
      <c r="H153" s="75">
        <f t="shared" si="145"/>
        <v>0.11251887727030493</v>
      </c>
      <c r="I153" s="75">
        <f t="shared" si="146"/>
        <v>-0.31711025220510747</v>
      </c>
      <c r="J153" s="77">
        <f t="shared" si="147"/>
        <v>-9.1630488162824947E-3</v>
      </c>
      <c r="K153" s="77">
        <f t="shared" si="148"/>
        <v>-1.860411543247021</v>
      </c>
      <c r="L153" s="91">
        <f t="shared" si="149"/>
        <v>1.8604341084032974</v>
      </c>
      <c r="M153" s="93"/>
      <c r="N153" s="75">
        <f t="shared" si="150"/>
        <v>-1.1747203653156291E-6</v>
      </c>
      <c r="O153" s="75">
        <f t="shared" si="151"/>
        <v>0.22094075753829262</v>
      </c>
      <c r="P153" s="109">
        <f t="shared" si="152"/>
        <v>4.9252460556883587E-3</v>
      </c>
      <c r="AF153" s="7"/>
      <c r="AG153" s="7"/>
      <c r="AH153" s="7"/>
      <c r="AI153" s="7"/>
      <c r="AJ153" s="7"/>
      <c r="AK153" s="7"/>
      <c r="AL153" s="7"/>
      <c r="AM153" s="7"/>
      <c r="AN153" s="7"/>
      <c r="AR153" s="92"/>
      <c r="AS153" s="7"/>
      <c r="AT153" s="144"/>
      <c r="AU153" s="144"/>
      <c r="AV153" s="144"/>
      <c r="AW153" s="144"/>
      <c r="AX153" s="144"/>
      <c r="AY153" s="144"/>
      <c r="AZ153" s="7"/>
    </row>
    <row r="154" spans="1:52" s="18" customFormat="1">
      <c r="A154" s="19">
        <f t="shared" si="153"/>
        <v>4.9252460556883587E-3</v>
      </c>
      <c r="B154" s="26">
        <f t="shared" si="139"/>
        <v>0.99998787100016429</v>
      </c>
      <c r="C154" s="26">
        <f t="shared" si="140"/>
        <v>1.261760483840928</v>
      </c>
      <c r="D154" s="26">
        <f t="shared" si="141"/>
        <v>0.20755808338639287</v>
      </c>
      <c r="E154" s="26">
        <f t="shared" si="142"/>
        <v>4.9252261429027239E-3</v>
      </c>
      <c r="F154" s="77">
        <f t="shared" si="143"/>
        <v>1.1126508881138344</v>
      </c>
      <c r="G154" s="77">
        <f t="shared" si="144"/>
        <v>0.10066802620725208</v>
      </c>
      <c r="H154" s="81">
        <f t="shared" si="145"/>
        <v>0.11251888453202039</v>
      </c>
      <c r="I154" s="81">
        <f t="shared" si="146"/>
        <v>-0.31710877782990499</v>
      </c>
      <c r="J154" s="80">
        <f t="shared" si="147"/>
        <v>-9.1630514056558685E-3</v>
      </c>
      <c r="K154" s="80">
        <f t="shared" si="148"/>
        <v>-1.8604100606041649</v>
      </c>
      <c r="L154" s="91">
        <f t="shared" si="149"/>
        <v>1.8604326257911776</v>
      </c>
      <c r="M154" s="93"/>
      <c r="N154" s="75">
        <f t="shared" si="150"/>
        <v>2.9965483716587471E-7</v>
      </c>
      <c r="O154" s="75">
        <f t="shared" si="151"/>
        <v>0.22094169036754105</v>
      </c>
      <c r="P154" s="109">
        <f t="shared" si="152"/>
        <v>4.9252446994244364E-3</v>
      </c>
      <c r="AF154" s="7"/>
      <c r="AG154" s="7"/>
      <c r="AH154" s="7"/>
      <c r="AI154" s="7"/>
      <c r="AJ154" s="7"/>
      <c r="AK154" s="7"/>
      <c r="AL154" s="7"/>
      <c r="AM154" s="7"/>
      <c r="AN154" s="7"/>
      <c r="AR154" s="92"/>
      <c r="AS154" s="7"/>
      <c r="AT154" s="144"/>
      <c r="AU154" s="144"/>
      <c r="AV154" s="144"/>
      <c r="AW154" s="144"/>
      <c r="AX154" s="144"/>
      <c r="AY154" s="144"/>
      <c r="AZ154" s="7"/>
    </row>
    <row r="155" spans="1:52" s="18" customFormat="1">
      <c r="A155" s="88" t="s">
        <v>60</v>
      </c>
      <c r="B155" s="8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AF155" s="7"/>
      <c r="AG155" s="7"/>
      <c r="AH155" s="7"/>
      <c r="AI155" s="7"/>
      <c r="AJ155" s="7"/>
      <c r="AK155" s="7"/>
      <c r="AL155" s="7"/>
      <c r="AM155" s="7"/>
      <c r="AN155" s="7"/>
      <c r="AR155" s="92"/>
      <c r="AS155" s="7"/>
      <c r="AT155" s="144"/>
      <c r="AU155" s="144"/>
      <c r="AV155" s="144"/>
      <c r="AW155" s="144"/>
      <c r="AX155" s="144"/>
      <c r="AY155" s="144"/>
      <c r="AZ155" s="7"/>
    </row>
    <row r="156" spans="1:52" s="18" customFormat="1">
      <c r="A156" s="26" t="s">
        <v>11</v>
      </c>
      <c r="B156" s="26" t="s">
        <v>13</v>
      </c>
      <c r="C156" s="26" t="s">
        <v>22</v>
      </c>
      <c r="D156" s="26" t="s">
        <v>18</v>
      </c>
      <c r="E156" s="26" t="s">
        <v>19</v>
      </c>
      <c r="F156" s="26" t="s">
        <v>20</v>
      </c>
      <c r="G156" s="26" t="s">
        <v>2</v>
      </c>
      <c r="H156" s="26" t="s">
        <v>1</v>
      </c>
      <c r="I156" s="26" t="s">
        <v>0</v>
      </c>
      <c r="J156" s="76" t="s">
        <v>3</v>
      </c>
      <c r="K156" s="76" t="s">
        <v>4</v>
      </c>
      <c r="L156" s="44" t="s">
        <v>7</v>
      </c>
      <c r="M156" s="28"/>
      <c r="N156" s="28"/>
      <c r="O156" s="28"/>
      <c r="P156" s="31"/>
      <c r="AF156" s="7"/>
      <c r="AG156" s="7"/>
      <c r="AH156" s="7"/>
      <c r="AI156" s="7"/>
      <c r="AJ156" s="7"/>
      <c r="AK156" s="7"/>
      <c r="AL156" s="7"/>
      <c r="AM156" s="7"/>
      <c r="AN156" s="7"/>
      <c r="AR156" s="92"/>
      <c r="AS156" s="7"/>
      <c r="AT156" s="144"/>
      <c r="AU156" s="144"/>
      <c r="AV156" s="144"/>
      <c r="AW156" s="144"/>
      <c r="AX156" s="144"/>
      <c r="AY156" s="144"/>
      <c r="AZ156" s="7"/>
    </row>
    <row r="157" spans="1:52" s="18" customFormat="1">
      <c r="A157" s="19">
        <f>$E141</f>
        <v>5.6914713240177831E-3</v>
      </c>
      <c r="B157" s="26">
        <f t="shared" ref="B157:B162" si="154">COS(A157)</f>
        <v>0.99998380362080463</v>
      </c>
      <c r="C157" s="26">
        <f t="shared" ref="C157:C162" si="155">($C$141+B157)</f>
        <v>1.2617564164615682</v>
      </c>
      <c r="D157" s="26">
        <f t="shared" ref="D157:D162" si="156">POWER(TAN(A157/2),$C$141)</f>
        <v>0.21556495814870275</v>
      </c>
      <c r="E157" s="26">
        <f t="shared" ref="E157:E162" si="157">SIN(A157)</f>
        <v>5.6914405969086907E-3</v>
      </c>
      <c r="F157" s="77">
        <f t="shared" ref="F157:F162" si="158">(C157*$H$141*D157/E157/$I$141/$J$141)</f>
        <v>1.0000000000000002</v>
      </c>
      <c r="G157" s="77">
        <f t="shared" ref="G157:G162" si="159">$D$141*($C$141+$G$141)/9.81/SIN($C$138)/(1-$C$141*$C$138)*(F157-1)</f>
        <v>1.9842535182842373E-16</v>
      </c>
      <c r="H157" s="121">
        <f t="shared" ref="H157:H162" si="160">-(-$H$138+$K$141*((POWER(TAN(A157/2),2*$C$141-1)/(2*$C$141-1))+(POWER(TAN(A157/2),2*$C$141+1)/(2*$C$141+1))-(POWER(TAN($E$141/2),2*$C$141-1)/(2*$C$141-1))-(POWER(TAN($E$141/2),2*$C$141+1)/(2*$C$141+1))))</f>
        <v>0.11345880055865872</v>
      </c>
      <c r="I157" s="121">
        <f t="shared" ref="I157:I162" si="161">-(-$I$138+0.5*$K$141*((POWER(TAN(A157/2),2*$C$141-2)/(2*$C$141-2))-(POWER(TAN(A157/2),2*$C$141+2)/(2*$C$141+2))-(POWER(TAN($E$141/2),2*$C$141-2)/(2*$C$141-2))+(POWER(TAN($E$141/2),2*$C$141+2)/(2*$C$141+2))))</f>
        <v>-0.13928194613695224</v>
      </c>
      <c r="J157" s="77">
        <f t="shared" ref="J157:J162" si="162">-$D$141*SIN(A157)*($C$141+$G$141)/($C$141+B157)*F157</f>
        <v>-9.5165303155045032E-3</v>
      </c>
      <c r="K157" s="77">
        <f t="shared" ref="K157:K162" si="163">-$D$141*COS(A157)*($C$141+$G$141)/($C$141+B157)*F157</f>
        <v>-1.6720505151788312</v>
      </c>
      <c r="L157" s="91">
        <f t="shared" ref="L157:L162" si="164">SQRT(J157*J157+K157*K157)</f>
        <v>1.6720775967816328</v>
      </c>
      <c r="M157" s="28"/>
      <c r="N157" s="28"/>
      <c r="O157" s="28"/>
      <c r="P157" s="31"/>
      <c r="AF157" s="7"/>
      <c r="AG157" s="7"/>
      <c r="AH157" s="7"/>
      <c r="AI157" s="7"/>
      <c r="AJ157" s="7"/>
      <c r="AK157" s="7"/>
      <c r="AL157" s="7"/>
      <c r="AM157" s="7"/>
      <c r="AN157" s="7"/>
      <c r="AR157" s="92"/>
      <c r="AS157" s="7"/>
      <c r="AT157" s="144"/>
      <c r="AU157" s="144"/>
      <c r="AV157" s="144"/>
      <c r="AW157" s="144"/>
      <c r="AX157" s="144"/>
      <c r="AY157" s="144"/>
      <c r="AZ157" s="7"/>
    </row>
    <row r="158" spans="1:52" s="18" customFormat="1">
      <c r="A158" s="20">
        <f>A157-$F$141</f>
        <v>5.5582262703518983E-3</v>
      </c>
      <c r="B158" s="26">
        <f t="shared" si="154"/>
        <v>0.99998455310013179</v>
      </c>
      <c r="C158" s="26">
        <f t="shared" si="155"/>
        <v>1.2617571659408955</v>
      </c>
      <c r="D158" s="26">
        <f t="shared" si="156"/>
        <v>0.21423229833176394</v>
      </c>
      <c r="E158" s="26">
        <f t="shared" si="157"/>
        <v>5.5581976512008788E-3</v>
      </c>
      <c r="F158" s="77">
        <f t="shared" si="158"/>
        <v>1.017642560144991</v>
      </c>
      <c r="G158" s="77">
        <f t="shared" si="159"/>
        <v>1.5765891745516233E-2</v>
      </c>
      <c r="H158" s="121">
        <f t="shared" si="160"/>
        <v>0.11330920946342597</v>
      </c>
      <c r="I158" s="121">
        <f t="shared" si="161"/>
        <v>-0.16587943323806523</v>
      </c>
      <c r="J158" s="77">
        <f t="shared" si="162"/>
        <v>-9.4576974808124915E-3</v>
      </c>
      <c r="K158" s="77">
        <f t="shared" si="163"/>
        <v>-1.70155003154002</v>
      </c>
      <c r="L158" s="91">
        <f t="shared" si="164"/>
        <v>1.7015763156189856</v>
      </c>
      <c r="M158" s="28"/>
      <c r="N158" s="28"/>
      <c r="O158" s="28"/>
      <c r="P158" s="31"/>
      <c r="AF158" s="7"/>
      <c r="AG158" s="7"/>
      <c r="AH158" s="7"/>
      <c r="AI158" s="7"/>
      <c r="AJ158" s="7"/>
      <c r="AK158" s="7"/>
      <c r="AL158" s="7"/>
      <c r="AM158" s="7"/>
      <c r="AN158" s="7"/>
      <c r="AR158" s="92"/>
      <c r="AS158" s="7"/>
      <c r="AT158" s="144"/>
      <c r="AU158" s="144"/>
      <c r="AV158" s="144"/>
      <c r="AW158" s="144"/>
      <c r="AX158" s="144"/>
      <c r="AY158" s="144"/>
      <c r="AZ158" s="7"/>
    </row>
    <row r="159" spans="1:52" s="18" customFormat="1">
      <c r="A159" s="20">
        <f>A158-$F$141</f>
        <v>5.4249812166860135E-3</v>
      </c>
      <c r="B159" s="26">
        <f t="shared" si="154"/>
        <v>0.99998528482548887</v>
      </c>
      <c r="C159" s="26">
        <f t="shared" si="155"/>
        <v>1.2617578976662525</v>
      </c>
      <c r="D159" s="26">
        <f t="shared" si="156"/>
        <v>0.21287584144652272</v>
      </c>
      <c r="E159" s="26">
        <f t="shared" si="157"/>
        <v>5.4249546068114675E-3</v>
      </c>
      <c r="F159" s="77">
        <f t="shared" si="158"/>
        <v>1.0360359419203113</v>
      </c>
      <c r="G159" s="77">
        <f t="shared" si="159"/>
        <v>3.2202738978596747E-2</v>
      </c>
      <c r="H159" s="121">
        <f t="shared" si="160"/>
        <v>0.11315422803171071</v>
      </c>
      <c r="I159" s="121">
        <f t="shared" si="161"/>
        <v>-0.19410410362339331</v>
      </c>
      <c r="J159" s="77">
        <f t="shared" si="162"/>
        <v>-9.3978140787005036E-3</v>
      </c>
      <c r="K159" s="77">
        <f t="shared" si="163"/>
        <v>-1.7323049627782643</v>
      </c>
      <c r="L159" s="91">
        <f t="shared" si="164"/>
        <v>1.7323304543232105</v>
      </c>
      <c r="M159" s="45"/>
      <c r="N159" s="28"/>
      <c r="O159" s="28"/>
      <c r="P159" s="31"/>
      <c r="AF159" s="7"/>
      <c r="AG159" s="7"/>
      <c r="AH159" s="7"/>
      <c r="AI159" s="7"/>
      <c r="AJ159" s="7"/>
      <c r="AK159" s="7"/>
      <c r="AL159" s="7"/>
      <c r="AM159" s="7"/>
      <c r="AN159" s="7"/>
      <c r="AR159" s="92"/>
      <c r="AS159" s="7"/>
      <c r="AT159" s="144"/>
      <c r="AU159" s="144"/>
      <c r="AV159" s="144"/>
      <c r="AW159" s="144"/>
      <c r="AX159" s="144"/>
      <c r="AY159" s="144"/>
      <c r="AZ159" s="7"/>
    </row>
    <row r="160" spans="1:52" s="18" customFormat="1">
      <c r="A160" s="20">
        <f>A159-$F$141</f>
        <v>5.2917361630201287E-3</v>
      </c>
      <c r="B160" s="26">
        <f t="shared" si="154"/>
        <v>0.9999859987968629</v>
      </c>
      <c r="C160" s="26">
        <f t="shared" si="155"/>
        <v>1.2617586116376265</v>
      </c>
      <c r="D160" s="26">
        <f t="shared" si="156"/>
        <v>0.21149456203389011</v>
      </c>
      <c r="E160" s="26">
        <f t="shared" si="157"/>
        <v>5.291711466106087E-3</v>
      </c>
      <c r="F160" s="77">
        <f t="shared" si="158"/>
        <v>1.0552317456411091</v>
      </c>
      <c r="G160" s="77">
        <f t="shared" si="159"/>
        <v>4.9356653203239446E-2</v>
      </c>
      <c r="H160" s="121">
        <f t="shared" si="160"/>
        <v>0.11299352230891005</v>
      </c>
      <c r="I160" s="121">
        <f t="shared" si="161"/>
        <v>-0.22409923922025321</v>
      </c>
      <c r="J160" s="77">
        <f t="shared" si="162"/>
        <v>-9.3368348383017306E-3</v>
      </c>
      <c r="K160" s="77">
        <f t="shared" si="163"/>
        <v>-1.7644015874982937</v>
      </c>
      <c r="L160" s="91">
        <f t="shared" si="164"/>
        <v>1.7644262915892226</v>
      </c>
      <c r="M160" s="45"/>
      <c r="N160" s="28"/>
      <c r="O160" s="28"/>
      <c r="P160" s="31"/>
      <c r="AF160" s="7"/>
      <c r="AG160" s="7"/>
      <c r="AH160" s="7"/>
      <c r="AI160" s="7"/>
      <c r="AJ160" s="7"/>
      <c r="AK160" s="7"/>
      <c r="AL160" s="7"/>
      <c r="AM160" s="7"/>
      <c r="AN160" s="7"/>
      <c r="AR160" s="92"/>
      <c r="AS160" s="7"/>
      <c r="AT160" s="144"/>
      <c r="AU160" s="144"/>
      <c r="AV160" s="144"/>
      <c r="AW160" s="144"/>
      <c r="AX160" s="144"/>
      <c r="AY160" s="144"/>
      <c r="AZ160" s="7"/>
    </row>
    <row r="161" spans="1:52" s="18" customFormat="1">
      <c r="A161" s="20">
        <f>A160-$F$141</f>
        <v>5.1584911093542438E-3</v>
      </c>
      <c r="B161" s="26">
        <f t="shared" si="154"/>
        <v>0.9999866950142412</v>
      </c>
      <c r="C161" s="26">
        <f t="shared" si="155"/>
        <v>1.2617593078550047</v>
      </c>
      <c r="D161" s="26">
        <f t="shared" si="156"/>
        <v>0.21008736325055244</v>
      </c>
      <c r="E161" s="26">
        <f t="shared" si="157"/>
        <v>5.1584682314503687E-3</v>
      </c>
      <c r="F161" s="77">
        <f t="shared" si="158"/>
        <v>1.075286537650838</v>
      </c>
      <c r="G161" s="77">
        <f t="shared" si="159"/>
        <v>6.7278183707076167E-2</v>
      </c>
      <c r="H161" s="121">
        <f t="shared" si="160"/>
        <v>0.11282672854980719</v>
      </c>
      <c r="I161" s="121">
        <f t="shared" si="161"/>
        <v>-0.2560247896051665</v>
      </c>
      <c r="J161" s="77">
        <f t="shared" si="162"/>
        <v>-9.2747113373552736E-3</v>
      </c>
      <c r="K161" s="77">
        <f t="shared" si="163"/>
        <v>-1.7979344877821113</v>
      </c>
      <c r="L161" s="91">
        <f t="shared" si="164"/>
        <v>1.7979584095931458</v>
      </c>
      <c r="M161" s="45"/>
      <c r="N161" s="28"/>
      <c r="O161" s="28"/>
      <c r="P161" s="89"/>
      <c r="AF161" s="7"/>
      <c r="AG161" s="7"/>
      <c r="AH161" s="7"/>
      <c r="AI161" s="7"/>
      <c r="AJ161" s="7"/>
      <c r="AK161" s="7"/>
      <c r="AL161" s="7"/>
      <c r="AM161" s="7"/>
      <c r="AN161" s="7"/>
      <c r="AR161" s="92"/>
      <c r="AS161" s="7"/>
      <c r="AT161" s="144"/>
      <c r="AU161" s="144"/>
      <c r="AV161" s="144"/>
      <c r="AW161" s="144"/>
      <c r="AX161" s="144"/>
      <c r="AY161" s="144"/>
      <c r="AZ161" s="7"/>
    </row>
    <row r="162" spans="1:52" s="18" customFormat="1">
      <c r="A162" s="20">
        <f>A161-$F$141</f>
        <v>5.025246055688359E-3</v>
      </c>
      <c r="B162" s="26">
        <f t="shared" si="154"/>
        <v>0.99998737347761146</v>
      </c>
      <c r="C162" s="26">
        <f t="shared" si="155"/>
        <v>1.261759986318375</v>
      </c>
      <c r="D162" s="26">
        <f t="shared" si="156"/>
        <v>0.20865306990755922</v>
      </c>
      <c r="E162" s="26">
        <f t="shared" si="157"/>
        <v>5.0252249052099452E-3</v>
      </c>
      <c r="F162" s="77">
        <f t="shared" si="158"/>
        <v>1.0962624721203142</v>
      </c>
      <c r="G162" s="77">
        <f t="shared" si="159"/>
        <v>8.6022873218631932E-2</v>
      </c>
      <c r="H162" s="121">
        <f t="shared" si="160"/>
        <v>0.11265344970643373</v>
      </c>
      <c r="I162" s="121">
        <f t="shared" si="161"/>
        <v>-0.29005980726422959</v>
      </c>
      <c r="J162" s="77">
        <f t="shared" si="162"/>
        <v>-9.211391694881171E-3</v>
      </c>
      <c r="K162" s="77">
        <f t="shared" si="163"/>
        <v>-1.8330075888718602</v>
      </c>
      <c r="L162" s="91">
        <f t="shared" si="164"/>
        <v>1.8330307336754579</v>
      </c>
      <c r="M162" s="45"/>
      <c r="N162" s="28"/>
      <c r="O162" s="28"/>
      <c r="P162" s="28"/>
      <c r="AF162" s="7"/>
      <c r="AG162" s="7"/>
      <c r="AH162" s="7"/>
      <c r="AI162" s="7"/>
      <c r="AJ162" s="7"/>
      <c r="AK162" s="7"/>
      <c r="AL162" s="7"/>
      <c r="AM162" s="7"/>
      <c r="AN162" s="7"/>
      <c r="AR162" s="92"/>
      <c r="AS162" s="7"/>
      <c r="AT162" s="144"/>
      <c r="AU162" s="144"/>
      <c r="AV162" s="144"/>
      <c r="AW162" s="144"/>
      <c r="AX162" s="144"/>
      <c r="AY162" s="144"/>
      <c r="AZ162" s="7"/>
    </row>
    <row r="163" spans="1:52" s="18" customFormat="1">
      <c r="A163" s="142"/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AF163" s="7"/>
      <c r="AG163" s="7"/>
      <c r="AH163" s="7"/>
      <c r="AI163" s="7"/>
      <c r="AJ163" s="7"/>
      <c r="AK163" s="7"/>
      <c r="AL163" s="7"/>
      <c r="AM163" s="7"/>
      <c r="AN163" s="7"/>
      <c r="AR163" s="92"/>
      <c r="AS163" s="7"/>
      <c r="AT163" s="144"/>
      <c r="AU163" s="144"/>
      <c r="AV163" s="144"/>
      <c r="AW163" s="144"/>
      <c r="AX163" s="144"/>
      <c r="AY163" s="144"/>
      <c r="AZ163" s="7"/>
    </row>
    <row r="164" spans="1:52" s="18" customFormat="1">
      <c r="A164" s="88" t="s">
        <v>73</v>
      </c>
      <c r="B164" s="88"/>
      <c r="C164" s="23" t="str">
        <f>CONCATENATE("m",Stufengrün!Z46)</f>
        <v>m-2</v>
      </c>
      <c r="D164" s="23" t="s">
        <v>30</v>
      </c>
      <c r="E164" s="28"/>
      <c r="F164" s="28"/>
      <c r="G164" s="28"/>
      <c r="H164" s="36" t="s">
        <v>57</v>
      </c>
      <c r="I164" s="36" t="s">
        <v>51</v>
      </c>
      <c r="J164" s="36" t="s">
        <v>58</v>
      </c>
      <c r="K164" s="36" t="s">
        <v>59</v>
      </c>
      <c r="L164" s="28"/>
      <c r="M164" s="28"/>
      <c r="N164" s="28"/>
      <c r="O164" s="28"/>
      <c r="P164" s="28"/>
      <c r="AF164" s="7"/>
      <c r="AG164" s="7"/>
      <c r="AH164" s="7"/>
      <c r="AI164" s="7"/>
      <c r="AJ164" s="7"/>
      <c r="AK164" s="7"/>
      <c r="AL164" s="7"/>
      <c r="AM164" s="7"/>
      <c r="AN164" s="7"/>
      <c r="AR164" s="92"/>
      <c r="AS164" s="7"/>
      <c r="AT164" s="144"/>
      <c r="AU164" s="144"/>
      <c r="AV164" s="144"/>
      <c r="AW164" s="144"/>
      <c r="AX164" s="144"/>
      <c r="AY164" s="144"/>
      <c r="AZ164" s="7"/>
    </row>
    <row r="165" spans="1:52" s="18" customFormat="1">
      <c r="A165" s="88" t="s">
        <v>69</v>
      </c>
      <c r="B165" s="88"/>
      <c r="C165" s="36">
        <f>Stufengrün!AA46</f>
        <v>0.14505155745746634</v>
      </c>
      <c r="D165" s="26">
        <f>Stufengrün!AC45</f>
        <v>-0.56716007517016898</v>
      </c>
      <c r="E165" s="28"/>
      <c r="F165" s="28"/>
      <c r="G165" s="28"/>
      <c r="H165" s="78">
        <f>H154</f>
        <v>0.11251888453202039</v>
      </c>
      <c r="I165" s="78">
        <f>I154</f>
        <v>-0.31710877782990499</v>
      </c>
      <c r="J165" s="78">
        <f>J154</f>
        <v>-9.1630514056558685E-3</v>
      </c>
      <c r="K165" s="78">
        <f>K154</f>
        <v>-1.8604100606041649</v>
      </c>
      <c r="L165" s="28"/>
      <c r="M165" s="28"/>
      <c r="N165" s="28"/>
      <c r="O165" s="28"/>
      <c r="P165" s="28"/>
      <c r="AF165" s="7"/>
      <c r="AG165" s="7"/>
      <c r="AH165" s="7"/>
      <c r="AI165" s="7"/>
      <c r="AJ165" s="7"/>
      <c r="AK165" s="7"/>
      <c r="AL165" s="7"/>
      <c r="AM165" s="7"/>
      <c r="AN165" s="7"/>
      <c r="AR165" s="92"/>
      <c r="AS165" s="7"/>
      <c r="AT165" s="144"/>
      <c r="AU165" s="144"/>
      <c r="AV165" s="144"/>
      <c r="AW165" s="144"/>
      <c r="AX165" s="144"/>
      <c r="AY165" s="144"/>
      <c r="AZ165" s="7"/>
    </row>
    <row r="166" spans="1:52" s="18" customFormat="1">
      <c r="A166" s="95"/>
      <c r="B166" s="95"/>
      <c r="C166" s="28"/>
      <c r="D166" s="28"/>
      <c r="E166" s="28"/>
      <c r="F166" s="28"/>
      <c r="G166" s="28"/>
      <c r="H166" s="37" t="s">
        <v>8</v>
      </c>
      <c r="I166" s="37" t="s">
        <v>8</v>
      </c>
      <c r="J166" s="37" t="s">
        <v>9</v>
      </c>
      <c r="K166" s="37" t="s">
        <v>9</v>
      </c>
      <c r="L166" s="28"/>
      <c r="M166" s="28"/>
      <c r="N166" s="28"/>
      <c r="O166" s="28"/>
      <c r="P166" s="28"/>
      <c r="AF166" s="7"/>
      <c r="AG166" s="7"/>
      <c r="AH166" s="7"/>
      <c r="AI166" s="7"/>
      <c r="AJ166" s="7"/>
      <c r="AK166" s="7"/>
      <c r="AL166" s="7"/>
      <c r="AM166" s="7"/>
      <c r="AN166" s="7"/>
      <c r="AR166" s="92"/>
      <c r="AS166" s="7"/>
      <c r="AT166" s="144"/>
      <c r="AU166" s="144"/>
      <c r="AV166" s="144"/>
      <c r="AW166" s="144"/>
      <c r="AX166" s="144"/>
      <c r="AY166" s="144"/>
      <c r="AZ166" s="7"/>
    </row>
    <row r="167" spans="1:52" s="18" customFormat="1">
      <c r="A167" s="88" t="s">
        <v>68</v>
      </c>
      <c r="B167" s="88"/>
      <c r="C167" s="115" t="s">
        <v>15</v>
      </c>
      <c r="D167" s="115" t="s">
        <v>55</v>
      </c>
      <c r="E167" s="115" t="s">
        <v>12</v>
      </c>
      <c r="F167" s="115" t="s">
        <v>10</v>
      </c>
      <c r="G167" s="115" t="s">
        <v>14</v>
      </c>
      <c r="H167" s="115" t="s">
        <v>21</v>
      </c>
      <c r="I167" s="115" t="s">
        <v>16</v>
      </c>
      <c r="J167" s="115" t="s">
        <v>17</v>
      </c>
      <c r="K167" s="115" t="s">
        <v>23</v>
      </c>
      <c r="L167" s="28"/>
      <c r="M167" s="28"/>
      <c r="N167" s="28"/>
      <c r="O167" s="28"/>
      <c r="P167" s="28"/>
      <c r="AF167" s="7"/>
      <c r="AG167" s="7"/>
      <c r="AH167" s="7"/>
      <c r="AI167" s="7"/>
      <c r="AJ167" s="7"/>
      <c r="AK167" s="7"/>
      <c r="AL167" s="7"/>
      <c r="AM167" s="7"/>
      <c r="AN167" s="7"/>
      <c r="AR167" s="92"/>
      <c r="AS167" s="7"/>
      <c r="AT167" s="144"/>
      <c r="AU167" s="144"/>
      <c r="AV167" s="144"/>
      <c r="AW167" s="144"/>
      <c r="AX167" s="144"/>
      <c r="AY167" s="144"/>
      <c r="AZ167" s="7"/>
    </row>
    <row r="168" spans="1:52" s="18" customFormat="1">
      <c r="A168" s="28"/>
      <c r="B168" s="28"/>
      <c r="C168" s="23">
        <f>Mü/TAN($C165)</f>
        <v>0.47919773462141801</v>
      </c>
      <c r="D168" s="42">
        <f>SQRT($J165*$J165+$K165*$K165)</f>
        <v>1.8604326257911776</v>
      </c>
      <c r="E168" s="20">
        <f>ATAN($J165/$K165)</f>
        <v>4.9252460556883596E-3</v>
      </c>
      <c r="F168" s="23">
        <f>($E168-A181-0.0001)/5</f>
        <v>7.1361619997443532E-5</v>
      </c>
      <c r="G168" s="23">
        <f>COS($E168)</f>
        <v>0.99998787100016429</v>
      </c>
      <c r="H168" s="23">
        <f>SIN($E168)</f>
        <v>4.9252261429027248E-3</v>
      </c>
      <c r="I168" s="23">
        <f>$C168+$G168</f>
        <v>1.4791856056215824</v>
      </c>
      <c r="J168" s="23">
        <f>POWER(TAN($E168/2),$C168)</f>
        <v>5.6229499933245441E-2</v>
      </c>
      <c r="K168" s="23">
        <f>-$D168*$D168*SIN($E168)*SIN($E168)/(2*9.81*SIN($C165)*POWER(TAN($E168/2),2*$C168))</f>
        <v>-9.3638488861973873E-3</v>
      </c>
      <c r="L168" s="28"/>
      <c r="M168" s="28"/>
      <c r="N168" s="28"/>
      <c r="O168" s="28"/>
      <c r="P168" s="28"/>
      <c r="AF168" s="7"/>
      <c r="AG168" s="7"/>
      <c r="AH168" s="7"/>
      <c r="AI168" s="7"/>
      <c r="AJ168" s="7"/>
      <c r="AK168" s="7"/>
      <c r="AL168" s="7"/>
      <c r="AM168" s="7"/>
      <c r="AN168" s="7"/>
      <c r="AR168" s="92"/>
      <c r="AS168" s="7"/>
      <c r="AT168" s="144"/>
      <c r="AU168" s="144"/>
      <c r="AV168" s="144"/>
      <c r="AW168" s="144"/>
      <c r="AX168" s="144"/>
      <c r="AY168" s="144"/>
      <c r="AZ168" s="7"/>
    </row>
    <row r="169" spans="1:52" s="18" customFormat="1">
      <c r="A169" s="88" t="s">
        <v>70</v>
      </c>
      <c r="B169" s="8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45"/>
      <c r="N169" s="28"/>
      <c r="O169" s="28"/>
      <c r="P169" s="28"/>
      <c r="AF169" s="7"/>
      <c r="AG169" s="7"/>
      <c r="AH169" s="7"/>
      <c r="AI169" s="7"/>
      <c r="AJ169" s="7"/>
      <c r="AK169" s="7"/>
      <c r="AL169" s="7"/>
      <c r="AM169" s="7"/>
      <c r="AN169" s="7"/>
      <c r="AR169" s="92"/>
      <c r="AS169" s="7"/>
      <c r="AT169" s="144"/>
      <c r="AU169" s="144"/>
      <c r="AV169" s="144"/>
      <c r="AW169" s="144"/>
      <c r="AX169" s="144"/>
      <c r="AY169" s="144"/>
      <c r="AZ169" s="7"/>
    </row>
    <row r="170" spans="1:52" s="18" customFormat="1">
      <c r="A170" s="115" t="s">
        <v>11</v>
      </c>
      <c r="B170" s="115" t="s">
        <v>13</v>
      </c>
      <c r="C170" s="117" t="s">
        <v>22</v>
      </c>
      <c r="D170" s="117" t="s">
        <v>18</v>
      </c>
      <c r="E170" s="115" t="s">
        <v>19</v>
      </c>
      <c r="F170" s="117" t="s">
        <v>20</v>
      </c>
      <c r="G170" s="117" t="s">
        <v>2</v>
      </c>
      <c r="H170" s="117" t="s">
        <v>65</v>
      </c>
      <c r="I170" s="117" t="s">
        <v>66</v>
      </c>
      <c r="J170" s="118" t="s">
        <v>3</v>
      </c>
      <c r="K170" s="118" t="s">
        <v>4</v>
      </c>
      <c r="L170" s="116" t="s">
        <v>7</v>
      </c>
      <c r="M170" s="93"/>
      <c r="N170" s="117" t="s">
        <v>61</v>
      </c>
      <c r="O170" s="117" t="s">
        <v>62</v>
      </c>
      <c r="P170" s="115" t="s">
        <v>63</v>
      </c>
      <c r="AF170" s="7"/>
      <c r="AG170" s="7"/>
      <c r="AH170" s="7"/>
      <c r="AI170" s="7"/>
      <c r="AJ170" s="7"/>
      <c r="AK170" s="7"/>
      <c r="AL170" s="7"/>
      <c r="AM170" s="7"/>
      <c r="AN170" s="7"/>
      <c r="AR170" s="92"/>
      <c r="AS170" s="7"/>
      <c r="AT170" s="144"/>
      <c r="AU170" s="144"/>
      <c r="AV170" s="144"/>
      <c r="AW170" s="144"/>
      <c r="AX170" s="144"/>
      <c r="AY170" s="144"/>
      <c r="AZ170" s="7"/>
    </row>
    <row r="171" spans="1:52" s="18" customFormat="1">
      <c r="A171" s="19">
        <f>$E168</f>
        <v>4.9252460556883596E-3</v>
      </c>
      <c r="B171" s="26">
        <f>COS(A171)</f>
        <v>0.99998787100016429</v>
      </c>
      <c r="C171" s="26">
        <f>($C$168+B171)</f>
        <v>1.4791856056215824</v>
      </c>
      <c r="D171" s="26">
        <f>POWER(TAN(A171/2),$C$168)</f>
        <v>5.6229499933245441E-2</v>
      </c>
      <c r="E171" s="26">
        <f>SIN(A171)</f>
        <v>4.9252261429027248E-3</v>
      </c>
      <c r="F171" s="77">
        <f>(C171*$H$168*D171/E171/$I$168/$J$168)</f>
        <v>0.99999999999999989</v>
      </c>
      <c r="G171" s="77">
        <f>$D$168*($C$168+$G$168)/9.81/SIN($C$165)/(1-$C$168*$C$165)*(F171-1)</f>
        <v>-2.315618283248004E-16</v>
      </c>
      <c r="H171" s="75">
        <f>-(-$H$165+$K$168*((POWER(TAN(A171/2),2*$C$168-1)/(2*$C$168-1))+(POWER(TAN(A171/2),2*$C$168+1)/(2*$C$168+1))-(POWER(TAN($E$168/2),2*$C$168-1)/(2*$C$168-1))-(POWER(TAN($E$168/2),2*$C$168+1)/(2*$C$168+1))))</f>
        <v>0.11251888453202039</v>
      </c>
      <c r="I171" s="75">
        <f>-(-$I$165+0.5*$K$168*((POWER(TAN(A171/2),2*$C$168-2)/(2*$C$168-2))-(POWER(TAN(A171/2),2*$C$168+2)/(2*$C$168+2))-(POWER(TAN($E$168/2),2*$C$168-2)/(2*$C$168-2))+(POWER(TAN($E$168/2),2*$C$168+2)/(2*$C$168+2))))</f>
        <v>-0.31710877782990493</v>
      </c>
      <c r="J171" s="77">
        <f>-$D$168*SIN(A171)*($C$168+$G$168)/($C$168+B171)*F171</f>
        <v>-9.1630514056558685E-3</v>
      </c>
      <c r="K171" s="77">
        <f>-$D$168*COS(A171)*($C$168+$G$168)/($C$168+B171)*F171</f>
        <v>-1.8604100606041649</v>
      </c>
      <c r="L171" s="91">
        <f>SQRT(J171*J171+K171*K171)</f>
        <v>1.8604326257911776</v>
      </c>
      <c r="M171" s="93"/>
      <c r="N171" s="75">
        <f>-(-$I$165+0.5*$K$168*((POWER(TAN(A171/2),2*$C$168-2)/(2*$C$168-2))-(POWER(TAN(A171/2),2*$C$168+2)/(2*$C$168+2))-(POWER(TAN($E$168/2),2*$C$168-2)/(2*$C$168-2))+(POWER(TAN($E$168/2),2*$C$168+2)/(2*$C$168+2))))-$D$165</f>
        <v>0.25005129734026404</v>
      </c>
      <c r="O171" s="75">
        <f>-(-$I$165+0.5*$K$168*((POWER(TAN((A171+$M$9)/2),2*$C$168-2)/(2*$C$168-2))-(POWER(TAN((A171+$M$9)/2),2*$C$168+2)/(2*$C$168+2))-(POWER(TAN($E$168/2),2*$C$168-2)/(2*$C$168-2))+(POWER(TAN($E$168/2),2*$C$168+2)/(2*$C$168+2))))-$D$165</f>
        <v>0.66047578556844222</v>
      </c>
      <c r="P171" s="109">
        <f>IF(A171-N171/(O171-N171)*$M$9&lt;0,A171*0.5,A171-N171/(O171-N171)*$M$9)</f>
        <v>4.3159956222657654E-3</v>
      </c>
      <c r="AF171" s="7"/>
      <c r="AG171" s="7"/>
      <c r="AH171" s="7"/>
      <c r="AI171" s="7"/>
      <c r="AJ171" s="7"/>
      <c r="AK171" s="7"/>
      <c r="AL171" s="7"/>
      <c r="AM171" s="7"/>
      <c r="AN171" s="7"/>
      <c r="AR171" s="92"/>
      <c r="AS171" s="7"/>
      <c r="AT171" s="144"/>
      <c r="AU171" s="144"/>
      <c r="AV171" s="144"/>
      <c r="AW171" s="144"/>
      <c r="AX171" s="144"/>
      <c r="AY171" s="144"/>
      <c r="AZ171" s="7"/>
    </row>
    <row r="172" spans="1:52" s="18" customFormat="1">
      <c r="A172" s="19">
        <f>$P171</f>
        <v>4.3159956222657654E-3</v>
      </c>
      <c r="B172" s="26">
        <f>COS(A172)</f>
        <v>0.99999068610535247</v>
      </c>
      <c r="C172" s="26">
        <f>($C$168+B172)</f>
        <v>1.4791884207267705</v>
      </c>
      <c r="D172" s="26">
        <f>POWER(TAN(A172/2),$C$168)</f>
        <v>5.2781727666260637E-2</v>
      </c>
      <c r="E172" s="26">
        <f>SIN(A172)</f>
        <v>4.3159822226812704E-3</v>
      </c>
      <c r="F172" s="77">
        <f>(C172*$H$168*D172/E172/$I$168/$J$168)</f>
        <v>1.0711905574877496</v>
      </c>
      <c r="G172" s="77">
        <f>$D$168*($C$168+$G$168)/9.81/SIN($C$165)/(1-$C$168*$C$165)*(F172-1)</f>
        <v>0.14848382068900909</v>
      </c>
      <c r="H172" s="75">
        <f>-(-$H$165+$K$168*((POWER(TAN(A172/2),2*$C$168-1)/(2*$C$168-1))+(POWER(TAN(A172/2),2*$C$168+1)/(2*$C$168+1))-(POWER(TAN($E$168/2),2*$C$168-1)/(2*$C$168-1))-(POWER(TAN($E$168/2),2*$C$168+1)/(2*$C$168+1))))</f>
        <v>0.1109270156644907</v>
      </c>
      <c r="I172" s="75">
        <f>-(-$I$165+0.5*$K$168*((POWER(TAN(A172/2),2*$C$168-2)/(2*$C$168-2))-(POWER(TAN(A172/2),2*$C$168+2)/(2*$C$168+2))-(POWER(TAN($E$168/2),2*$C$168-2)/(2*$C$168-2))+(POWER(TAN($E$168/2),2*$C$168+2)/(2*$C$168+2))))</f>
        <v>-0.66264330962089557</v>
      </c>
      <c r="J172" s="77">
        <f>-$D$168*SIN(A172)*($C$168+$G$168)/($C$168+B172)*F172</f>
        <v>-8.6012090532450892E-3</v>
      </c>
      <c r="K172" s="77">
        <f>-$D$168*COS(A172)*($C$168+$G$168)/($C$168+B172)*F172</f>
        <v>-1.9928555074415346</v>
      </c>
      <c r="L172" s="91">
        <f>SQRT(J172*J172+K172*K172)</f>
        <v>1.9928740688606579</v>
      </c>
      <c r="M172" s="93"/>
      <c r="N172" s="75">
        <f t="shared" ref="N172:N181" si="165">-(-$I$165+0.5*$K$168*((POWER(TAN(A172/2),2*$C$168-2)/(2*$C$168-2))-(POWER(TAN(A172/2),2*$C$168+2)/(2*$C$168+2))-(POWER(TAN($E$168/2),2*$C$168-2)/(2*$C$168-2))+(POWER(TAN($E$168/2),2*$C$168+2)/(2*$C$168+2))))-$D$165</f>
        <v>-9.5483234450726595E-2</v>
      </c>
      <c r="O172" s="75">
        <f t="shared" ref="O172:O181" si="166">-(-$I$165+0.5*$K$168*((POWER(TAN((A172+$M$9)/2),2*$C$168-2)/(2*$C$168-2))-(POWER(TAN((A172+$M$9)/2),2*$C$168+2)/(2*$C$168+2))-(POWER(TAN($E$168/2),2*$C$168-2)/(2*$C$168-2))+(POWER(TAN($E$168/2),2*$C$168+2)/(2*$C$168+2))))-$D$165</f>
        <v>0.42919029990396473</v>
      </c>
      <c r="P172" s="109">
        <f t="shared" ref="P172:P181" si="167">IF(A172-N172/(O172-N172)*$M$9&lt;0,A172*0.5,A172-N172/(O172-N172)*$M$9)</f>
        <v>4.4979816158382518E-3</v>
      </c>
      <c r="AF172" s="7"/>
      <c r="AG172" s="7"/>
      <c r="AH172" s="7"/>
      <c r="AI172" s="7"/>
      <c r="AJ172" s="7"/>
      <c r="AK172" s="7"/>
      <c r="AL172" s="7"/>
      <c r="AM172" s="7"/>
      <c r="AN172" s="7"/>
      <c r="AR172" s="92"/>
      <c r="AS172" s="7"/>
      <c r="AT172" s="144"/>
      <c r="AU172" s="144"/>
      <c r="AV172" s="144"/>
      <c r="AW172" s="144"/>
      <c r="AX172" s="144"/>
      <c r="AY172" s="144"/>
      <c r="AZ172" s="7"/>
    </row>
    <row r="173" spans="1:52" s="18" customFormat="1">
      <c r="A173" s="19">
        <f t="shared" ref="A173:A181" si="168">$P172</f>
        <v>4.4979816158382518E-3</v>
      </c>
      <c r="B173" s="26">
        <f t="shared" ref="B173:B181" si="169">COS(A173)</f>
        <v>0.99998988409774703</v>
      </c>
      <c r="C173" s="26">
        <f t="shared" ref="C173:C181" si="170">($C$168+B173)</f>
        <v>1.479187618719165</v>
      </c>
      <c r="D173" s="26">
        <f t="shared" ref="D173:D181" si="171">POWER(TAN(A173/2),$C$168)</f>
        <v>5.3836751415010604E-2</v>
      </c>
      <c r="E173" s="26">
        <f t="shared" ref="E173:E181" si="172">SIN(A173)</f>
        <v>4.4979664487805691E-3</v>
      </c>
      <c r="F173" s="77">
        <f t="shared" ref="F173:F181" si="173">(C173*$H$168*D173/E173/$I$168/$J$168)</f>
        <v>1.0483955776004488</v>
      </c>
      <c r="G173" s="77">
        <f t="shared" ref="G173:G181" si="174">$D$168*($C$168+$G$168)/9.81/SIN($C$165)/(1-$C$168*$C$165)*(F173-1)</f>
        <v>0.10093979482886635</v>
      </c>
      <c r="H173" s="75">
        <f t="shared" ref="H173:H181" si="175">-(-$H$165+$K$168*((POWER(TAN(A173/2),2*$C$168-1)/(2*$C$168-1))+(POWER(TAN(A173/2),2*$C$168+1)/(2*$C$168+1))-(POWER(TAN($E$168/2),2*$C$168-1)/(2*$C$168-1))-(POWER(TAN($E$168/2),2*$C$168+1)/(2*$C$168+1))))</f>
        <v>0.11142585205752503</v>
      </c>
      <c r="I173" s="75">
        <f t="shared" ref="I173:I181" si="176">-(-$I$165+0.5*$K$168*((POWER(TAN(A173/2),2*$C$168-2)/(2*$C$168-2))-(POWER(TAN(A173/2),2*$C$168+2)/(2*$C$168+2))-(POWER(TAN($E$168/2),2*$C$168-2)/(2*$C$168-2))+(POWER(TAN($E$168/2),2*$C$168+2)/(2*$C$168+2))))</f>
        <v>-0.54941906873527191</v>
      </c>
      <c r="J173" s="77">
        <f t="shared" ref="J173:J181" si="177">-$D$168*SIN(A173)*($C$168+$G$168)/($C$168+B173)*F173</f>
        <v>-8.7731336987685316E-3</v>
      </c>
      <c r="K173" s="77">
        <f t="shared" ref="K173:K181" si="178">-$D$168*COS(A173)*($C$168+$G$168)/($C$168+B173)*F173</f>
        <v>-1.950446952085207</v>
      </c>
      <c r="L173" s="91">
        <f t="shared" ref="L173:L181" si="179">SQRT(J173*J173+K173*K173)</f>
        <v>1.9504666828155179</v>
      </c>
      <c r="M173" s="93"/>
      <c r="N173" s="75">
        <f t="shared" si="165"/>
        <v>1.7741006434897066E-2</v>
      </c>
      <c r="O173" s="75">
        <f t="shared" si="166"/>
        <v>0.50375844035308859</v>
      </c>
      <c r="P173" s="109">
        <f t="shared" si="167"/>
        <v>4.4614787968099874E-3</v>
      </c>
      <c r="AF173" s="7"/>
      <c r="AG173" s="7"/>
      <c r="AH173" s="7"/>
      <c r="AI173" s="7"/>
      <c r="AJ173" s="7"/>
      <c r="AK173" s="7"/>
      <c r="AL173" s="7"/>
      <c r="AM173" s="7"/>
      <c r="AN173" s="7"/>
      <c r="AR173" s="92"/>
      <c r="AS173" s="7"/>
      <c r="AT173" s="144"/>
      <c r="AU173" s="144"/>
      <c r="AV173" s="144"/>
      <c r="AW173" s="144"/>
      <c r="AX173" s="144"/>
      <c r="AY173" s="144"/>
      <c r="AZ173" s="7"/>
    </row>
    <row r="174" spans="1:52" s="18" customFormat="1">
      <c r="A174" s="19">
        <f t="shared" si="168"/>
        <v>4.4614787968099874E-3</v>
      </c>
      <c r="B174" s="26">
        <f t="shared" si="169"/>
        <v>0.99999004761998112</v>
      </c>
      <c r="C174" s="26">
        <f t="shared" si="170"/>
        <v>1.4791877822413992</v>
      </c>
      <c r="D174" s="26">
        <f t="shared" si="171"/>
        <v>5.3626942289132347E-2</v>
      </c>
      <c r="E174" s="26">
        <f t="shared" si="172"/>
        <v>4.4614639960226903E-3</v>
      </c>
      <c r="F174" s="77">
        <f t="shared" si="173"/>
        <v>1.0528542056769039</v>
      </c>
      <c r="G174" s="77">
        <f t="shared" si="174"/>
        <v>0.11023926030836156</v>
      </c>
      <c r="H174" s="75">
        <f t="shared" si="175"/>
        <v>0.11132750126253803</v>
      </c>
      <c r="I174" s="75">
        <f t="shared" si="176"/>
        <v>-0.57137379448323022</v>
      </c>
      <c r="J174" s="77">
        <f t="shared" si="177"/>
        <v>-8.7389436062356024E-3</v>
      </c>
      <c r="K174" s="77">
        <f t="shared" si="178"/>
        <v>-1.9587419377895665</v>
      </c>
      <c r="L174" s="91">
        <f t="shared" si="179"/>
        <v>1.9587614321277054</v>
      </c>
      <c r="M174" s="93"/>
      <c r="N174" s="75">
        <f t="shared" si="165"/>
        <v>-4.2137193130612483E-3</v>
      </c>
      <c r="O174" s="75">
        <f t="shared" si="166"/>
        <v>0.48920818713158065</v>
      </c>
      <c r="P174" s="109">
        <f t="shared" si="167"/>
        <v>4.4700185865072534E-3</v>
      </c>
      <c r="AF174" s="7"/>
      <c r="AG174" s="7"/>
      <c r="AH174" s="7"/>
      <c r="AI174" s="7"/>
      <c r="AJ174" s="7"/>
      <c r="AK174" s="7"/>
      <c r="AL174" s="7"/>
      <c r="AM174" s="7"/>
      <c r="AN174" s="7"/>
      <c r="AR174" s="92"/>
      <c r="AS174" s="7"/>
      <c r="AT174" s="144"/>
      <c r="AU174" s="144"/>
      <c r="AV174" s="144"/>
      <c r="AW174" s="144"/>
      <c r="AX174" s="144"/>
      <c r="AY174" s="144"/>
      <c r="AZ174" s="7"/>
    </row>
    <row r="175" spans="1:52" s="18" customFormat="1">
      <c r="A175" s="19">
        <f t="shared" si="168"/>
        <v>4.4700185865072534E-3</v>
      </c>
      <c r="B175" s="26">
        <f t="shared" si="169"/>
        <v>0.99999000948355321</v>
      </c>
      <c r="C175" s="26">
        <f t="shared" si="170"/>
        <v>1.4791877441049712</v>
      </c>
      <c r="D175" s="26">
        <f t="shared" si="171"/>
        <v>5.3676106748169139E-2</v>
      </c>
      <c r="E175" s="26">
        <f t="shared" si="172"/>
        <v>4.470003700565937E-3</v>
      </c>
      <c r="F175" s="77">
        <f t="shared" si="173"/>
        <v>1.0518061550687114</v>
      </c>
      <c r="G175" s="77">
        <f t="shared" si="174"/>
        <v>0.1080533164968296</v>
      </c>
      <c r="H175" s="75">
        <f t="shared" si="175"/>
        <v>0.11135058522022026</v>
      </c>
      <c r="I175" s="75">
        <f t="shared" si="176"/>
        <v>-0.56620471306290987</v>
      </c>
      <c r="J175" s="77">
        <f t="shared" si="177"/>
        <v>-8.7469553521344647E-3</v>
      </c>
      <c r="K175" s="77">
        <f t="shared" si="178"/>
        <v>-1.956792108343387</v>
      </c>
      <c r="L175" s="91">
        <f t="shared" si="179"/>
        <v>1.9568116579024384</v>
      </c>
      <c r="M175" s="93"/>
      <c r="N175" s="75">
        <f t="shared" si="165"/>
        <v>9.5536210725910564E-4</v>
      </c>
      <c r="O175" s="75">
        <f t="shared" si="166"/>
        <v>0.49262996489559074</v>
      </c>
      <c r="P175" s="109">
        <f t="shared" si="167"/>
        <v>4.4680755085002924E-3</v>
      </c>
      <c r="AF175" s="7"/>
      <c r="AG175" s="7"/>
      <c r="AH175" s="7"/>
      <c r="AI175" s="7"/>
      <c r="AJ175" s="7"/>
      <c r="AK175" s="7"/>
      <c r="AL175" s="7"/>
      <c r="AM175" s="7"/>
      <c r="AN175" s="7"/>
      <c r="AR175" s="92"/>
      <c r="AS175" s="7"/>
      <c r="AT175" s="144"/>
      <c r="AU175" s="144"/>
      <c r="AV175" s="144"/>
      <c r="AW175" s="144"/>
      <c r="AX175" s="144"/>
      <c r="AY175" s="144"/>
      <c r="AZ175" s="7"/>
    </row>
    <row r="176" spans="1:52" s="18" customFormat="1">
      <c r="A176" s="19">
        <f t="shared" si="168"/>
        <v>4.4680755085002924E-3</v>
      </c>
      <c r="B176" s="26">
        <f t="shared" si="169"/>
        <v>0.99999001816723143</v>
      </c>
      <c r="C176" s="26">
        <f t="shared" si="170"/>
        <v>1.4791877527886494</v>
      </c>
      <c r="D176" s="26">
        <f t="shared" si="171"/>
        <v>5.3664924547423568E-2</v>
      </c>
      <c r="E176" s="26">
        <f t="shared" si="172"/>
        <v>4.468060641962892E-3</v>
      </c>
      <c r="F176" s="77">
        <f t="shared" si="173"/>
        <v>1.052044352699893</v>
      </c>
      <c r="G176" s="77">
        <f t="shared" si="174"/>
        <v>0.10855013090038307</v>
      </c>
      <c r="H176" s="75">
        <f t="shared" si="175"/>
        <v>0.11134533691342405</v>
      </c>
      <c r="I176" s="75">
        <f t="shared" si="176"/>
        <v>-0.56737907349561745</v>
      </c>
      <c r="J176" s="77">
        <f t="shared" si="177"/>
        <v>-8.7451331221594219E-3</v>
      </c>
      <c r="K176" s="77">
        <f t="shared" si="178"/>
        <v>-1.9572352594259368</v>
      </c>
      <c r="L176" s="91">
        <f t="shared" si="179"/>
        <v>1.9572547964160001</v>
      </c>
      <c r="M176" s="93"/>
      <c r="N176" s="75">
        <f t="shared" si="165"/>
        <v>-2.1899832544847175E-4</v>
      </c>
      <c r="O176" s="75">
        <f t="shared" si="166"/>
        <v>0.49185235871991306</v>
      </c>
      <c r="P176" s="109">
        <f t="shared" si="167"/>
        <v>4.4685205624997032E-3</v>
      </c>
      <c r="AF176" s="7"/>
      <c r="AG176" s="7"/>
      <c r="AH176" s="7"/>
      <c r="AI176" s="7"/>
      <c r="AJ176" s="7"/>
      <c r="AK176" s="7"/>
      <c r="AL176" s="7"/>
      <c r="AM176" s="7"/>
      <c r="AN176" s="7"/>
      <c r="AR176" s="92"/>
      <c r="AS176" s="7"/>
      <c r="AT176" s="144"/>
      <c r="AU176" s="144"/>
      <c r="AV176" s="144"/>
      <c r="AW176" s="144"/>
      <c r="AX176" s="144"/>
      <c r="AY176" s="144"/>
      <c r="AZ176" s="7"/>
    </row>
    <row r="177" spans="1:52" s="18" customFormat="1">
      <c r="A177" s="19">
        <f t="shared" si="168"/>
        <v>4.4685205624997032E-3</v>
      </c>
      <c r="B177" s="26">
        <f t="shared" si="169"/>
        <v>0.99999001617860406</v>
      </c>
      <c r="C177" s="26">
        <f t="shared" si="170"/>
        <v>1.4791877508000222</v>
      </c>
      <c r="D177" s="26">
        <f t="shared" si="171"/>
        <v>5.366748600793219E-2</v>
      </c>
      <c r="E177" s="26">
        <f t="shared" si="172"/>
        <v>4.4685056915194053E-3</v>
      </c>
      <c r="F177" s="77">
        <f t="shared" si="173"/>
        <v>1.0519897806080125</v>
      </c>
      <c r="G177" s="77">
        <f t="shared" si="174"/>
        <v>0.1084363086044022</v>
      </c>
      <c r="H177" s="75">
        <f t="shared" si="175"/>
        <v>0.1113465392263067</v>
      </c>
      <c r="I177" s="75">
        <f t="shared" si="176"/>
        <v>-0.56710999903517423</v>
      </c>
      <c r="J177" s="77">
        <f t="shared" si="177"/>
        <v>-8.7455505328485061E-3</v>
      </c>
      <c r="K177" s="77">
        <f t="shared" si="178"/>
        <v>-1.9571337316256832</v>
      </c>
      <c r="L177" s="91">
        <f t="shared" si="179"/>
        <v>1.9571532714943902</v>
      </c>
      <c r="M177" s="93"/>
      <c r="N177" s="75">
        <f t="shared" si="165"/>
        <v>5.0076134994747612E-5</v>
      </c>
      <c r="O177" s="75">
        <f t="shared" si="166"/>
        <v>0.49203051601059605</v>
      </c>
      <c r="P177" s="109">
        <f t="shared" si="167"/>
        <v>4.4684187776909265E-3</v>
      </c>
      <c r="AF177" s="7"/>
      <c r="AG177" s="7"/>
      <c r="AH177" s="7"/>
      <c r="AI177" s="7"/>
      <c r="AJ177" s="7"/>
      <c r="AK177" s="7"/>
      <c r="AL177" s="7"/>
      <c r="AM177" s="7"/>
      <c r="AN177" s="7"/>
      <c r="AR177" s="92"/>
      <c r="AS177" s="7"/>
      <c r="AT177" s="144"/>
      <c r="AU177" s="144"/>
      <c r="AV177" s="144"/>
      <c r="AW177" s="144"/>
      <c r="AX177" s="144"/>
      <c r="AY177" s="144"/>
      <c r="AZ177" s="7"/>
    </row>
    <row r="178" spans="1:52" s="18" customFormat="1">
      <c r="A178" s="19">
        <f>$P177</f>
        <v>4.4684187776909265E-3</v>
      </c>
      <c r="B178" s="26">
        <f t="shared" si="169"/>
        <v>0.99999001663342491</v>
      </c>
      <c r="C178" s="26">
        <f t="shared" si="170"/>
        <v>1.4791877512548428</v>
      </c>
      <c r="D178" s="26">
        <f t="shared" si="171"/>
        <v>5.3666900208112524E-2</v>
      </c>
      <c r="E178" s="26">
        <f t="shared" si="172"/>
        <v>4.468403907726807E-3</v>
      </c>
      <c r="F178" s="77">
        <f t="shared" si="173"/>
        <v>1.0520022606339723</v>
      </c>
      <c r="G178" s="77">
        <f t="shared" si="174"/>
        <v>0.10846233848817048</v>
      </c>
      <c r="H178" s="75">
        <f t="shared" si="175"/>
        <v>0.11134626426576062</v>
      </c>
      <c r="I178" s="75">
        <f t="shared" si="176"/>
        <v>-0.56717153211839977</v>
      </c>
      <c r="J178" s="77">
        <f t="shared" si="177"/>
        <v>-8.7454550720340342E-3</v>
      </c>
      <c r="K178" s="77">
        <f t="shared" si="178"/>
        <v>-1.957156949896049</v>
      </c>
      <c r="L178" s="91">
        <f t="shared" si="179"/>
        <v>1.9571764891063919</v>
      </c>
      <c r="M178" s="93"/>
      <c r="N178" s="75">
        <f t="shared" si="165"/>
        <v>-1.1456948230792463E-5</v>
      </c>
      <c r="O178" s="75">
        <f t="shared" si="166"/>
        <v>0.4919897736651605</v>
      </c>
      <c r="P178" s="109">
        <f t="shared" si="167"/>
        <v>4.4684420641128248E-3</v>
      </c>
      <c r="AF178" s="7"/>
      <c r="AG178" s="7"/>
      <c r="AH178" s="7"/>
      <c r="AI178" s="7"/>
      <c r="AJ178" s="7"/>
      <c r="AK178" s="7"/>
      <c r="AL178" s="7"/>
      <c r="AM178" s="7"/>
      <c r="AN178" s="7"/>
      <c r="AR178" s="92"/>
      <c r="AS178" s="7"/>
      <c r="AT178" s="144"/>
      <c r="AU178" s="144"/>
      <c r="AV178" s="144"/>
      <c r="AW178" s="144"/>
      <c r="AX178" s="144"/>
      <c r="AY178" s="144"/>
      <c r="AZ178" s="7"/>
    </row>
    <row r="179" spans="1:52" s="18" customFormat="1">
      <c r="A179" s="19">
        <f t="shared" si="168"/>
        <v>4.4684420641128248E-3</v>
      </c>
      <c r="B179" s="26">
        <f t="shared" si="169"/>
        <v>0.99999001652937147</v>
      </c>
      <c r="C179" s="26">
        <f t="shared" si="170"/>
        <v>1.4791877511507896</v>
      </c>
      <c r="D179" s="26">
        <f t="shared" si="171"/>
        <v>5.3667034228545581E-2</v>
      </c>
      <c r="E179" s="26">
        <f t="shared" si="172"/>
        <v>4.4684271939162273E-3</v>
      </c>
      <c r="F179" s="77">
        <f t="shared" si="173"/>
        <v>1.0519994054040485</v>
      </c>
      <c r="G179" s="77">
        <f t="shared" si="174"/>
        <v>0.10845638326794189</v>
      </c>
      <c r="H179" s="75">
        <f t="shared" si="175"/>
        <v>0.11134632717206205</v>
      </c>
      <c r="I179" s="75">
        <f t="shared" si="176"/>
        <v>-0.56715745427073849</v>
      </c>
      <c r="J179" s="77">
        <f t="shared" si="177"/>
        <v>-8.7454769117466229E-3</v>
      </c>
      <c r="K179" s="77">
        <f t="shared" si="178"/>
        <v>-1.9571516379279059</v>
      </c>
      <c r="L179" s="91">
        <f t="shared" si="179"/>
        <v>1.9571711772888694</v>
      </c>
      <c r="M179" s="93"/>
      <c r="N179" s="75">
        <f t="shared" si="165"/>
        <v>2.62089943048327E-6</v>
      </c>
      <c r="O179" s="75">
        <f t="shared" si="166"/>
        <v>0.49199909487289994</v>
      </c>
      <c r="P179" s="109">
        <f t="shared" si="167"/>
        <v>4.4684367370432842E-3</v>
      </c>
      <c r="AF179" s="7"/>
      <c r="AG179" s="7"/>
      <c r="AH179" s="7"/>
      <c r="AI179" s="7"/>
      <c r="AJ179" s="7"/>
      <c r="AK179" s="7"/>
      <c r="AL179" s="7"/>
      <c r="AM179" s="7"/>
      <c r="AN179" s="7"/>
      <c r="AR179" s="92"/>
      <c r="AS179" s="7"/>
      <c r="AT179" s="144"/>
      <c r="AU179" s="144"/>
      <c r="AV179" s="144"/>
      <c r="AW179" s="144"/>
      <c r="AX179" s="144"/>
      <c r="AY179" s="144"/>
      <c r="AZ179" s="7"/>
    </row>
    <row r="180" spans="1:52" s="18" customFormat="1">
      <c r="A180" s="19">
        <f t="shared" si="168"/>
        <v>4.4684367370432842E-3</v>
      </c>
      <c r="B180" s="26">
        <f t="shared" si="169"/>
        <v>0.9999900165531751</v>
      </c>
      <c r="C180" s="26">
        <f t="shared" si="170"/>
        <v>1.4791877511745932</v>
      </c>
      <c r="D180" s="26">
        <f t="shared" si="171"/>
        <v>5.3667003569673966E-2</v>
      </c>
      <c r="E180" s="26">
        <f t="shared" si="172"/>
        <v>4.4684218668998689E-3</v>
      </c>
      <c r="F180" s="77">
        <f t="shared" si="173"/>
        <v>1.0520000585727467</v>
      </c>
      <c r="G180" s="77">
        <f t="shared" si="174"/>
        <v>0.10845774559726325</v>
      </c>
      <c r="H180" s="75">
        <f t="shared" si="175"/>
        <v>0.11134631278146387</v>
      </c>
      <c r="I180" s="75">
        <f t="shared" si="176"/>
        <v>-0.56716067474686394</v>
      </c>
      <c r="J180" s="77">
        <f t="shared" si="177"/>
        <v>-8.7454719156357386E-3</v>
      </c>
      <c r="K180" s="77">
        <f t="shared" si="178"/>
        <v>-1.9571528531054609</v>
      </c>
      <c r="L180" s="91">
        <f t="shared" si="179"/>
        <v>1.9571723924319679</v>
      </c>
      <c r="M180" s="93"/>
      <c r="N180" s="75">
        <f t="shared" si="165"/>
        <v>-5.9957669495958044E-7</v>
      </c>
      <c r="O180" s="75">
        <f t="shared" si="166"/>
        <v>0.49199696253348146</v>
      </c>
      <c r="P180" s="109">
        <f t="shared" si="167"/>
        <v>4.4684379557011419E-3</v>
      </c>
      <c r="AF180" s="7"/>
      <c r="AG180" s="7"/>
      <c r="AH180" s="7"/>
      <c r="AI180" s="7"/>
      <c r="AJ180" s="7"/>
      <c r="AK180" s="7"/>
      <c r="AL180" s="7"/>
      <c r="AM180" s="7"/>
      <c r="AN180" s="7"/>
      <c r="AR180" s="92"/>
      <c r="AS180" s="7"/>
      <c r="AT180" s="144"/>
      <c r="AU180" s="144"/>
      <c r="AV180" s="144"/>
      <c r="AW180" s="144"/>
      <c r="AX180" s="144"/>
      <c r="AY180" s="144"/>
      <c r="AZ180" s="7"/>
    </row>
    <row r="181" spans="1:52" s="18" customFormat="1">
      <c r="A181" s="19">
        <f t="shared" si="168"/>
        <v>4.4684379557011419E-3</v>
      </c>
      <c r="B181" s="26">
        <f t="shared" si="169"/>
        <v>0.99999001654772968</v>
      </c>
      <c r="C181" s="26">
        <f t="shared" si="170"/>
        <v>1.4791877511691478</v>
      </c>
      <c r="D181" s="26">
        <f t="shared" si="171"/>
        <v>5.3667010583414533E-2</v>
      </c>
      <c r="E181" s="26">
        <f t="shared" si="172"/>
        <v>4.4684230855455602E-3</v>
      </c>
      <c r="F181" s="77">
        <f t="shared" si="173"/>
        <v>1.0519999091491816</v>
      </c>
      <c r="G181" s="77">
        <f t="shared" si="174"/>
        <v>0.10845743394101801</v>
      </c>
      <c r="H181" s="75">
        <f t="shared" si="175"/>
        <v>0.11134631607355977</v>
      </c>
      <c r="I181" s="75">
        <f t="shared" si="176"/>
        <v>-0.56715993800742526</v>
      </c>
      <c r="J181" s="77">
        <f t="shared" si="177"/>
        <v>-8.7454730585814419E-3</v>
      </c>
      <c r="K181" s="77">
        <f t="shared" si="178"/>
        <v>-1.9571525751127112</v>
      </c>
      <c r="L181" s="91">
        <f t="shared" si="179"/>
        <v>1.9571721144471008</v>
      </c>
      <c r="M181" s="93"/>
      <c r="N181" s="75">
        <f t="shared" si="165"/>
        <v>1.3716274371855519E-7</v>
      </c>
      <c r="O181" s="75">
        <f t="shared" si="166"/>
        <v>0.49199745034280173</v>
      </c>
      <c r="P181" s="109">
        <f t="shared" si="167"/>
        <v>4.4684376769135552E-3</v>
      </c>
      <c r="AF181" s="7"/>
      <c r="AG181" s="7"/>
      <c r="AH181" s="7"/>
      <c r="AI181" s="7"/>
      <c r="AJ181" s="7"/>
      <c r="AK181" s="7"/>
      <c r="AL181" s="7"/>
      <c r="AM181" s="7"/>
      <c r="AN181" s="7"/>
      <c r="AR181" s="92"/>
      <c r="AS181" s="7"/>
      <c r="AT181" s="144"/>
      <c r="AU181" s="144"/>
      <c r="AV181" s="144"/>
      <c r="AW181" s="144"/>
      <c r="AX181" s="144"/>
      <c r="AY181" s="144"/>
      <c r="AZ181" s="7"/>
    </row>
    <row r="182" spans="1:52" s="18" customFormat="1">
      <c r="A182" s="88" t="s">
        <v>60</v>
      </c>
      <c r="B182" s="8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AF182" s="7"/>
      <c r="AG182" s="7"/>
      <c r="AH182" s="7"/>
      <c r="AI182" s="7"/>
      <c r="AJ182" s="7"/>
      <c r="AK182" s="7"/>
      <c r="AL182" s="7"/>
      <c r="AM182" s="7"/>
      <c r="AN182" s="7"/>
      <c r="AR182" s="92"/>
      <c r="AS182" s="7"/>
      <c r="AT182" s="144"/>
      <c r="AU182" s="144"/>
      <c r="AV182" s="144"/>
      <c r="AW182" s="144"/>
      <c r="AX182" s="144"/>
      <c r="AY182" s="144"/>
      <c r="AZ182" s="7"/>
    </row>
    <row r="183" spans="1:52" s="18" customFormat="1">
      <c r="A183" s="26" t="s">
        <v>11</v>
      </c>
      <c r="B183" s="26" t="s">
        <v>13</v>
      </c>
      <c r="C183" s="26" t="s">
        <v>22</v>
      </c>
      <c r="D183" s="26" t="s">
        <v>18</v>
      </c>
      <c r="E183" s="26" t="s">
        <v>19</v>
      </c>
      <c r="F183" s="26" t="s">
        <v>20</v>
      </c>
      <c r="G183" s="26" t="s">
        <v>2</v>
      </c>
      <c r="H183" s="26" t="s">
        <v>1</v>
      </c>
      <c r="I183" s="26" t="s">
        <v>0</v>
      </c>
      <c r="J183" s="76" t="s">
        <v>3</v>
      </c>
      <c r="K183" s="76" t="s">
        <v>4</v>
      </c>
      <c r="L183" s="44" t="s">
        <v>7</v>
      </c>
      <c r="M183" s="28"/>
      <c r="N183" s="28"/>
      <c r="O183" s="28"/>
      <c r="P183" s="31"/>
      <c r="AF183" s="7"/>
      <c r="AG183" s="7"/>
      <c r="AH183" s="7"/>
      <c r="AI183" s="7"/>
      <c r="AJ183" s="7"/>
      <c r="AK183" s="7"/>
      <c r="AL183" s="7"/>
      <c r="AM183" s="7"/>
      <c r="AN183" s="7"/>
      <c r="AR183" s="92"/>
      <c r="AS183" s="7"/>
      <c r="AT183" s="144"/>
      <c r="AU183" s="144"/>
      <c r="AV183" s="144"/>
      <c r="AW183" s="144"/>
      <c r="AX183" s="144"/>
      <c r="AY183" s="144"/>
      <c r="AZ183" s="7"/>
    </row>
    <row r="184" spans="1:52" s="18" customFormat="1">
      <c r="A184" s="19">
        <f>$E168</f>
        <v>4.9252460556883596E-3</v>
      </c>
      <c r="B184" s="26">
        <f t="shared" ref="B184:B189" si="180">COS(A184)</f>
        <v>0.99998787100016429</v>
      </c>
      <c r="C184" s="26">
        <f t="shared" ref="C184:C189" si="181">($C$168+B184)</f>
        <v>1.4791856056215824</v>
      </c>
      <c r="D184" s="26">
        <f t="shared" ref="D184:D189" si="182">POWER(TAN(A184/2),$C$168)</f>
        <v>5.6229499933245441E-2</v>
      </c>
      <c r="E184" s="26">
        <f t="shared" ref="E184:E189" si="183">SIN(A184)</f>
        <v>4.9252261429027248E-3</v>
      </c>
      <c r="F184" s="77">
        <f t="shared" ref="F184:F189" si="184">(C184*$H$168*D184/E184/$I$168/$J$168)</f>
        <v>0.99999999999999989</v>
      </c>
      <c r="G184" s="77">
        <f t="shared" ref="G184:G189" si="185">$D$168*($C$168+$G$168)/9.81/SIN($C$165)/(1-$C$168*$C$165)*(F184-1)</f>
        <v>-2.315618283248004E-16</v>
      </c>
      <c r="H184" s="99">
        <f t="shared" ref="H184:H189" si="186">-(-$H$165+$K$168*((POWER(TAN(A184/2),2*$C$168-1)/(2*$C$168-1))+(POWER(TAN(A184/2),2*$C$168+1)/(2*$C$168+1))-(POWER(TAN($E$168/2),2*$C$168-1)/(2*$C$168-1))-(POWER(TAN($E$168/2),2*$C$168+1)/(2*$C$168+1))))</f>
        <v>0.11251888453202039</v>
      </c>
      <c r="I184" s="99">
        <f t="shared" ref="I184:I189" si="187">-(-$I$165+0.5*$K$168*((POWER(TAN(A184/2),2*$C$168-2)/(2*$C$168-2))-(POWER(TAN(A184/2),2*$C$168+2)/(2*$C$168+2))-(POWER(TAN($E$168/2),2*$C$168-2)/(2*$C$168-2))+(POWER(TAN($E$168/2),2*$C$168+2)/(2*$C$168+2))))</f>
        <v>-0.31710877782990493</v>
      </c>
      <c r="J184" s="77">
        <f t="shared" ref="J184:J189" si="188">-$D$168*SIN(A184)*($C$168+$G$168)/($C$168+B184)*F184</f>
        <v>-9.1630514056558685E-3</v>
      </c>
      <c r="K184" s="77">
        <f t="shared" ref="K184:K189" si="189">-$D$168*COS(A184)*($C$168+$G$168)/($C$168+B184)*F184</f>
        <v>-1.8604100606041649</v>
      </c>
      <c r="L184" s="91">
        <f t="shared" ref="L184:L189" si="190">SQRT(J184*J184+K184*K184)</f>
        <v>1.8604326257911776</v>
      </c>
      <c r="M184" s="28"/>
      <c r="N184" s="28"/>
      <c r="O184" s="28"/>
      <c r="P184" s="31"/>
      <c r="AF184" s="7"/>
      <c r="AG184" s="7"/>
      <c r="AH184" s="7"/>
      <c r="AI184" s="7"/>
      <c r="AJ184" s="7"/>
      <c r="AK184" s="7"/>
      <c r="AL184" s="7"/>
      <c r="AM184" s="7"/>
      <c r="AN184" s="7"/>
      <c r="AR184" s="92"/>
      <c r="AS184" s="7"/>
      <c r="AT184" s="144"/>
      <c r="AU184" s="144"/>
      <c r="AV184" s="144"/>
      <c r="AW184" s="144"/>
      <c r="AX184" s="144"/>
      <c r="AY184" s="144"/>
      <c r="AZ184" s="7"/>
    </row>
    <row r="185" spans="1:52" s="18" customFormat="1">
      <c r="A185" s="20">
        <f>A184-$F$168</f>
        <v>4.8538844356909158E-3</v>
      </c>
      <c r="B185" s="26">
        <f t="shared" si="180"/>
        <v>0.9999882199260709</v>
      </c>
      <c r="C185" s="26">
        <f t="shared" si="181"/>
        <v>1.4791859545474888</v>
      </c>
      <c r="D185" s="26">
        <f t="shared" si="182"/>
        <v>5.5837609146350109E-2</v>
      </c>
      <c r="E185" s="26">
        <f t="shared" si="183"/>
        <v>4.8538653759701159E-3</v>
      </c>
      <c r="F185" s="77">
        <f t="shared" si="184"/>
        <v>1.0076301291076399</v>
      </c>
      <c r="G185" s="77">
        <f t="shared" si="185"/>
        <v>1.5914339797770998E-2</v>
      </c>
      <c r="H185" s="99">
        <f t="shared" si="186"/>
        <v>0.11234336624280844</v>
      </c>
      <c r="I185" s="99">
        <f t="shared" si="187"/>
        <v>-0.35300629479679924</v>
      </c>
      <c r="J185" s="77">
        <f t="shared" si="188"/>
        <v>-9.0991896350552451E-3</v>
      </c>
      <c r="K185" s="77">
        <f t="shared" si="189"/>
        <v>-1.874605441464281</v>
      </c>
      <c r="L185" s="91">
        <f t="shared" si="190"/>
        <v>1.8746275247151116</v>
      </c>
      <c r="M185" s="28"/>
      <c r="N185" s="28"/>
      <c r="O185" s="28"/>
      <c r="P185" s="31"/>
      <c r="AF185" s="7"/>
      <c r="AG185" s="7"/>
      <c r="AH185" s="7"/>
      <c r="AI185" s="7"/>
      <c r="AJ185" s="7"/>
      <c r="AK185" s="7"/>
      <c r="AL185" s="7"/>
      <c r="AM185" s="7"/>
      <c r="AN185" s="7"/>
      <c r="AR185" s="92"/>
      <c r="AS185" s="7"/>
      <c r="AT185" s="144"/>
      <c r="AU185" s="144"/>
      <c r="AV185" s="144"/>
      <c r="AW185" s="144"/>
      <c r="AX185" s="144"/>
      <c r="AY185" s="144"/>
      <c r="AZ185" s="7"/>
    </row>
    <row r="186" spans="1:52" s="18" customFormat="1">
      <c r="A186" s="20">
        <f>A185-$F$168</f>
        <v>4.782522815693472E-3</v>
      </c>
      <c r="B186" s="26">
        <f t="shared" si="180"/>
        <v>0.99998856375955669</v>
      </c>
      <c r="C186" s="26">
        <f t="shared" si="181"/>
        <v>1.4791862983809747</v>
      </c>
      <c r="D186" s="26">
        <f t="shared" si="182"/>
        <v>5.5442706126529268E-2</v>
      </c>
      <c r="E186" s="26">
        <f t="shared" si="183"/>
        <v>4.7825045843192899E-3</v>
      </c>
      <c r="F186" s="77">
        <f t="shared" si="184"/>
        <v>1.0154327891094821</v>
      </c>
      <c r="G186" s="77">
        <f t="shared" si="185"/>
        <v>3.2188531340802518E-2</v>
      </c>
      <c r="H186" s="99">
        <f t="shared" si="186"/>
        <v>0.11216513934744875</v>
      </c>
      <c r="I186" s="99">
        <f t="shared" si="187"/>
        <v>-0.38999770940900541</v>
      </c>
      <c r="J186" s="77">
        <f t="shared" si="188"/>
        <v>-9.0348369967575021E-3</v>
      </c>
      <c r="K186" s="77">
        <f t="shared" si="189"/>
        <v>-1.8891218007008321</v>
      </c>
      <c r="L186" s="91">
        <f t="shared" si="190"/>
        <v>1.8891434053990481</v>
      </c>
      <c r="M186" s="45"/>
      <c r="N186" s="28"/>
      <c r="O186" s="28"/>
      <c r="P186" s="31"/>
      <c r="AF186" s="7"/>
      <c r="AG186" s="7"/>
      <c r="AH186" s="7"/>
      <c r="AI186" s="7"/>
      <c r="AJ186" s="7"/>
      <c r="AK186" s="7"/>
      <c r="AL186" s="7"/>
      <c r="AM186" s="7"/>
      <c r="AN186" s="7"/>
      <c r="AR186" s="92"/>
      <c r="AS186" s="7"/>
      <c r="AT186" s="144"/>
      <c r="AU186" s="144"/>
      <c r="AV186" s="144"/>
      <c r="AW186" s="144"/>
      <c r="AX186" s="144"/>
      <c r="AY186" s="144"/>
      <c r="AZ186" s="7"/>
    </row>
    <row r="187" spans="1:52" s="18" customFormat="1">
      <c r="A187" s="20">
        <f>A186-$F$168</f>
        <v>4.7111611956960281E-3</v>
      </c>
      <c r="B187" s="26">
        <f t="shared" si="180"/>
        <v>0.99998890250061989</v>
      </c>
      <c r="C187" s="26">
        <f t="shared" si="181"/>
        <v>1.4791866371220379</v>
      </c>
      <c r="D187" s="26">
        <f t="shared" si="182"/>
        <v>5.5044722246387519E-2</v>
      </c>
      <c r="E187" s="26">
        <f t="shared" si="183"/>
        <v>4.7111437683136515E-3</v>
      </c>
      <c r="F187" s="77">
        <f t="shared" si="184"/>
        <v>1.0234145442337632</v>
      </c>
      <c r="G187" s="77">
        <f t="shared" si="185"/>
        <v>4.8836265794367915E-2</v>
      </c>
      <c r="H187" s="99">
        <f t="shared" si="186"/>
        <v>0.11198412068094808</v>
      </c>
      <c r="I187" s="99">
        <f t="shared" si="187"/>
        <v>-0.42813343572499929</v>
      </c>
      <c r="J187" s="77">
        <f t="shared" si="188"/>
        <v>-8.9699823073739783E-3</v>
      </c>
      <c r="K187" s="77">
        <f t="shared" si="189"/>
        <v>-1.9039713505095694</v>
      </c>
      <c r="L187" s="91">
        <f t="shared" si="190"/>
        <v>1.9039924800649366</v>
      </c>
      <c r="M187" s="45"/>
      <c r="N187" s="28"/>
      <c r="O187" s="28"/>
      <c r="P187" s="31"/>
      <c r="AF187" s="7"/>
      <c r="AG187" s="7"/>
      <c r="AH187" s="7"/>
      <c r="AI187" s="7"/>
      <c r="AJ187" s="7"/>
      <c r="AK187" s="7"/>
      <c r="AL187" s="7"/>
      <c r="AM187" s="7"/>
      <c r="AN187" s="7"/>
      <c r="AR187" s="92"/>
      <c r="AS187" s="7"/>
      <c r="AT187" s="144"/>
      <c r="AU187" s="144"/>
      <c r="AV187" s="144"/>
      <c r="AW187" s="144"/>
      <c r="AX187" s="144"/>
      <c r="AY187" s="144"/>
      <c r="AZ187" s="7"/>
    </row>
    <row r="188" spans="1:52" s="18" customFormat="1">
      <c r="A188" s="20">
        <f>A187-$F$168</f>
        <v>4.6397995756985843E-3</v>
      </c>
      <c r="B188" s="26">
        <f t="shared" si="180"/>
        <v>0.99998923614925883</v>
      </c>
      <c r="C188" s="26">
        <f t="shared" si="181"/>
        <v>1.4791869707706768</v>
      </c>
      <c r="D188" s="26">
        <f t="shared" si="182"/>
        <v>5.4643586247469574E-2</v>
      </c>
      <c r="E188" s="26">
        <f t="shared" si="183"/>
        <v>4.6397829283166044E-3</v>
      </c>
      <c r="F188" s="77">
        <f t="shared" si="184"/>
        <v>1.0315823128784052</v>
      </c>
      <c r="G188" s="77">
        <f t="shared" si="185"/>
        <v>6.5871973023785571E-2</v>
      </c>
      <c r="H188" s="99">
        <f t="shared" si="186"/>
        <v>0.11180022321596285</v>
      </c>
      <c r="I188" s="99">
        <f t="shared" si="187"/>
        <v>-0.46746702259129985</v>
      </c>
      <c r="J188" s="77">
        <f t="shared" si="188"/>
        <v>-8.9046139547635586E-3</v>
      </c>
      <c r="K188" s="77">
        <f t="shared" si="189"/>
        <v>-1.9191669619894824</v>
      </c>
      <c r="L188" s="91">
        <f t="shared" si="190"/>
        <v>1.9191876198385667</v>
      </c>
      <c r="M188" s="45"/>
      <c r="N188" s="28"/>
      <c r="O188" s="28"/>
      <c r="P188" s="89"/>
      <c r="AF188" s="7"/>
      <c r="AG188" s="7"/>
      <c r="AH188" s="7"/>
      <c r="AI188" s="7"/>
      <c r="AJ188" s="7"/>
      <c r="AK188" s="7"/>
      <c r="AL188" s="7"/>
      <c r="AM188" s="7"/>
      <c r="AN188" s="7"/>
      <c r="AR188" s="92"/>
      <c r="AS188" s="7"/>
      <c r="AT188" s="144"/>
      <c r="AU188" s="144"/>
      <c r="AV188" s="144"/>
      <c r="AW188" s="144"/>
      <c r="AX188" s="144"/>
      <c r="AY188" s="144"/>
      <c r="AZ188" s="7"/>
    </row>
    <row r="189" spans="1:52" s="18" customFormat="1">
      <c r="A189" s="20">
        <f>A188-$F$168</f>
        <v>4.5684379557011405E-3</v>
      </c>
      <c r="B189" s="26">
        <f t="shared" si="180"/>
        <v>0.99998956470547173</v>
      </c>
      <c r="C189" s="26">
        <f t="shared" si="181"/>
        <v>1.4791872993268897</v>
      </c>
      <c r="D189" s="26">
        <f t="shared" si="182"/>
        <v>5.4239224097194089E-2</v>
      </c>
      <c r="E189" s="26">
        <f t="shared" si="183"/>
        <v>4.5684220646915515E-3</v>
      </c>
      <c r="F189" s="77">
        <f t="shared" si="184"/>
        <v>1.0399433925296251</v>
      </c>
      <c r="G189" s="77">
        <f t="shared" si="185"/>
        <v>8.331087356775016E-2</v>
      </c>
      <c r="H189" s="99">
        <f t="shared" si="186"/>
        <v>0.11161335582074929</v>
      </c>
      <c r="I189" s="99">
        <f t="shared" si="187"/>
        <v>-0.50805540059469734</v>
      </c>
      <c r="J189" s="77">
        <f t="shared" si="188"/>
        <v>-8.8387198747188374E-3</v>
      </c>
      <c r="K189" s="77">
        <f t="shared" si="189"/>
        <v>-1.9347222115018075</v>
      </c>
      <c r="L189" s="91">
        <f t="shared" si="190"/>
        <v>1.9347424011085994</v>
      </c>
      <c r="M189" s="45"/>
      <c r="N189" s="28"/>
      <c r="O189" s="28"/>
      <c r="P189" s="28"/>
      <c r="AF189" s="7"/>
      <c r="AG189" s="7"/>
      <c r="AH189" s="7"/>
      <c r="AI189" s="7"/>
      <c r="AJ189" s="7"/>
      <c r="AK189" s="7"/>
      <c r="AL189" s="7"/>
      <c r="AM189" s="7"/>
      <c r="AN189" s="7"/>
      <c r="AR189" s="92"/>
      <c r="AS189" s="7"/>
      <c r="AT189" s="144"/>
      <c r="AU189" s="144"/>
      <c r="AV189" s="144"/>
      <c r="AW189" s="144"/>
      <c r="AX189" s="144"/>
      <c r="AY189" s="144"/>
      <c r="AZ189" s="7"/>
    </row>
    <row r="190" spans="1:52" s="18" customFormat="1">
      <c r="A190" s="142"/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AF190" s="7"/>
      <c r="AG190" s="7"/>
      <c r="AH190" s="7"/>
      <c r="AI190" s="7"/>
      <c r="AJ190" s="7"/>
      <c r="AK190" s="7"/>
      <c r="AL190" s="7"/>
      <c r="AM190" s="7"/>
      <c r="AN190" s="7"/>
      <c r="AR190" s="92"/>
      <c r="AS190" s="7"/>
      <c r="AT190" s="144"/>
      <c r="AU190" s="144"/>
      <c r="AV190" s="144"/>
      <c r="AW190" s="144"/>
      <c r="AX190" s="144"/>
      <c r="AY190" s="144"/>
      <c r="AZ190" s="7"/>
    </row>
    <row r="191" spans="1:52" s="18" customFormat="1">
      <c r="A191" s="88" t="s">
        <v>73</v>
      </c>
      <c r="B191" s="88"/>
      <c r="C191" s="23" t="str">
        <f>CONCATENATE("m",Stufengrün!Z45)</f>
        <v>m-3</v>
      </c>
      <c r="D191" s="23" t="s">
        <v>30</v>
      </c>
      <c r="E191" s="28"/>
      <c r="F191" s="28"/>
      <c r="G191" s="28"/>
      <c r="H191" s="36" t="s">
        <v>57</v>
      </c>
      <c r="I191" s="36" t="s">
        <v>51</v>
      </c>
      <c r="J191" s="36" t="s">
        <v>58</v>
      </c>
      <c r="K191" s="36" t="s">
        <v>59</v>
      </c>
      <c r="L191" s="28"/>
      <c r="M191" s="28"/>
      <c r="N191" s="28"/>
      <c r="O191" s="28"/>
      <c r="P191" s="28"/>
      <c r="AF191" s="7"/>
      <c r="AG191" s="7"/>
      <c r="AH191" s="7"/>
      <c r="AI191" s="7"/>
      <c r="AJ191" s="7"/>
      <c r="AK191" s="7"/>
      <c r="AL191" s="7"/>
      <c r="AM191" s="7"/>
      <c r="AN191" s="7"/>
      <c r="AR191" s="92"/>
      <c r="AS191" s="7"/>
      <c r="AT191" s="144"/>
      <c r="AU191" s="144"/>
      <c r="AV191" s="144"/>
      <c r="AW191" s="144"/>
      <c r="AX191" s="144"/>
      <c r="AY191" s="144"/>
      <c r="AZ191" s="7"/>
    </row>
    <row r="192" spans="1:52" s="18" customFormat="1">
      <c r="A192" s="88" t="s">
        <v>69</v>
      </c>
      <c r="B192" s="88"/>
      <c r="C192" s="36">
        <f>Stufengrün!AA45</f>
        <v>5.9398558365054185E-2</v>
      </c>
      <c r="D192" s="26">
        <f>Stufengrün!AC44</f>
        <v>-1.142674178769717</v>
      </c>
      <c r="E192" s="28"/>
      <c r="F192" s="28"/>
      <c r="G192" s="28"/>
      <c r="H192" s="78">
        <f>H181</f>
        <v>0.11134631607355977</v>
      </c>
      <c r="I192" s="78">
        <f>I181</f>
        <v>-0.56715993800742526</v>
      </c>
      <c r="J192" s="78">
        <f>J181</f>
        <v>-8.7454730585814419E-3</v>
      </c>
      <c r="K192" s="78">
        <f>K181</f>
        <v>-1.9571525751127112</v>
      </c>
      <c r="L192" s="28"/>
      <c r="M192" s="28"/>
      <c r="N192" s="28"/>
      <c r="O192" s="28"/>
      <c r="P192" s="28"/>
      <c r="AF192" s="7"/>
      <c r="AG192" s="7"/>
      <c r="AH192" s="7"/>
      <c r="AI192" s="7"/>
      <c r="AJ192" s="7"/>
      <c r="AK192" s="7"/>
      <c r="AL192" s="7"/>
      <c r="AM192" s="7"/>
      <c r="AN192" s="7"/>
      <c r="AR192" s="92"/>
      <c r="AS192" s="7"/>
      <c r="AT192" s="144"/>
      <c r="AU192" s="144"/>
      <c r="AV192" s="144"/>
      <c r="AW192" s="144"/>
      <c r="AX192" s="144"/>
      <c r="AY192" s="144"/>
      <c r="AZ192" s="7"/>
    </row>
    <row r="193" spans="1:52" s="18" customFormat="1">
      <c r="A193" s="95"/>
      <c r="B193" s="95"/>
      <c r="C193" s="28"/>
      <c r="D193" s="28"/>
      <c r="E193" s="28"/>
      <c r="F193" s="28"/>
      <c r="G193" s="28"/>
      <c r="H193" s="37" t="s">
        <v>8</v>
      </c>
      <c r="I193" s="37" t="s">
        <v>8</v>
      </c>
      <c r="J193" s="37" t="s">
        <v>9</v>
      </c>
      <c r="K193" s="37" t="s">
        <v>9</v>
      </c>
      <c r="L193" s="28"/>
      <c r="M193" s="28"/>
      <c r="N193" s="28"/>
      <c r="O193" s="28"/>
      <c r="P193" s="28"/>
      <c r="AF193" s="7"/>
      <c r="AG193" s="7"/>
      <c r="AH193" s="7"/>
      <c r="AI193" s="7"/>
      <c r="AJ193" s="7"/>
      <c r="AK193" s="7"/>
      <c r="AL193" s="7"/>
      <c r="AM193" s="7"/>
      <c r="AN193" s="7"/>
      <c r="AR193" s="92"/>
      <c r="AS193" s="7"/>
      <c r="AT193" s="144"/>
      <c r="AU193" s="144"/>
      <c r="AV193" s="144"/>
      <c r="AW193" s="144"/>
      <c r="AX193" s="144"/>
      <c r="AY193" s="144"/>
      <c r="AZ193" s="7"/>
    </row>
    <row r="194" spans="1:52" s="18" customFormat="1">
      <c r="A194" s="88" t="s">
        <v>68</v>
      </c>
      <c r="B194" s="88"/>
      <c r="C194" s="115" t="s">
        <v>15</v>
      </c>
      <c r="D194" s="115" t="s">
        <v>55</v>
      </c>
      <c r="E194" s="115" t="s">
        <v>12</v>
      </c>
      <c r="F194" s="115" t="s">
        <v>10</v>
      </c>
      <c r="G194" s="115" t="s">
        <v>14</v>
      </c>
      <c r="H194" s="115" t="s">
        <v>21</v>
      </c>
      <c r="I194" s="115" t="s">
        <v>16</v>
      </c>
      <c r="J194" s="115" t="s">
        <v>17</v>
      </c>
      <c r="K194" s="115" t="s">
        <v>23</v>
      </c>
      <c r="L194" s="28"/>
      <c r="M194" s="28"/>
      <c r="N194" s="28"/>
      <c r="O194" s="28"/>
      <c r="P194" s="28"/>
      <c r="AF194" s="7"/>
      <c r="AG194" s="7"/>
      <c r="AH194" s="7"/>
      <c r="AI194" s="7"/>
      <c r="AJ194" s="7"/>
      <c r="AK194" s="7"/>
      <c r="AL194" s="7"/>
      <c r="AM194" s="7"/>
      <c r="AN194" s="7"/>
      <c r="AR194" s="92"/>
      <c r="AS194" s="7"/>
      <c r="AT194" s="144"/>
      <c r="AU194" s="144"/>
      <c r="AV194" s="144"/>
      <c r="AW194" s="144"/>
      <c r="AX194" s="144"/>
      <c r="AY194" s="144"/>
      <c r="AZ194" s="7"/>
    </row>
    <row r="195" spans="1:52" s="18" customFormat="1">
      <c r="A195" s="28"/>
      <c r="B195" s="28"/>
      <c r="C195" s="23">
        <f>Mü/TAN($C192)</f>
        <v>1.1770934876266894</v>
      </c>
      <c r="D195" s="42">
        <f>SQRT($J192*$J192+$K192*$K192)</f>
        <v>1.9571721144471008</v>
      </c>
      <c r="E195" s="20">
        <f>ATAN($J192/$K192)</f>
        <v>4.4684379557011419E-3</v>
      </c>
      <c r="F195" s="23">
        <f>($E195-A208-0.0001)/5</f>
        <v>5.6004089071372675E-5</v>
      </c>
      <c r="G195" s="23">
        <f>COS($E195)</f>
        <v>0.99999001654772968</v>
      </c>
      <c r="H195" s="23">
        <f>SIN($E195)</f>
        <v>4.4684230855455602E-3</v>
      </c>
      <c r="I195" s="23">
        <f>$C195+$G195</f>
        <v>2.1770835041744192</v>
      </c>
      <c r="J195" s="23">
        <f>POWER(TAN($E195/2),$C195)</f>
        <v>7.5800840019327751E-4</v>
      </c>
      <c r="K195" s="23">
        <f>-$D195*$D195*SIN($E195)*SIN($E195)/(2*9.81*SIN($C192)*POWER(TAN($E195/2),2*$C195))</f>
        <v>-114.28759052417657</v>
      </c>
      <c r="L195" s="28"/>
      <c r="M195" s="28"/>
      <c r="N195" s="28"/>
      <c r="O195" s="28"/>
      <c r="P195" s="28"/>
      <c r="AF195" s="7"/>
      <c r="AG195" s="7"/>
      <c r="AH195" s="7"/>
      <c r="AI195" s="7"/>
      <c r="AJ195" s="7"/>
      <c r="AK195" s="7"/>
      <c r="AL195" s="7"/>
      <c r="AM195" s="7"/>
      <c r="AN195" s="7"/>
      <c r="AR195" s="92"/>
      <c r="AS195" s="7"/>
      <c r="AT195" s="144"/>
      <c r="AU195" s="144"/>
      <c r="AV195" s="144"/>
      <c r="AW195" s="144"/>
      <c r="AX195" s="144"/>
      <c r="AY195" s="144"/>
      <c r="AZ195" s="7"/>
    </row>
    <row r="196" spans="1:52" s="18" customFormat="1">
      <c r="A196" s="88" t="s">
        <v>70</v>
      </c>
      <c r="B196" s="8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45"/>
      <c r="N196" s="28"/>
      <c r="O196" s="28"/>
      <c r="P196" s="28"/>
      <c r="AF196" s="7"/>
      <c r="AG196" s="7"/>
      <c r="AH196" s="7"/>
      <c r="AI196" s="7"/>
      <c r="AJ196" s="7"/>
      <c r="AK196" s="7"/>
      <c r="AL196" s="7"/>
      <c r="AM196" s="7"/>
      <c r="AN196" s="7"/>
      <c r="AR196" s="92"/>
      <c r="AS196" s="7"/>
      <c r="AT196" s="144"/>
      <c r="AU196" s="144"/>
      <c r="AV196" s="144"/>
      <c r="AW196" s="144"/>
      <c r="AX196" s="144"/>
      <c r="AY196" s="144"/>
      <c r="AZ196" s="7"/>
    </row>
    <row r="197" spans="1:52" s="18" customFormat="1">
      <c r="A197" s="115" t="s">
        <v>11</v>
      </c>
      <c r="B197" s="115" t="s">
        <v>13</v>
      </c>
      <c r="C197" s="117" t="s">
        <v>22</v>
      </c>
      <c r="D197" s="117" t="s">
        <v>18</v>
      </c>
      <c r="E197" s="115" t="s">
        <v>19</v>
      </c>
      <c r="F197" s="117" t="s">
        <v>20</v>
      </c>
      <c r="G197" s="117" t="s">
        <v>2</v>
      </c>
      <c r="H197" s="117" t="s">
        <v>65</v>
      </c>
      <c r="I197" s="117" t="s">
        <v>66</v>
      </c>
      <c r="J197" s="118" t="s">
        <v>3</v>
      </c>
      <c r="K197" s="118" t="s">
        <v>4</v>
      </c>
      <c r="L197" s="116" t="s">
        <v>7</v>
      </c>
      <c r="M197" s="93"/>
      <c r="N197" s="117" t="s">
        <v>61</v>
      </c>
      <c r="O197" s="117" t="s">
        <v>62</v>
      </c>
      <c r="P197" s="115" t="s">
        <v>63</v>
      </c>
      <c r="AF197" s="7"/>
      <c r="AG197" s="7"/>
      <c r="AH197" s="7"/>
      <c r="AI197" s="7"/>
      <c r="AJ197" s="7"/>
      <c r="AK197" s="7"/>
      <c r="AL197" s="7"/>
      <c r="AM197" s="7"/>
      <c r="AN197" s="7"/>
      <c r="AR197" s="92"/>
      <c r="AS197" s="7"/>
      <c r="AT197" s="144"/>
      <c r="AU197" s="144"/>
      <c r="AV197" s="144"/>
      <c r="AW197" s="144"/>
      <c r="AX197" s="144"/>
      <c r="AY197" s="144"/>
      <c r="AZ197" s="7"/>
    </row>
    <row r="198" spans="1:52" s="18" customFormat="1">
      <c r="A198" s="19">
        <f>$E195</f>
        <v>4.4684379557011419E-3</v>
      </c>
      <c r="B198" s="26">
        <f>COS(A198)</f>
        <v>0.99999001654772968</v>
      </c>
      <c r="C198" s="26">
        <f>($C$195+B198)</f>
        <v>2.1770835041744192</v>
      </c>
      <c r="D198" s="26">
        <f>POWER(TAN(A198/2),$C$195)</f>
        <v>7.5800840019327751E-4</v>
      </c>
      <c r="E198" s="26">
        <f>SIN(A198)</f>
        <v>4.4684230855455602E-3</v>
      </c>
      <c r="F198" s="77">
        <f>(C198*$H$195*D198/E198/$I$195/$J$195)</f>
        <v>1</v>
      </c>
      <c r="G198" s="77">
        <f>$D$195*($C$195+$G$195)/9.81/SIN($C$192)/(1-$C$195*$C$192)*(F198-1)</f>
        <v>0</v>
      </c>
      <c r="H198" s="75">
        <f>-(-$H$192+$K$195*((POWER(TAN(A198/2),2*$C$195-1)/(2*$C$195-1))+(POWER(TAN(A198/2),2*$C$195+1)/(2*$C$195+1))-(POWER(TAN($E$195/2),2*$C$195-1)/(2*$C$195-1))-(POWER(TAN($E$195/2),2*$C$195+1)/(2*$C$195+1))))</f>
        <v>0.11134631607355977</v>
      </c>
      <c r="I198" s="75">
        <f>-(-$I$192+0.5*$K$195*((POWER(TAN(A198/2),2*$C$195-2)/(2*$C$195-2))-(POWER(TAN(A198/2),2*$C$195+2)/(2*$C$195+2))-(POWER(TAN($E$195/2),2*$C$195-2)/(2*$C$195-2))+(POWER(TAN($E$195/2),2*$C$195+2)/(2*$C$195+2))))</f>
        <v>-0.56715993800742448</v>
      </c>
      <c r="J198" s="77">
        <f>-$D$195*SIN(A198)*($C$195+$G$195)/($C$195+B198)*F198</f>
        <v>-8.7454730585814419E-3</v>
      </c>
      <c r="K198" s="77">
        <f>-$D$195*COS(A198)*($C$195+$G$195)/($C$195+B198)*F198</f>
        <v>-1.9571525751127115</v>
      </c>
      <c r="L198" s="91">
        <f>SQRT(J198*J198+K198*K198)</f>
        <v>1.957172114447101</v>
      </c>
      <c r="M198" s="93"/>
      <c r="N198" s="75">
        <f>-(-$I$192+0.5*$K$195*((POWER(TAN(A198/2),2*$C$195-2)/(2*$C$195-2))-(POWER(TAN(A198/2),2*$C$195+2)/(2*$C$195+2))-(POWER(TAN($E$195/2),2*$C$195-2)/(2*$C$195-2))+(POWER(TAN($E$195/2),2*$C$195+2)/(2*$C$195+2))))-$D$192</f>
        <v>0.57551424076229252</v>
      </c>
      <c r="O198" s="75">
        <f>-(-$I$192+0.5*$K$195*((POWER(TAN((A198+$M$9)/2),2*$C$195-2)/(2*$C$195-2))-(POWER(TAN((A198+$M$9)/2),2*$C$195+2)/(2*$C$195+2))-(POWER(TAN($E$195/2),2*$C$195-2)/(2*$C$195-2))+(POWER(TAN($E$195/2),2*$C$195+2)/(2*$C$195+2))))-$D$192</f>
        <v>1.9525453964974371</v>
      </c>
      <c r="P198" s="109">
        <f>IF(A198-N198/(O198-N198)*$M$9&lt;0,A198*0.5,A198-N198/(O198-N198)*$M$9)</f>
        <v>4.0504995246312602E-3</v>
      </c>
      <c r="AF198" s="7"/>
      <c r="AG198" s="7"/>
      <c r="AH198" s="7"/>
      <c r="AI198" s="7"/>
      <c r="AJ198" s="7"/>
      <c r="AK198" s="7"/>
      <c r="AL198" s="7"/>
      <c r="AM198" s="7"/>
      <c r="AN198" s="7"/>
      <c r="AR198" s="92"/>
      <c r="AS198" s="7"/>
      <c r="AT198" s="144"/>
      <c r="AU198" s="144"/>
      <c r="AV198" s="144"/>
      <c r="AW198" s="144"/>
      <c r="AX198" s="144"/>
      <c r="AY198" s="144"/>
      <c r="AZ198" s="7"/>
    </row>
    <row r="199" spans="1:52" s="18" customFormat="1">
      <c r="A199" s="19">
        <f>$P198</f>
        <v>4.0504995246312602E-3</v>
      </c>
      <c r="B199" s="26">
        <f>COS(A199)</f>
        <v>0.99999179673801608</v>
      </c>
      <c r="C199" s="26">
        <f>($C$195+B199)</f>
        <v>2.1770852843647055</v>
      </c>
      <c r="D199" s="26">
        <f>POWER(TAN(A199/2),$C$195)</f>
        <v>6.7526491933059263E-4</v>
      </c>
      <c r="E199" s="26">
        <f>SIN(A199)</f>
        <v>4.0504884488556147E-3</v>
      </c>
      <c r="F199" s="77">
        <f>(C199*$H$195*D199/E199/$I$195/$J$195)</f>
        <v>0.98275986912206181</v>
      </c>
      <c r="G199" s="77">
        <f>$D$195*($C$195+$G$195)/9.81/SIN($C$192)/(1-$C$195*$C$192)*(F199-1)</f>
        <v>-0.13562312961295378</v>
      </c>
      <c r="H199" s="75">
        <f>-(-$H$192+$K$195*((POWER(TAN(A199/2),2*$C$195-1)/(2*$C$195-1))+(POWER(TAN(A199/2),2*$C$195+1)/(2*$C$195+1))-(POWER(TAN($E$195/2),2*$C$195-1)/(2*$C$195-1))-(POWER(TAN($E$195/2),2*$C$195+1)/(2*$C$195+1))))</f>
        <v>0.10864376840311772</v>
      </c>
      <c r="I199" s="75">
        <f>-(-$I$192+0.5*$K$195*((POWER(TAN(A199/2),2*$C$195-2)/(2*$C$195-2))-(POWER(TAN(A199/2),2*$C$195+2)/(2*$C$195+2))-(POWER(TAN($E$195/2),2*$C$195-2)/(2*$C$195-2))+(POWER(TAN($E$195/2),2*$C$195+2)/(2*$C$195+2))))</f>
        <v>-1.2019651956851205</v>
      </c>
      <c r="J199" s="77">
        <f>-$D$195*SIN(A199)*($C$195+$G$195)/($C$195+B199)*F199</f>
        <v>-7.7908254814921278E-3</v>
      </c>
      <c r="K199" s="77">
        <f>-$D$195*COS(A199)*($C$195+$G$195)/($C$195+B199)*F199</f>
        <v>-1.9234128598763829</v>
      </c>
      <c r="L199" s="91">
        <f>SQRT(J199*J199+K199*K199)</f>
        <v>1.92342863826541</v>
      </c>
      <c r="M199" s="93"/>
      <c r="N199" s="75">
        <f>-(-$I$192+0.5*$K$195*((POWER(TAN(A199/2),2*$C$195-2)/(2*$C$195-2))-(POWER(TAN(A199/2),2*$C$195+2)/(2*$C$195+2))-(POWER(TAN($E$195/2),2*$C$195-2)/(2*$C$195-2))+(POWER(TAN($E$195/2),2*$C$195+2)/(2*$C$195+2))))-$D$192</f>
        <v>-5.9291016915403505E-2</v>
      </c>
      <c r="O199" s="75">
        <f t="shared" ref="O199:O208" si="191">-(-$I$192+0.5*$K$195*((POWER(TAN((A199+$M$9)/2),2*$C$195-2)/(2*$C$195-2))-(POWER(TAN((A199+$M$9)/2),2*$C$195+2)/(2*$C$195+2))-(POWER(TAN($E$195/2),2*$C$195-2)/(2*$C$195-2))+(POWER(TAN($E$195/2),2*$C$195+2)/(2*$C$195+2))))-$D$192</f>
        <v>1.3986474082697604</v>
      </c>
      <c r="P199" s="109">
        <f t="shared" ref="P199:P208" si="192">IF(A199-N199/(O199-N199)*$M$9&lt;0,A199*0.5,A199-N199/(O199-N199)*$M$9)</f>
        <v>4.0911672345229676E-3</v>
      </c>
      <c r="AF199" s="7"/>
      <c r="AG199" s="7"/>
      <c r="AH199" s="7"/>
      <c r="AI199" s="7"/>
      <c r="AJ199" s="7"/>
      <c r="AK199" s="7"/>
      <c r="AL199" s="7"/>
      <c r="AM199" s="7"/>
      <c r="AN199" s="7"/>
      <c r="AR199" s="92"/>
      <c r="AS199" s="7"/>
      <c r="AT199" s="144"/>
      <c r="AU199" s="144"/>
      <c r="AV199" s="144"/>
      <c r="AW199" s="144"/>
      <c r="AX199" s="144"/>
      <c r="AY199" s="144"/>
      <c r="AZ199" s="7"/>
    </row>
    <row r="200" spans="1:52" s="18" customFormat="1">
      <c r="A200" s="19">
        <f t="shared" ref="A200:A208" si="193">$P199</f>
        <v>4.0911672345229676E-3</v>
      </c>
      <c r="B200" s="26">
        <f t="shared" ref="B200:B208" si="194">COS(A200)</f>
        <v>0.99999163118700241</v>
      </c>
      <c r="C200" s="26">
        <f t="shared" ref="C200:C208" si="195">($C$195+B200)</f>
        <v>2.1770851188136917</v>
      </c>
      <c r="D200" s="26">
        <f t="shared" ref="D200:D208" si="196">POWER(TAN(A200/2),$C$195)</f>
        <v>6.8325244657322748E-4</v>
      </c>
      <c r="E200" s="26">
        <f t="shared" ref="E200:E208" si="197">SIN(A200)</f>
        <v>4.0911558217787579E-3</v>
      </c>
      <c r="F200" s="77">
        <f t="shared" ref="F200:F208" si="198">(C200*$H$195*D200/E200/$I$195/$J$195)</f>
        <v>0.98450010088459849</v>
      </c>
      <c r="G200" s="77">
        <f t="shared" ref="G200:G208" si="199">$D$195*($C$195+$G$195)/9.81/SIN($C$192)/(1-$C$195*$C$192)*(F200-1)</f>
        <v>-0.12193322902240111</v>
      </c>
      <c r="H200" s="75">
        <f t="shared" ref="H200:H208" si="200">-(-$H$192+$K$195*((POWER(TAN(A200/2),2*$C$195-1)/(2*$C$195-1))+(POWER(TAN(A200/2),2*$C$195+1)/(2*$C$195+1))-(POWER(TAN($E$195/2),2*$C$195-1)/(2*$C$195-1))-(POWER(TAN($E$195/2),2*$C$195+1)/(2*$C$195+1))))</f>
        <v>0.1089025791224553</v>
      </c>
      <c r="I200" s="75">
        <f t="shared" ref="I200:I208" si="201">-(-$I$192+0.5*$K$195*((POWER(TAN(A200/2),2*$C$195-2)/(2*$C$195-2))-(POWER(TAN(A200/2),2*$C$195+2)/(2*$C$195+2))-(POWER(TAN($E$195/2),2*$C$195-2)/(2*$C$195-2))+(POWER(TAN($E$195/2),2*$C$195+2)/(2*$C$195+2))))</f>
        <v>-1.1383883661719736</v>
      </c>
      <c r="J200" s="77">
        <f t="shared" ref="J200:J208" si="202">-$D$195*SIN(A200)*($C$195+$G$195)/($C$195+B200)*F200</f>
        <v>-7.8829810622051358E-3</v>
      </c>
      <c r="K200" s="77">
        <f t="shared" ref="K200:K208" si="203">-$D$195*COS(A200)*($C$195+$G$195)/($C$195+B200)*F200</f>
        <v>-1.926818589760636</v>
      </c>
      <c r="L200" s="91">
        <f t="shared" ref="L200:L208" si="204">SQRT(J200*J200+K200*K200)</f>
        <v>1.9268347150800438</v>
      </c>
      <c r="M200" s="93"/>
      <c r="N200" s="75">
        <f t="shared" ref="N200:N208" si="205">-(-$I$192+0.5*$K$195*((POWER(TAN(A200/2),2*$C$195-2)/(2*$C$195-2))-(POWER(TAN(A200/2),2*$C$195+2)/(2*$C$195+2))-(POWER(TAN($E$195/2),2*$C$195-2)/(2*$C$195-2))+(POWER(TAN($E$195/2),2*$C$195+2)/(2*$C$195+2))))-$D$192</f>
        <v>4.2858125977434103E-3</v>
      </c>
      <c r="O200" s="75">
        <f t="shared" si="191"/>
        <v>1.4538158827289203</v>
      </c>
      <c r="P200" s="109">
        <f t="shared" si="192"/>
        <v>4.088210543464219E-3</v>
      </c>
      <c r="AF200" s="7"/>
      <c r="AG200" s="7"/>
      <c r="AH200" s="7"/>
      <c r="AI200" s="7"/>
      <c r="AJ200" s="7"/>
      <c r="AK200" s="7"/>
      <c r="AL200" s="7"/>
      <c r="AM200" s="7"/>
      <c r="AN200" s="7"/>
      <c r="AR200" s="92"/>
      <c r="AS200" s="7"/>
      <c r="AT200" s="144"/>
      <c r="AU200" s="144"/>
      <c r="AV200" s="144"/>
      <c r="AW200" s="144"/>
      <c r="AX200" s="144"/>
      <c r="AY200" s="144"/>
      <c r="AZ200" s="7"/>
    </row>
    <row r="201" spans="1:52" s="18" customFormat="1">
      <c r="A201" s="19">
        <f t="shared" si="193"/>
        <v>4.088210543464219E-3</v>
      </c>
      <c r="B201" s="26">
        <f t="shared" si="194"/>
        <v>0.99999164327891532</v>
      </c>
      <c r="C201" s="26">
        <f t="shared" si="195"/>
        <v>2.1770851309056045</v>
      </c>
      <c r="D201" s="26">
        <f t="shared" si="196"/>
        <v>6.8267124834744052E-4</v>
      </c>
      <c r="E201" s="26">
        <f t="shared" si="197"/>
        <v>4.0881991554461254E-3</v>
      </c>
      <c r="F201" s="77">
        <f t="shared" si="198"/>
        <v>0.98437406067161715</v>
      </c>
      <c r="G201" s="77">
        <f t="shared" si="199"/>
        <v>-0.1229247509698063</v>
      </c>
      <c r="H201" s="75">
        <f t="shared" si="200"/>
        <v>0.10888373179522473</v>
      </c>
      <c r="I201" s="75">
        <f t="shared" si="201"/>
        <v>-1.1429968396267522</v>
      </c>
      <c r="J201" s="77">
        <f t="shared" si="202"/>
        <v>-7.876275525137184E-3</v>
      </c>
      <c r="K201" s="77">
        <f t="shared" si="203"/>
        <v>-1.9265719222134963</v>
      </c>
      <c r="L201" s="91">
        <f t="shared" si="204"/>
        <v>1.9265880221722427</v>
      </c>
      <c r="M201" s="93"/>
      <c r="N201" s="75">
        <f t="shared" si="205"/>
        <v>-3.2266085703525071E-4</v>
      </c>
      <c r="O201" s="75">
        <f t="shared" si="191"/>
        <v>1.4498145468508872</v>
      </c>
      <c r="P201" s="109">
        <f t="shared" si="192"/>
        <v>4.088433047138575E-3</v>
      </c>
      <c r="AF201" s="7"/>
      <c r="AG201" s="7"/>
      <c r="AH201" s="7"/>
      <c r="AI201" s="7"/>
      <c r="AJ201" s="7"/>
      <c r="AK201" s="7"/>
      <c r="AL201" s="7"/>
      <c r="AM201" s="7"/>
      <c r="AN201" s="7"/>
      <c r="AR201" s="92"/>
      <c r="AS201" s="7"/>
      <c r="AT201" s="144"/>
      <c r="AU201" s="144"/>
      <c r="AV201" s="144"/>
      <c r="AW201" s="144"/>
      <c r="AX201" s="144"/>
      <c r="AY201" s="144"/>
      <c r="AZ201" s="7"/>
    </row>
    <row r="202" spans="1:52" s="18" customFormat="1">
      <c r="A202" s="19">
        <f t="shared" si="193"/>
        <v>4.088433047138575E-3</v>
      </c>
      <c r="B202" s="26">
        <f t="shared" si="194"/>
        <v>0.9999916423692512</v>
      </c>
      <c r="C202" s="26">
        <f t="shared" si="195"/>
        <v>2.1770851299959406</v>
      </c>
      <c r="D202" s="26">
        <f t="shared" si="196"/>
        <v>6.8271498341535865E-4</v>
      </c>
      <c r="E202" s="26">
        <f t="shared" si="197"/>
        <v>4.0884216572609792E-3</v>
      </c>
      <c r="F202" s="77">
        <f t="shared" si="198"/>
        <v>0.98438354834743536</v>
      </c>
      <c r="G202" s="77">
        <f t="shared" si="199"/>
        <v>-0.12285011416476527</v>
      </c>
      <c r="H202" s="75">
        <f t="shared" si="200"/>
        <v>0.10888514996943037</v>
      </c>
      <c r="I202" s="75">
        <f t="shared" si="201"/>
        <v>-1.1426499573666162</v>
      </c>
      <c r="J202" s="77">
        <f t="shared" si="202"/>
        <v>-7.8767801156642732E-3</v>
      </c>
      <c r="K202" s="77">
        <f t="shared" si="203"/>
        <v>-1.9265904901114208</v>
      </c>
      <c r="L202" s="91">
        <f t="shared" si="204"/>
        <v>1.9266065919779147</v>
      </c>
      <c r="M202" s="93"/>
      <c r="N202" s="75">
        <f t="shared" si="205"/>
        <v>2.4221403100765926E-5</v>
      </c>
      <c r="O202" s="75">
        <f t="shared" si="191"/>
        <v>1.4501157167650438</v>
      </c>
      <c r="P202" s="109">
        <f t="shared" si="192"/>
        <v>4.0884163437766297E-3</v>
      </c>
      <c r="AF202" s="7"/>
      <c r="AG202" s="7"/>
      <c r="AH202" s="7"/>
      <c r="AI202" s="7"/>
      <c r="AJ202" s="7"/>
      <c r="AK202" s="7"/>
      <c r="AL202" s="7"/>
      <c r="AM202" s="7"/>
      <c r="AN202" s="7"/>
      <c r="AR202" s="92"/>
      <c r="AS202" s="7"/>
      <c r="AT202" s="144"/>
      <c r="AU202" s="144"/>
      <c r="AV202" s="144"/>
      <c r="AW202" s="144"/>
      <c r="AX202" s="144"/>
      <c r="AY202" s="144"/>
      <c r="AZ202" s="7"/>
    </row>
    <row r="203" spans="1:52" s="18" customFormat="1">
      <c r="A203" s="19">
        <f t="shared" si="193"/>
        <v>4.0884163437766297E-3</v>
      </c>
      <c r="B203" s="26">
        <f t="shared" si="194"/>
        <v>0.99999164243754146</v>
      </c>
      <c r="C203" s="26">
        <f t="shared" si="195"/>
        <v>2.1770851300642309</v>
      </c>
      <c r="D203" s="26">
        <f t="shared" si="196"/>
        <v>6.8271170020699136E-4</v>
      </c>
      <c r="E203" s="26">
        <f t="shared" si="197"/>
        <v>4.088404954038634E-3</v>
      </c>
      <c r="F203" s="77">
        <f t="shared" si="198"/>
        <v>0.9843828361218897</v>
      </c>
      <c r="G203" s="77">
        <f t="shared" si="199"/>
        <v>-0.12285571703739863</v>
      </c>
      <c r="H203" s="75">
        <f t="shared" si="200"/>
        <v>0.10888504350607282</v>
      </c>
      <c r="I203" s="75">
        <f t="shared" si="201"/>
        <v>-1.1426759974119349</v>
      </c>
      <c r="J203" s="77">
        <f t="shared" si="202"/>
        <v>-7.8767422358593624E-3</v>
      </c>
      <c r="K203" s="77">
        <f t="shared" si="203"/>
        <v>-1.9265890962472705</v>
      </c>
      <c r="L203" s="91">
        <f t="shared" si="204"/>
        <v>1.9266051979705454</v>
      </c>
      <c r="M203" s="93"/>
      <c r="N203" s="75">
        <f t="shared" si="205"/>
        <v>-1.8186422179322648E-6</v>
      </c>
      <c r="O203" s="75">
        <f t="shared" si="191"/>
        <v>1.450093108219811</v>
      </c>
      <c r="P203" s="109">
        <f t="shared" si="192"/>
        <v>4.0884175979305363E-3</v>
      </c>
      <c r="AF203" s="7"/>
      <c r="AG203" s="7"/>
      <c r="AH203" s="7"/>
      <c r="AI203" s="7"/>
      <c r="AJ203" s="7"/>
      <c r="AK203" s="7"/>
      <c r="AL203" s="7"/>
      <c r="AM203" s="7"/>
      <c r="AN203" s="7"/>
      <c r="AR203" s="92"/>
      <c r="AS203" s="7"/>
      <c r="AT203" s="144"/>
      <c r="AU203" s="144"/>
      <c r="AV203" s="144"/>
      <c r="AW203" s="144"/>
      <c r="AX203" s="144"/>
      <c r="AY203" s="144"/>
      <c r="AZ203" s="7"/>
    </row>
    <row r="204" spans="1:52" s="18" customFormat="1">
      <c r="A204" s="19">
        <f t="shared" si="193"/>
        <v>4.0884175979305363E-3</v>
      </c>
      <c r="B204" s="26">
        <f t="shared" si="194"/>
        <v>0.99999164243241401</v>
      </c>
      <c r="C204" s="26">
        <f t="shared" si="195"/>
        <v>2.1770851300591034</v>
      </c>
      <c r="D204" s="26">
        <f t="shared" si="196"/>
        <v>6.8271194672306606E-4</v>
      </c>
      <c r="E204" s="26">
        <f t="shared" si="197"/>
        <v>4.0884062081820586E-3</v>
      </c>
      <c r="F204" s="77">
        <f t="shared" si="198"/>
        <v>0.98438288959865938</v>
      </c>
      <c r="G204" s="77">
        <f t="shared" si="199"/>
        <v>-0.12285529635109892</v>
      </c>
      <c r="H204" s="75">
        <f t="shared" si="200"/>
        <v>0.10888505149975376</v>
      </c>
      <c r="I204" s="75">
        <f t="shared" si="201"/>
        <v>-1.1426740422208499</v>
      </c>
      <c r="J204" s="77">
        <f t="shared" si="202"/>
        <v>-7.8767450800226822E-3</v>
      </c>
      <c r="K204" s="77">
        <f t="shared" si="203"/>
        <v>-1.9265892009042187</v>
      </c>
      <c r="L204" s="91">
        <f t="shared" si="204"/>
        <v>1.926605302638247</v>
      </c>
      <c r="M204" s="93"/>
      <c r="N204" s="75">
        <f t="shared" si="205"/>
        <v>1.3654886710234848E-7</v>
      </c>
      <c r="O204" s="75">
        <f t="shared" si="191"/>
        <v>1.450094805759699</v>
      </c>
      <c r="P204" s="109">
        <f t="shared" si="192"/>
        <v>4.0884175037650518E-3</v>
      </c>
      <c r="AF204" s="7"/>
      <c r="AG204" s="7"/>
      <c r="AH204" s="7"/>
      <c r="AI204" s="7"/>
      <c r="AJ204" s="7"/>
      <c r="AK204" s="7"/>
      <c r="AL204" s="7"/>
      <c r="AM204" s="7"/>
      <c r="AN204" s="7"/>
      <c r="AR204" s="92"/>
      <c r="AS204" s="7"/>
      <c r="AT204" s="144"/>
      <c r="AU204" s="144"/>
      <c r="AV204" s="144"/>
      <c r="AW204" s="144"/>
      <c r="AX204" s="144"/>
      <c r="AY204" s="144"/>
      <c r="AZ204" s="7"/>
    </row>
    <row r="205" spans="1:52" s="18" customFormat="1">
      <c r="A205" s="19">
        <f t="shared" si="193"/>
        <v>4.0884175037650518E-3</v>
      </c>
      <c r="B205" s="26">
        <f t="shared" si="194"/>
        <v>0.99999164243279892</v>
      </c>
      <c r="C205" s="26">
        <f t="shared" si="195"/>
        <v>2.1770851300594884</v>
      </c>
      <c r="D205" s="26">
        <f t="shared" si="196"/>
        <v>6.8271192821392837E-4</v>
      </c>
      <c r="E205" s="26">
        <f t="shared" si="197"/>
        <v>4.0884061140173608E-3</v>
      </c>
      <c r="F205" s="77">
        <f t="shared" si="198"/>
        <v>0.98438288558346876</v>
      </c>
      <c r="G205" s="77">
        <f t="shared" si="199"/>
        <v>-0.12285532793744373</v>
      </c>
      <c r="H205" s="75">
        <f t="shared" si="200"/>
        <v>0.10888505089956514</v>
      </c>
      <c r="I205" s="75">
        <f t="shared" si="201"/>
        <v>-1.1426741890222105</v>
      </c>
      <c r="J205" s="77">
        <f t="shared" si="202"/>
        <v>-7.876744866474699E-3</v>
      </c>
      <c r="K205" s="77">
        <f t="shared" si="203"/>
        <v>-1.9265891930462722</v>
      </c>
      <c r="L205" s="91">
        <f t="shared" si="204"/>
        <v>1.9266052947794932</v>
      </c>
      <c r="M205" s="93"/>
      <c r="N205" s="75">
        <f t="shared" si="205"/>
        <v>-1.0252493520823691E-8</v>
      </c>
      <c r="O205" s="75">
        <f t="shared" si="191"/>
        <v>1.4500946783035307</v>
      </c>
      <c r="P205" s="109">
        <f t="shared" si="192"/>
        <v>4.0884175108352756E-3</v>
      </c>
      <c r="AF205" s="7"/>
      <c r="AG205" s="7"/>
      <c r="AH205" s="7"/>
      <c r="AI205" s="7"/>
      <c r="AJ205" s="7"/>
      <c r="AK205" s="7"/>
      <c r="AL205" s="7"/>
      <c r="AM205" s="7"/>
      <c r="AN205" s="7"/>
      <c r="AR205" s="92"/>
      <c r="AS205" s="7"/>
      <c r="AT205" s="144"/>
      <c r="AU205" s="144"/>
      <c r="AV205" s="144"/>
      <c r="AW205" s="144"/>
      <c r="AX205" s="144"/>
      <c r="AY205" s="144"/>
      <c r="AZ205" s="7"/>
    </row>
    <row r="206" spans="1:52" s="18" customFormat="1">
      <c r="A206" s="19">
        <f>$P205</f>
        <v>4.0884175108352756E-3</v>
      </c>
      <c r="B206" s="26">
        <f t="shared" si="194"/>
        <v>0.99999164243277006</v>
      </c>
      <c r="C206" s="26">
        <f t="shared" si="195"/>
        <v>2.1770851300594596</v>
      </c>
      <c r="D206" s="26">
        <f t="shared" si="196"/>
        <v>6.8271192960364961E-4</v>
      </c>
      <c r="E206" s="26">
        <f t="shared" si="197"/>
        <v>4.0884061210875256E-3</v>
      </c>
      <c r="F206" s="77">
        <f t="shared" si="198"/>
        <v>0.98438288588494172</v>
      </c>
      <c r="G206" s="77">
        <f t="shared" si="199"/>
        <v>-0.12285532556584305</v>
      </c>
      <c r="H206" s="75">
        <f t="shared" si="200"/>
        <v>0.10888505094462911</v>
      </c>
      <c r="I206" s="75">
        <f t="shared" si="201"/>
        <v>-1.1426741779999321</v>
      </c>
      <c r="J206" s="77">
        <f t="shared" si="202"/>
        <v>-7.8767448825085174E-3</v>
      </c>
      <c r="K206" s="77">
        <f t="shared" si="203"/>
        <v>-1.9265891936362709</v>
      </c>
      <c r="L206" s="91">
        <f t="shared" si="204"/>
        <v>1.9266052953695525</v>
      </c>
      <c r="M206" s="93"/>
      <c r="N206" s="75">
        <f t="shared" si="205"/>
        <v>7.6978490248791331E-10</v>
      </c>
      <c r="O206" s="75">
        <f t="shared" si="191"/>
        <v>1.4500946878733187</v>
      </c>
      <c r="P206" s="109">
        <f t="shared" si="192"/>
        <v>4.0884175103044242E-3</v>
      </c>
      <c r="AF206" s="7"/>
      <c r="AG206" s="7"/>
      <c r="AH206" s="7"/>
      <c r="AI206" s="7"/>
      <c r="AJ206" s="7"/>
      <c r="AK206" s="7"/>
      <c r="AL206" s="7"/>
      <c r="AM206" s="7"/>
      <c r="AN206" s="7"/>
      <c r="AR206" s="92"/>
      <c r="AS206" s="7"/>
      <c r="AT206" s="144"/>
      <c r="AU206" s="144"/>
      <c r="AV206" s="144"/>
      <c r="AW206" s="144"/>
      <c r="AX206" s="144"/>
      <c r="AY206" s="144"/>
      <c r="AZ206" s="7"/>
    </row>
    <row r="207" spans="1:52" s="18" customFormat="1">
      <c r="A207" s="19">
        <f t="shared" si="193"/>
        <v>4.0884175103044242E-3</v>
      </c>
      <c r="B207" s="26">
        <f t="shared" si="194"/>
        <v>0.99999164243277228</v>
      </c>
      <c r="C207" s="26">
        <f t="shared" si="195"/>
        <v>2.1770851300594618</v>
      </c>
      <c r="D207" s="26">
        <f t="shared" si="196"/>
        <v>6.8271192949930545E-4</v>
      </c>
      <c r="E207" s="26">
        <f t="shared" si="197"/>
        <v>4.0884061205566785E-3</v>
      </c>
      <c r="F207" s="77">
        <f t="shared" si="198"/>
        <v>0.98438288586230605</v>
      </c>
      <c r="G207" s="77">
        <f t="shared" si="199"/>
        <v>-0.12285532574391134</v>
      </c>
      <c r="H207" s="75">
        <f t="shared" si="200"/>
        <v>0.10888505094124556</v>
      </c>
      <c r="I207" s="75">
        <f t="shared" si="201"/>
        <v>-1.1426741788275092</v>
      </c>
      <c r="J207" s="77">
        <f t="shared" si="202"/>
        <v>-7.876744881304654E-3</v>
      </c>
      <c r="K207" s="77">
        <f t="shared" si="203"/>
        <v>-1.9265891935919717</v>
      </c>
      <c r="L207" s="91">
        <f t="shared" si="204"/>
        <v>1.9266052953252486</v>
      </c>
      <c r="M207" s="93"/>
      <c r="N207" s="75">
        <f t="shared" si="205"/>
        <v>-5.7792215457652674E-11</v>
      </c>
      <c r="O207" s="75">
        <f t="shared" si="191"/>
        <v>1.4500946871547926</v>
      </c>
      <c r="P207" s="109">
        <f t="shared" si="192"/>
        <v>4.0884175103442786E-3</v>
      </c>
      <c r="AF207" s="7"/>
      <c r="AG207" s="7"/>
      <c r="AH207" s="7"/>
      <c r="AI207" s="7"/>
      <c r="AJ207" s="7"/>
      <c r="AK207" s="7"/>
      <c r="AL207" s="7"/>
      <c r="AM207" s="7"/>
      <c r="AN207" s="7"/>
      <c r="AR207" s="92"/>
      <c r="AS207" s="7"/>
      <c r="AT207" s="144"/>
      <c r="AU207" s="144"/>
      <c r="AV207" s="144"/>
      <c r="AW207" s="144"/>
      <c r="AX207" s="144"/>
      <c r="AY207" s="144"/>
      <c r="AZ207" s="7"/>
    </row>
    <row r="208" spans="1:52" s="18" customFormat="1">
      <c r="A208" s="19">
        <f t="shared" si="193"/>
        <v>4.0884175103442786E-3</v>
      </c>
      <c r="B208" s="26">
        <f t="shared" si="194"/>
        <v>0.99999164243277205</v>
      </c>
      <c r="C208" s="26">
        <f t="shared" si="195"/>
        <v>2.1770851300594614</v>
      </c>
      <c r="D208" s="26">
        <f t="shared" si="196"/>
        <v>6.8271192950713913E-4</v>
      </c>
      <c r="E208" s="26">
        <f t="shared" si="197"/>
        <v>4.0884061205965329E-3</v>
      </c>
      <c r="F208" s="77">
        <f t="shared" si="198"/>
        <v>0.98438288586400502</v>
      </c>
      <c r="G208" s="77">
        <f t="shared" si="199"/>
        <v>-0.122855325730546</v>
      </c>
      <c r="H208" s="75">
        <f t="shared" si="200"/>
        <v>0.10888505094149961</v>
      </c>
      <c r="I208" s="75">
        <f t="shared" si="201"/>
        <v>-1.1426741787653831</v>
      </c>
      <c r="J208" s="77">
        <f t="shared" si="202"/>
        <v>-7.8767448813950348E-3</v>
      </c>
      <c r="K208" s="77">
        <f t="shared" si="203"/>
        <v>-1.9265891935952968</v>
      </c>
      <c r="L208" s="91">
        <f t="shared" si="204"/>
        <v>1.9266052953285742</v>
      </c>
      <c r="M208" s="93"/>
      <c r="N208" s="75">
        <f t="shared" si="205"/>
        <v>4.3338665989267611E-12</v>
      </c>
      <c r="O208" s="75">
        <f t="shared" si="191"/>
        <v>1.4500946872087377</v>
      </c>
      <c r="P208" s="109">
        <f t="shared" si="192"/>
        <v>4.0884175103412896E-3</v>
      </c>
      <c r="AF208" s="7"/>
      <c r="AG208" s="7"/>
      <c r="AH208" s="7"/>
      <c r="AI208" s="7"/>
      <c r="AJ208" s="7"/>
      <c r="AK208" s="7"/>
      <c r="AL208" s="7"/>
      <c r="AM208" s="7"/>
      <c r="AN208" s="7"/>
      <c r="AR208" s="92"/>
      <c r="AS208" s="7"/>
      <c r="AT208" s="144"/>
      <c r="AU208" s="144"/>
      <c r="AV208" s="144"/>
      <c r="AW208" s="144"/>
      <c r="AX208" s="144"/>
      <c r="AY208" s="144"/>
      <c r="AZ208" s="7"/>
    </row>
    <row r="209" spans="1:60" s="18" customFormat="1">
      <c r="A209" s="88" t="s">
        <v>60</v>
      </c>
      <c r="B209" s="8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AF209" s="7"/>
      <c r="AG209" s="7"/>
      <c r="AH209" s="7"/>
      <c r="AI209" s="7"/>
      <c r="AJ209" s="7"/>
      <c r="AK209" s="7"/>
      <c r="AL209" s="7"/>
      <c r="AM209" s="7"/>
      <c r="AN209" s="7"/>
      <c r="AR209" s="92"/>
      <c r="AS209" s="7"/>
      <c r="AT209" s="144"/>
      <c r="AU209" s="144"/>
      <c r="AV209" s="144"/>
      <c r="AW209" s="144"/>
      <c r="AX209" s="144"/>
      <c r="AY209" s="144"/>
      <c r="AZ209" s="7"/>
    </row>
    <row r="210" spans="1:60" s="18" customFormat="1">
      <c r="A210" s="26" t="s">
        <v>11</v>
      </c>
      <c r="B210" s="26" t="s">
        <v>13</v>
      </c>
      <c r="C210" s="26" t="s">
        <v>22</v>
      </c>
      <c r="D210" s="26" t="s">
        <v>18</v>
      </c>
      <c r="E210" s="26" t="s">
        <v>19</v>
      </c>
      <c r="F210" s="26" t="s">
        <v>20</v>
      </c>
      <c r="G210" s="26" t="s">
        <v>2</v>
      </c>
      <c r="H210" s="26" t="s">
        <v>1</v>
      </c>
      <c r="I210" s="26" t="s">
        <v>0</v>
      </c>
      <c r="J210" s="76" t="s">
        <v>3</v>
      </c>
      <c r="K210" s="76" t="s">
        <v>4</v>
      </c>
      <c r="L210" s="44" t="s">
        <v>7</v>
      </c>
      <c r="M210" s="28"/>
      <c r="N210" s="28"/>
      <c r="O210" s="28"/>
      <c r="P210" s="31"/>
      <c r="AF210" s="7"/>
      <c r="AG210" s="7"/>
      <c r="AH210" s="7"/>
      <c r="AI210" s="7"/>
      <c r="AJ210" s="7"/>
      <c r="AK210" s="7"/>
      <c r="AL210" s="7"/>
      <c r="AM210" s="7"/>
      <c r="AN210" s="7"/>
      <c r="AR210" s="92"/>
      <c r="AS210" s="7"/>
      <c r="AT210" s="144"/>
      <c r="AU210" s="144"/>
      <c r="AV210" s="144"/>
      <c r="AW210" s="144"/>
      <c r="AX210" s="144"/>
      <c r="AY210" s="144"/>
      <c r="AZ210" s="7"/>
    </row>
    <row r="211" spans="1:60" s="18" customFormat="1">
      <c r="A211" s="19">
        <f>$E195</f>
        <v>4.4684379557011419E-3</v>
      </c>
      <c r="B211" s="26">
        <f t="shared" ref="B211:B216" si="206">COS(A211)</f>
        <v>0.99999001654772968</v>
      </c>
      <c r="C211" s="26">
        <f t="shared" ref="C211:C216" si="207">($C$195+B211)</f>
        <v>2.1770835041744192</v>
      </c>
      <c r="D211" s="26">
        <f t="shared" ref="D211:D216" si="208">POWER(TAN(A211/2),$C$195)</f>
        <v>7.5800840019327751E-4</v>
      </c>
      <c r="E211" s="26">
        <f t="shared" ref="E211:E216" si="209">SIN(A211)</f>
        <v>4.4684230855455602E-3</v>
      </c>
      <c r="F211" s="77">
        <f t="shared" ref="F211:F216" si="210">(C211*$H$195*D211/E211/$I$195/$J$195)</f>
        <v>1</v>
      </c>
      <c r="G211" s="77">
        <f t="shared" ref="G211:G216" si="211">$D$195*($C$195+$G$195)/9.81/SIN($C$192)/(1-$C$195*$C$192)*(F211-1)</f>
        <v>0</v>
      </c>
      <c r="H211" s="108">
        <f t="shared" ref="H211:H216" si="212">-(-$H$192+$K$195*((POWER(TAN(A211/2),2*$C$195-1)/(2*$C$195-1))+(POWER(TAN(A211/2),2*$C$195+1)/(2*$C$195+1))-(POWER(TAN($E$195/2),2*$C$195-1)/(2*$C$195-1))-(POWER(TAN($E$195/2),2*$C$195+1)/(2*$C$195+1))))</f>
        <v>0.11134631607355977</v>
      </c>
      <c r="I211" s="108">
        <f t="shared" ref="I211:I216" si="213">-(-$I$192+0.5*$K$195*((POWER(TAN(A211/2),2*$C$195-2)/(2*$C$195-2))-(POWER(TAN(A211/2),2*$C$195+2)/(2*$C$195+2))-(POWER(TAN($E$195/2),2*$C$195-2)/(2*$C$195-2))+(POWER(TAN($E$195/2),2*$C$195+2)/(2*$C$195+2))))</f>
        <v>-0.56715993800742448</v>
      </c>
      <c r="J211" s="77">
        <f t="shared" ref="J211:J216" si="214">-$D$195*SIN(A211)*($C$195+$G$195)/($C$195+B211)*F211</f>
        <v>-8.7454730585814419E-3</v>
      </c>
      <c r="K211" s="77">
        <f t="shared" ref="K211:K216" si="215">-$D$195*COS(A211)*($C$195+$G$195)/($C$195+B211)*F211</f>
        <v>-1.9571525751127115</v>
      </c>
      <c r="L211" s="91">
        <f t="shared" ref="L211:L216" si="216">SQRT(J211*J211+K211*K211)</f>
        <v>1.957172114447101</v>
      </c>
      <c r="M211" s="28"/>
      <c r="N211" s="28"/>
      <c r="O211" s="28"/>
      <c r="P211" s="31"/>
      <c r="AF211" s="7"/>
      <c r="AG211" s="7"/>
      <c r="AH211" s="7"/>
      <c r="AI211" s="7"/>
      <c r="AJ211" s="7"/>
      <c r="AK211" s="7"/>
      <c r="AL211" s="7"/>
      <c r="AM211" s="7"/>
      <c r="AN211" s="7"/>
      <c r="AR211" s="92"/>
      <c r="AS211" s="7"/>
      <c r="AT211" s="144"/>
      <c r="AU211" s="144"/>
      <c r="AV211" s="144"/>
      <c r="AW211" s="144"/>
      <c r="AX211" s="144"/>
      <c r="AY211" s="144"/>
      <c r="AZ211" s="7"/>
    </row>
    <row r="212" spans="1:60" s="18" customFormat="1">
      <c r="A212" s="20">
        <f>A211-$F$195</f>
        <v>4.4124338666297691E-3</v>
      </c>
      <c r="B212" s="26">
        <f t="shared" si="206"/>
        <v>0.99999026522948065</v>
      </c>
      <c r="C212" s="26">
        <f t="shared" si="207"/>
        <v>2.17708375285617</v>
      </c>
      <c r="D212" s="26">
        <f t="shared" si="208"/>
        <v>7.4683805766517395E-4</v>
      </c>
      <c r="E212" s="26">
        <f t="shared" si="209"/>
        <v>4.4124195486101025E-3</v>
      </c>
      <c r="F212" s="77">
        <f t="shared" si="210"/>
        <v>0.99776889020525272</v>
      </c>
      <c r="G212" s="77">
        <f t="shared" si="211"/>
        <v>-1.7551496274367525E-2</v>
      </c>
      <c r="H212" s="108">
        <f t="shared" si="212"/>
        <v>0.11097876255667988</v>
      </c>
      <c r="I212" s="108">
        <f t="shared" si="213"/>
        <v>-0.64993429957517934</v>
      </c>
      <c r="J212" s="77">
        <f t="shared" si="214"/>
        <v>-8.6165959516658099E-3</v>
      </c>
      <c r="K212" s="77">
        <f t="shared" si="215"/>
        <v>-1.9527862153986997</v>
      </c>
      <c r="L212" s="91">
        <f t="shared" si="216"/>
        <v>1.952805225509439</v>
      </c>
      <c r="M212" s="28"/>
      <c r="N212" s="28"/>
      <c r="O212" s="28"/>
      <c r="P212" s="31"/>
      <c r="AF212" s="7"/>
      <c r="AG212" s="7"/>
      <c r="AH212" s="7"/>
      <c r="AI212" s="7"/>
      <c r="AJ212" s="7"/>
      <c r="AK212" s="7"/>
      <c r="AL212" s="7"/>
      <c r="AM212" s="7"/>
      <c r="AN212" s="7"/>
      <c r="AR212" s="92"/>
      <c r="AS212" s="7"/>
      <c r="AT212" s="144"/>
      <c r="AU212" s="144"/>
      <c r="AV212" s="144"/>
      <c r="AW212" s="144"/>
      <c r="AX212" s="144"/>
      <c r="AY212" s="144"/>
      <c r="AZ212" s="7"/>
    </row>
    <row r="213" spans="1:60" s="18" customFormat="1">
      <c r="A213" s="20">
        <f>A212-$F$195</f>
        <v>4.3564297775583963E-3</v>
      </c>
      <c r="B213" s="26">
        <f t="shared" si="206"/>
        <v>0.99999051077480416</v>
      </c>
      <c r="C213" s="26">
        <f t="shared" si="207"/>
        <v>2.1770839984014936</v>
      </c>
      <c r="D213" s="26">
        <f t="shared" si="208"/>
        <v>7.3569279692445571E-4</v>
      </c>
      <c r="E213" s="26">
        <f t="shared" si="209"/>
        <v>4.356415997835276E-3</v>
      </c>
      <c r="F213" s="77">
        <f t="shared" si="210"/>
        <v>0.99551435481742756</v>
      </c>
      <c r="G213" s="77">
        <f t="shared" si="211"/>
        <v>-3.5287274922735361E-2</v>
      </c>
      <c r="H213" s="108">
        <f t="shared" si="212"/>
        <v>0.11061285778553517</v>
      </c>
      <c r="I213" s="108">
        <f t="shared" si="213"/>
        <v>-0.73338995683740038</v>
      </c>
      <c r="J213" s="77">
        <f t="shared" si="214"/>
        <v>-8.488008224255451E-3</v>
      </c>
      <c r="K213" s="77">
        <f t="shared" si="215"/>
        <v>-1.9483740037341792</v>
      </c>
      <c r="L213" s="91">
        <f t="shared" si="216"/>
        <v>1.9483924924693101</v>
      </c>
      <c r="M213" s="45"/>
      <c r="N213" s="28"/>
      <c r="O213" s="28"/>
      <c r="P213" s="31"/>
      <c r="AF213" s="7"/>
      <c r="AG213" s="7"/>
      <c r="AH213" s="7"/>
      <c r="AI213" s="7"/>
      <c r="AJ213" s="7"/>
      <c r="AK213" s="7"/>
      <c r="AL213" s="7"/>
      <c r="AM213" s="7"/>
      <c r="AN213" s="7"/>
      <c r="AR213" s="92"/>
      <c r="AS213" s="7"/>
      <c r="AT213" s="144"/>
      <c r="AU213" s="144"/>
      <c r="AV213" s="144"/>
      <c r="AW213" s="144"/>
      <c r="AX213" s="144"/>
      <c r="AY213" s="144"/>
      <c r="AZ213" s="7"/>
    </row>
    <row r="214" spans="1:60" s="18" customFormat="1">
      <c r="A214" s="20">
        <f>A213-$F$195</f>
        <v>4.3004256884870235E-3</v>
      </c>
      <c r="B214" s="26">
        <f t="shared" si="206"/>
        <v>0.99999075318369957</v>
      </c>
      <c r="C214" s="26">
        <f t="shared" si="207"/>
        <v>2.1770842408103892</v>
      </c>
      <c r="D214" s="26">
        <f t="shared" si="208"/>
        <v>7.2457288298040932E-4</v>
      </c>
      <c r="E214" s="26">
        <f t="shared" si="209"/>
        <v>4.3004124333967343E-3</v>
      </c>
      <c r="F214" s="77">
        <f t="shared" si="210"/>
        <v>0.99323584192068748</v>
      </c>
      <c r="G214" s="77">
        <f t="shared" si="211"/>
        <v>-5.32116777075664E-2</v>
      </c>
      <c r="H214" s="108">
        <f t="shared" si="212"/>
        <v>0.1102486154151823</v>
      </c>
      <c r="I214" s="108">
        <f t="shared" si="213"/>
        <v>-0.81754138541907717</v>
      </c>
      <c r="J214" s="77">
        <f t="shared" si="214"/>
        <v>-8.3597129338779212E-3</v>
      </c>
      <c r="K214" s="77">
        <f t="shared" si="215"/>
        <v>-1.9439148599394069</v>
      </c>
      <c r="L214" s="91">
        <f t="shared" si="216"/>
        <v>1.9439328351292338</v>
      </c>
      <c r="M214" s="45"/>
      <c r="N214" s="28"/>
      <c r="O214" s="28"/>
      <c r="P214" s="31"/>
      <c r="AF214" s="7"/>
      <c r="AG214" s="7"/>
      <c r="AH214" s="7"/>
      <c r="AI214" s="7"/>
      <c r="AJ214" s="7"/>
      <c r="AK214" s="7"/>
      <c r="AL214" s="7"/>
      <c r="AM214" s="7"/>
      <c r="AN214" s="7"/>
      <c r="AR214" s="92"/>
      <c r="AS214" s="7"/>
      <c r="AT214" s="144"/>
      <c r="AU214" s="144"/>
      <c r="AV214" s="144"/>
      <c r="AW214" s="144"/>
      <c r="AX214" s="144"/>
      <c r="AY214" s="144"/>
      <c r="AZ214" s="7"/>
    </row>
    <row r="215" spans="1:60" s="18" customFormat="1">
      <c r="A215" s="20">
        <f>A214-$F$195</f>
        <v>4.2444215994156508E-3</v>
      </c>
      <c r="B215" s="26">
        <f t="shared" si="206"/>
        <v>0.99999099245616585</v>
      </c>
      <c r="C215" s="26">
        <f t="shared" si="207"/>
        <v>2.177084480082855</v>
      </c>
      <c r="D215" s="26">
        <f t="shared" si="208"/>
        <v>7.1347858712743437E-4</v>
      </c>
      <c r="E215" s="26">
        <f t="shared" si="209"/>
        <v>4.2444088554701286E-3</v>
      </c>
      <c r="F215" s="77">
        <f t="shared" si="210"/>
        <v>0.99093277919882672</v>
      </c>
      <c r="G215" s="77">
        <f t="shared" si="211"/>
        <v>-7.1329206875131446E-2</v>
      </c>
      <c r="H215" s="108">
        <f t="shared" si="212"/>
        <v>0.10988604939275286</v>
      </c>
      <c r="I215" s="108">
        <f t="shared" si="213"/>
        <v>-0.90240356186061477</v>
      </c>
      <c r="J215" s="77">
        <f t="shared" si="214"/>
        <v>-8.2317132105748751E-3</v>
      </c>
      <c r="K215" s="77">
        <f t="shared" si="215"/>
        <v>-1.9394076639078941</v>
      </c>
      <c r="L215" s="91">
        <f t="shared" si="216"/>
        <v>1.9394251333647958</v>
      </c>
      <c r="M215" s="45"/>
      <c r="N215" s="28"/>
      <c r="O215" s="28"/>
      <c r="P215" s="89"/>
      <c r="AF215" s="7"/>
      <c r="AG215" s="7"/>
      <c r="AH215" s="7"/>
      <c r="AI215" s="7"/>
      <c r="AJ215" s="7"/>
      <c r="AK215" s="7"/>
      <c r="AL215" s="7"/>
      <c r="AM215" s="7"/>
      <c r="AN215" s="7"/>
      <c r="AR215" s="92"/>
      <c r="AS215" s="7"/>
      <c r="AT215" s="144"/>
      <c r="AU215" s="144"/>
      <c r="AV215" s="144"/>
      <c r="AW215" s="144"/>
      <c r="AX215" s="144"/>
      <c r="AY215" s="144"/>
      <c r="AZ215" s="7"/>
    </row>
    <row r="216" spans="1:60" s="18" customFormat="1">
      <c r="A216" s="20">
        <f>A215-$F$195</f>
        <v>4.188417510344278E-3</v>
      </c>
      <c r="B216" s="26">
        <f t="shared" si="206"/>
        <v>0.99999122859220246</v>
      </c>
      <c r="C216" s="26">
        <f t="shared" si="207"/>
        <v>2.177084716218892</v>
      </c>
      <c r="D216" s="26">
        <f t="shared" si="208"/>
        <v>7.024101871789016E-4</v>
      </c>
      <c r="E216" s="26">
        <f t="shared" si="209"/>
        <v>4.1884052642311136E-3</v>
      </c>
      <c r="F216" s="77">
        <f t="shared" si="210"/>
        <v>0.9886045729005275</v>
      </c>
      <c r="G216" s="77">
        <f t="shared" si="211"/>
        <v>-8.9644533295535803E-2</v>
      </c>
      <c r="H216" s="108">
        <f t="shared" si="212"/>
        <v>0.10952517396762709</v>
      </c>
      <c r="I216" s="108">
        <f t="shared" si="213"/>
        <v>-0.98799198781990616</v>
      </c>
      <c r="J216" s="77">
        <f t="shared" si="214"/>
        <v>-8.1040122596001685E-3</v>
      </c>
      <c r="K216" s="77">
        <f t="shared" si="215"/>
        <v>-1.9348512535812419</v>
      </c>
      <c r="L216" s="91">
        <f t="shared" si="216"/>
        <v>1.9348682250994786</v>
      </c>
      <c r="M216" s="45"/>
      <c r="N216" s="28"/>
      <c r="O216" s="28"/>
      <c r="P216" s="28"/>
      <c r="W216"/>
      <c r="X216"/>
      <c r="Y216"/>
      <c r="Z216"/>
      <c r="AA216"/>
      <c r="AB216"/>
      <c r="AC216"/>
      <c r="AD216"/>
      <c r="AE216"/>
      <c r="AF216" s="7"/>
      <c r="AG216" s="7"/>
      <c r="AH216" s="7"/>
      <c r="AI216" s="7"/>
      <c r="AJ216" s="7"/>
      <c r="AK216" s="7"/>
      <c r="AL216" s="7"/>
      <c r="AM216" s="7"/>
      <c r="AN216" s="7"/>
      <c r="AR216" s="92"/>
      <c r="AS216" s="7"/>
      <c r="AT216" s="144"/>
      <c r="AU216" s="144"/>
      <c r="AV216" s="144"/>
      <c r="AW216" s="144"/>
      <c r="AX216" s="144"/>
      <c r="AY216" s="144"/>
      <c r="AZ216" s="7"/>
    </row>
    <row r="217" spans="1:60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18"/>
      <c r="R217" s="18"/>
      <c r="T217" s="18"/>
      <c r="U217" s="18"/>
      <c r="AI217" s="9"/>
      <c r="AJ217" s="10"/>
      <c r="AK217" s="10"/>
      <c r="AL217" s="7"/>
      <c r="AM217" s="7"/>
      <c r="AN217" s="7"/>
      <c r="AR217" s="28"/>
      <c r="AS217" s="7"/>
      <c r="AT217" s="144"/>
      <c r="AU217" s="144"/>
      <c r="AV217" s="144"/>
      <c r="AW217" s="144"/>
      <c r="AX217" s="144"/>
      <c r="AY217" s="144"/>
      <c r="AZ217" s="7"/>
      <c r="BA217" s="7"/>
      <c r="BB217" s="7"/>
      <c r="BC217" s="7"/>
      <c r="BD217" s="7"/>
      <c r="BE217" s="7"/>
      <c r="BF217" s="7"/>
      <c r="BG217" s="7"/>
      <c r="BH217" s="7"/>
    </row>
    <row r="218" spans="1:60">
      <c r="A218" s="88" t="s">
        <v>73</v>
      </c>
      <c r="B218" s="88"/>
      <c r="C218" s="23" t="str">
        <f>CONCATENATE("m",Stufengrün!Z44)</f>
        <v>m-4</v>
      </c>
      <c r="D218" s="23" t="s">
        <v>30</v>
      </c>
      <c r="E218" s="28"/>
      <c r="F218" s="28"/>
      <c r="G218" s="28"/>
      <c r="H218" s="36" t="s">
        <v>57</v>
      </c>
      <c r="I218" s="36" t="s">
        <v>51</v>
      </c>
      <c r="J218" s="36" t="s">
        <v>58</v>
      </c>
      <c r="K218" s="36" t="s">
        <v>59</v>
      </c>
      <c r="L218" s="28"/>
      <c r="M218" s="28"/>
      <c r="N218" s="28"/>
      <c r="O218" s="28"/>
      <c r="P218" s="28"/>
      <c r="T218" s="18"/>
      <c r="U218" s="18"/>
      <c r="AI218" s="9"/>
      <c r="AJ218" s="10"/>
      <c r="AK218" s="10"/>
      <c r="AL218" s="10"/>
      <c r="AM218" s="10"/>
      <c r="AN218" s="10"/>
      <c r="AO218" s="10"/>
      <c r="AP218" s="7"/>
      <c r="AQ218" s="7"/>
      <c r="BA218" s="7"/>
      <c r="BB218" s="7"/>
      <c r="BC218" s="7"/>
      <c r="BD218" s="7"/>
      <c r="BE218" s="7"/>
      <c r="BF218" s="7"/>
      <c r="BG218" s="7"/>
      <c r="BH218" s="7"/>
    </row>
    <row r="219" spans="1:60">
      <c r="A219" s="88" t="s">
        <v>69</v>
      </c>
      <c r="B219" s="88"/>
      <c r="C219" s="90">
        <f>Stufengrün!AA44</f>
        <v>1.0323563876231049E-2</v>
      </c>
      <c r="D219" s="26"/>
      <c r="E219" s="28"/>
      <c r="F219" s="28"/>
      <c r="G219" s="28"/>
      <c r="H219" s="78">
        <f>H208</f>
        <v>0.10888505094149961</v>
      </c>
      <c r="I219" s="78">
        <f>I208</f>
        <v>-1.1426741787653831</v>
      </c>
      <c r="J219" s="78">
        <f>J208</f>
        <v>-7.8767448813950348E-3</v>
      </c>
      <c r="K219" s="78">
        <f>K208</f>
        <v>-1.9265891935952968</v>
      </c>
      <c r="L219" s="28"/>
      <c r="M219" s="28"/>
      <c r="N219" s="28"/>
      <c r="O219" s="28"/>
      <c r="P219" s="28"/>
      <c r="T219" s="18"/>
      <c r="U219" s="18"/>
      <c r="AI219" s="9"/>
      <c r="AJ219" s="10"/>
      <c r="AK219" s="10"/>
      <c r="AL219" s="10"/>
      <c r="AM219" s="10"/>
      <c r="AN219" s="10"/>
      <c r="AO219" s="10"/>
      <c r="AP219" s="7"/>
      <c r="AQ219" s="7"/>
      <c r="BA219" s="7"/>
      <c r="BB219" s="15"/>
      <c r="BC219" s="15"/>
      <c r="BD219" s="15"/>
      <c r="BE219" s="15"/>
      <c r="BF219" s="15"/>
      <c r="BG219" s="15"/>
      <c r="BH219" s="7"/>
    </row>
    <row r="220" spans="1:60">
      <c r="A220" s="95"/>
      <c r="B220" s="95"/>
      <c r="C220" s="28"/>
      <c r="D220" s="28"/>
      <c r="E220" s="28"/>
      <c r="F220" s="28"/>
      <c r="G220" s="28"/>
      <c r="H220" s="37" t="s">
        <v>8</v>
      </c>
      <c r="I220" s="37" t="s">
        <v>8</v>
      </c>
      <c r="J220" s="37" t="s">
        <v>9</v>
      </c>
      <c r="K220" s="37" t="s">
        <v>9</v>
      </c>
      <c r="L220" s="28"/>
      <c r="M220" s="28"/>
      <c r="N220" s="28"/>
      <c r="O220" s="28"/>
      <c r="P220" s="28"/>
      <c r="T220" s="18"/>
      <c r="U220" s="18"/>
      <c r="AI220" s="9"/>
      <c r="AJ220" s="11"/>
      <c r="AK220" s="12"/>
      <c r="AL220" s="10"/>
      <c r="AM220" s="10"/>
      <c r="AN220" s="10"/>
      <c r="AO220" s="10"/>
      <c r="AP220" s="7"/>
      <c r="AQ220" s="7"/>
      <c r="BA220" s="7"/>
      <c r="BB220" s="16"/>
      <c r="BC220" s="16"/>
      <c r="BD220" s="16"/>
      <c r="BE220" s="16"/>
      <c r="BF220" s="16"/>
      <c r="BG220" s="16"/>
      <c r="BH220" s="7"/>
    </row>
    <row r="221" spans="1:60">
      <c r="A221" s="88" t="s">
        <v>68</v>
      </c>
      <c r="B221" s="88"/>
      <c r="C221" s="26" t="s">
        <v>15</v>
      </c>
      <c r="D221" s="26" t="s">
        <v>55</v>
      </c>
      <c r="E221" s="26" t="s">
        <v>12</v>
      </c>
      <c r="F221" s="26" t="s">
        <v>10</v>
      </c>
      <c r="G221" s="26" t="s">
        <v>14</v>
      </c>
      <c r="H221" s="26" t="s">
        <v>21</v>
      </c>
      <c r="I221" s="26" t="s">
        <v>16</v>
      </c>
      <c r="J221" s="26" t="s">
        <v>17</v>
      </c>
      <c r="K221" s="26" t="s">
        <v>23</v>
      </c>
      <c r="L221" s="28"/>
      <c r="M221" s="28"/>
      <c r="N221" s="28"/>
      <c r="O221" s="28"/>
      <c r="P221" s="28"/>
      <c r="T221" s="18"/>
      <c r="U221" s="18"/>
      <c r="AI221" s="9"/>
      <c r="AJ221" s="11"/>
      <c r="AK221" s="12"/>
      <c r="AL221" s="12"/>
      <c r="AM221" s="12"/>
      <c r="AN221" s="11"/>
      <c r="AO221" s="10"/>
      <c r="AP221" s="7"/>
      <c r="AQ221" s="7"/>
    </row>
    <row r="222" spans="1:60">
      <c r="A222" s="28"/>
      <c r="B222" s="28"/>
      <c r="C222" s="23">
        <f>Mü/TAN($C219)</f>
        <v>6.7803632591293521</v>
      </c>
      <c r="D222" s="42">
        <f>SQRT($J219*$J219+$K219*$K219)</f>
        <v>1.9266052953285742</v>
      </c>
      <c r="E222" s="20">
        <f>ATAN($J219/$K219)</f>
        <v>4.0884175103442786E-3</v>
      </c>
      <c r="F222" s="23">
        <f>($E222-0.0001)/100</f>
        <v>3.9884175103442786E-5</v>
      </c>
      <c r="G222" s="23">
        <f>COS($E222)</f>
        <v>0.99999164243277205</v>
      </c>
      <c r="H222" s="23">
        <f>SIN($E222)</f>
        <v>4.0884061205965329E-3</v>
      </c>
      <c r="I222" s="23">
        <f>$C222+$G222</f>
        <v>7.7803549015621245</v>
      </c>
      <c r="J222" s="23">
        <f>POWER(TAN($E222/2),$C222)</f>
        <v>5.8128388055001849E-19</v>
      </c>
      <c r="K222" s="23">
        <f>-$D222*$D222*SIN($E222)*SIN($E222)/(2*9.81*SIN($C219)*POWER(TAN($E222/2),2*$C222))</f>
        <v>-9.0655897357968581E+32</v>
      </c>
      <c r="L222" s="28"/>
      <c r="M222" s="28"/>
      <c r="N222" s="28"/>
      <c r="O222" s="28"/>
      <c r="P222" s="28"/>
      <c r="T222" s="18"/>
      <c r="U222" s="18"/>
      <c r="AI222" s="9"/>
      <c r="AJ222" s="11"/>
      <c r="AK222" s="12"/>
      <c r="AL222" s="12"/>
      <c r="AM222" s="12"/>
      <c r="AN222" s="11"/>
      <c r="AO222" s="10"/>
      <c r="AP222" s="7"/>
      <c r="AQ222" s="7"/>
    </row>
    <row r="223" spans="1:60">
      <c r="A223" s="88" t="s">
        <v>70</v>
      </c>
      <c r="B223" s="88"/>
      <c r="C223" s="28"/>
      <c r="D223" s="102" t="s">
        <v>75</v>
      </c>
      <c r="E223" s="102"/>
      <c r="F223" s="102"/>
      <c r="G223" s="102"/>
      <c r="H223" s="28"/>
      <c r="I223" s="28"/>
      <c r="J223" s="28"/>
      <c r="K223" s="28"/>
      <c r="L223" s="28"/>
      <c r="M223" s="45"/>
      <c r="N223" s="28"/>
      <c r="O223" s="28"/>
      <c r="P223" s="28"/>
      <c r="T223" s="18"/>
      <c r="U223" s="18"/>
      <c r="AI223" s="9"/>
      <c r="AJ223" s="11"/>
      <c r="AK223" s="12"/>
      <c r="AL223" s="12"/>
      <c r="AM223" s="12"/>
      <c r="AN223" s="11"/>
      <c r="AO223" s="10"/>
      <c r="AP223" s="7"/>
      <c r="AQ223" s="13"/>
    </row>
    <row r="224" spans="1:60">
      <c r="A224" s="26" t="s">
        <v>11</v>
      </c>
      <c r="B224" s="26" t="s">
        <v>13</v>
      </c>
      <c r="C224" s="26" t="s">
        <v>22</v>
      </c>
      <c r="D224" s="26" t="s">
        <v>18</v>
      </c>
      <c r="E224" s="26" t="s">
        <v>19</v>
      </c>
      <c r="F224" s="26" t="s">
        <v>20</v>
      </c>
      <c r="G224" s="26" t="s">
        <v>2</v>
      </c>
      <c r="H224" s="26" t="s">
        <v>65</v>
      </c>
      <c r="I224" s="26" t="s">
        <v>66</v>
      </c>
      <c r="J224" s="76" t="s">
        <v>3</v>
      </c>
      <c r="K224" s="76" t="s">
        <v>4</v>
      </c>
      <c r="L224" s="44" t="s">
        <v>7</v>
      </c>
      <c r="M224" s="93"/>
      <c r="N224" s="28"/>
      <c r="O224" s="28"/>
      <c r="P224" s="28"/>
      <c r="T224" s="18"/>
      <c r="U224" s="18"/>
      <c r="AI224" s="9"/>
      <c r="AJ224" s="11"/>
      <c r="AK224" s="12"/>
      <c r="AL224" s="12"/>
      <c r="AM224" s="12"/>
      <c r="AN224" s="11"/>
      <c r="AO224" s="10"/>
      <c r="AP224" s="7"/>
      <c r="AQ224" s="7"/>
    </row>
    <row r="225" spans="1:43">
      <c r="A225" s="88" t="s">
        <v>60</v>
      </c>
      <c r="B225" s="8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T225" s="18"/>
      <c r="U225" s="18"/>
      <c r="AI225" s="9"/>
      <c r="AJ225" s="10"/>
      <c r="AK225" s="10"/>
      <c r="AL225" s="12"/>
      <c r="AM225" s="12"/>
      <c r="AN225" s="11"/>
      <c r="AO225" s="10"/>
      <c r="AP225" s="7"/>
      <c r="AQ225" s="7"/>
    </row>
    <row r="226" spans="1:43">
      <c r="A226" s="26" t="s">
        <v>11</v>
      </c>
      <c r="B226" s="26" t="s">
        <v>13</v>
      </c>
      <c r="C226" s="26" t="s">
        <v>22</v>
      </c>
      <c r="D226" s="26" t="s">
        <v>18</v>
      </c>
      <c r="E226" s="26" t="s">
        <v>19</v>
      </c>
      <c r="F226" s="26" t="s">
        <v>20</v>
      </c>
      <c r="G226" s="26" t="s">
        <v>2</v>
      </c>
      <c r="H226" s="26" t="s">
        <v>1</v>
      </c>
      <c r="I226" s="26" t="s">
        <v>0</v>
      </c>
      <c r="J226" s="76" t="s">
        <v>3</v>
      </c>
      <c r="K226" s="76" t="s">
        <v>4</v>
      </c>
      <c r="L226" s="44" t="s">
        <v>7</v>
      </c>
      <c r="M226" s="28"/>
      <c r="N226" s="28"/>
      <c r="O226" s="28"/>
      <c r="P226" s="28"/>
      <c r="T226" s="18"/>
      <c r="U226" s="18"/>
      <c r="AI226" s="9"/>
      <c r="AJ226" s="10"/>
      <c r="AK226" s="10"/>
      <c r="AL226" s="10"/>
      <c r="AM226" s="10"/>
      <c r="AN226" s="10"/>
      <c r="AO226" s="10"/>
      <c r="AP226" s="7"/>
      <c r="AQ226" s="7"/>
    </row>
    <row r="227" spans="1:43">
      <c r="A227" s="19">
        <f>$E222</f>
        <v>4.0884175103442786E-3</v>
      </c>
      <c r="B227" s="26">
        <f>COS(A227)</f>
        <v>0.99999164243277205</v>
      </c>
      <c r="C227" s="26">
        <f>($C$222+B227)</f>
        <v>7.7803549015621245</v>
      </c>
      <c r="D227" s="26">
        <f>POWER(TAN(A227/2),$C$222)</f>
        <v>5.8128388055001849E-19</v>
      </c>
      <c r="E227" s="26">
        <f>SIN(A227)</f>
        <v>4.0884061205965329E-3</v>
      </c>
      <c r="F227" s="77">
        <f>(C227*$H$222*D227/E227/$I$222/$J$222)</f>
        <v>0.99999999999999989</v>
      </c>
      <c r="G227" s="77">
        <f>$D$222*($C$222+$G$222)/9.81/SIN($C$219)/(1-$C$222*$C$222)*(F227-1)</f>
        <v>3.6538981589391296E-16</v>
      </c>
      <c r="H227" s="81">
        <f>-(-$H$219+$K$222*((POWER(TAN(A227/2),2*$C$222-1)/(2*$C$222-1))+(POWER(TAN(A227/2),2*$C$222+1)/(2*$C$222+1))-(POWER(TAN($E$222/2),2*$C$222-1)/(2*$C$222-1))-(POWER(TAN($E$222/2),2*$C$222+1)/(2*$C$222+1))))</f>
        <v>0.10888505094149961</v>
      </c>
      <c r="I227" s="81">
        <f>-(-$I$219+0.5*$K$222*((POWER(TAN(A227/2),2*$C$222-2)/(2*$C$222-2))-(POWER(TAN(A227/2),2*$C$222+2)/(2*$C$222+2))-(POWER(TAN($E$222/2),2*$C$222-2)/(2*$C$222-2))+(POWER(TAN($E$222/2),2*$C$222+2)/(2*$C$222+2))))</f>
        <v>-1.1426741787653829</v>
      </c>
      <c r="J227" s="77">
        <f>-$D$222*SIN(A227)*($C$222+$G$222)/($C$222+B227)*F227</f>
        <v>-7.8767448813950314E-3</v>
      </c>
      <c r="K227" s="77">
        <f>-$D$222*COS(A227)*($C$222+$G$222)/($C$222+B227)*F227</f>
        <v>-1.9265891935952966</v>
      </c>
      <c r="L227" s="91">
        <f>SQRT(J227*J227+K227*K227)</f>
        <v>1.9266052953285739</v>
      </c>
      <c r="M227" s="28"/>
      <c r="N227" s="28"/>
      <c r="O227" s="28"/>
      <c r="P227" s="28"/>
      <c r="T227" s="18"/>
      <c r="U227" s="18"/>
      <c r="AI227" s="7"/>
      <c r="AJ227" s="7"/>
      <c r="AK227" s="7"/>
      <c r="AL227" s="10"/>
      <c r="AM227" s="10"/>
      <c r="AN227" s="10"/>
      <c r="AO227" s="10"/>
      <c r="AP227" s="7"/>
      <c r="AQ227" s="7"/>
    </row>
    <row r="228" spans="1:43">
      <c r="A228" s="20">
        <f>A227-$F$222</f>
        <v>4.048533335240836E-3</v>
      </c>
      <c r="B228" s="26">
        <f t="shared" ref="B228:B257" si="217">COS(A228)</f>
        <v>0.99999180470011062</v>
      </c>
      <c r="C228" s="26">
        <f t="shared" ref="C228:C257" si="218">($C$222+B228)</f>
        <v>7.7803550638294627</v>
      </c>
      <c r="D228" s="26">
        <f t="shared" ref="D228:D257" si="219">POWER(TAN(A228/2),$C$222)</f>
        <v>5.4390201444357627E-19</v>
      </c>
      <c r="E228" s="26">
        <f t="shared" ref="E228:E257" si="220">SIN(A228)</f>
        <v>4.048522275586529E-3</v>
      </c>
      <c r="F228" s="77">
        <f t="shared" ref="F228:F257" si="221">(C228*$H$222*D228/E228/$I$222/$J$222)</f>
        <v>0.9449087990222802</v>
      </c>
      <c r="G228" s="77">
        <f t="shared" ref="G228:G257" si="222">$D$222*($C$222+$G$222)/9.81/SIN($C$219)/(1-$C$222*$C$222)*(F228-1)</f>
        <v>0.18131279334095945</v>
      </c>
      <c r="H228" s="81">
        <f t="shared" ref="H228:H257" si="223">-(-$H$219+$K$222*((POWER(TAN(A228/2),2*$C$222-1)/(2*$C$222-1))+(POWER(TAN(A228/2),2*$C$222+1)/(2*$C$222+1))-(POWER(TAN($E$222/2),2*$C$222-1)/(2*$C$222-1))-(POWER(TAN($E$222/2),2*$C$222+1)/(2*$C$222+1))))</f>
        <v>0.10750289304255205</v>
      </c>
      <c r="I228" s="81">
        <f t="shared" ref="I228:I257" si="224">-(-$I$219+0.5*$K$222*((POWER(TAN(A228/2),2*$C$222-2)/(2*$C$222-2))-(POWER(TAN(A228/2),2*$C$222+2)/(2*$C$222+2))-(POWER(TAN($E$222/2),2*$C$222-2)/(2*$C$222-2))+(POWER(TAN($E$222/2),2*$C$222+2)/(2*$C$222+2))))</f>
        <v>-1.4823673718944552</v>
      </c>
      <c r="J228" s="77">
        <f t="shared" ref="J228:J257" si="225">-$D$222*SIN(A228)*($C$222+$G$222)/($C$222+B228)*F228</f>
        <v>-7.3701981967831988E-3</v>
      </c>
      <c r="K228" s="77">
        <f t="shared" ref="K228:K257" si="226">-$D$222*COS(A228)*($C$222+$G$222)/($C$222+B228)*F228</f>
        <v>-1.8204513385642629</v>
      </c>
      <c r="L228" s="91">
        <f t="shared" ref="L228:L257" si="227">SQRT(J228*J228+K228*K228)</f>
        <v>1.8204662578311843</v>
      </c>
      <c r="M228" s="28"/>
      <c r="N228" s="28"/>
      <c r="O228" s="28"/>
      <c r="P228" s="28"/>
      <c r="T228" s="18"/>
      <c r="U228" s="18"/>
      <c r="AI228" s="7"/>
      <c r="AJ228" s="7"/>
      <c r="AK228" s="7"/>
      <c r="AL228" s="7"/>
      <c r="AM228" s="7"/>
      <c r="AN228" s="7"/>
      <c r="AO228" s="7"/>
      <c r="AP228" s="7"/>
      <c r="AQ228" s="7"/>
    </row>
    <row r="229" spans="1:43">
      <c r="A229" s="20">
        <f t="shared" ref="A229:A257" si="228">A228-$F$222</f>
        <v>4.0086491601373933E-3</v>
      </c>
      <c r="B229" s="26">
        <f t="shared" si="217"/>
        <v>0.99999196537671464</v>
      </c>
      <c r="C229" s="26">
        <f t="shared" si="218"/>
        <v>7.7803552245060672</v>
      </c>
      <c r="D229" s="26">
        <f t="shared" si="219"/>
        <v>5.0858934139040772E-19</v>
      </c>
      <c r="E229" s="26">
        <f t="shared" si="220"/>
        <v>4.0086384241363477E-3</v>
      </c>
      <c r="F229" s="77">
        <f t="shared" si="221"/>
        <v>0.89235186844989567</v>
      </c>
      <c r="G229" s="77">
        <f t="shared" si="222"/>
        <v>0.3542849508250514</v>
      </c>
      <c r="H229" s="81">
        <f t="shared" si="223"/>
        <v>0.10626950650676219</v>
      </c>
      <c r="I229" s="81">
        <f t="shared" si="224"/>
        <v>-1.7884975863296155</v>
      </c>
      <c r="J229" s="77">
        <f t="shared" si="225"/>
        <v>-6.8916903178846255E-3</v>
      </c>
      <c r="K229" s="77">
        <f t="shared" si="226"/>
        <v>-1.7191959504888268</v>
      </c>
      <c r="L229" s="91">
        <f t="shared" si="227"/>
        <v>1.7192097636916264</v>
      </c>
      <c r="M229" s="45"/>
      <c r="N229" s="28"/>
      <c r="O229" s="28"/>
      <c r="P229" s="31"/>
      <c r="T229" s="18"/>
      <c r="U229" s="18"/>
      <c r="AI229" s="7"/>
      <c r="AJ229" s="7"/>
      <c r="AK229" s="7"/>
      <c r="AL229" s="7"/>
      <c r="AM229" s="7"/>
      <c r="AN229" s="7"/>
      <c r="AO229" s="7"/>
      <c r="AP229" s="7"/>
      <c r="AQ229" s="7"/>
    </row>
    <row r="230" spans="1:43">
      <c r="A230" s="20">
        <f t="shared" si="228"/>
        <v>3.9687649850339507E-3</v>
      </c>
      <c r="B230" s="26">
        <f t="shared" si="217"/>
        <v>0.99999212446258412</v>
      </c>
      <c r="C230" s="26">
        <f t="shared" si="218"/>
        <v>7.7803553835919361</v>
      </c>
      <c r="D230" s="26">
        <f t="shared" si="219"/>
        <v>4.7525021842121667E-19</v>
      </c>
      <c r="E230" s="26">
        <f t="shared" si="220"/>
        <v>3.9687545663094357E-3</v>
      </c>
      <c r="F230" s="77">
        <f t="shared" si="221"/>
        <v>0.84223611444496971</v>
      </c>
      <c r="G230" s="77">
        <f t="shared" si="222"/>
        <v>0.51922285720135919</v>
      </c>
      <c r="H230" s="81">
        <f t="shared" si="223"/>
        <v>0.10517012421041162</v>
      </c>
      <c r="I230" s="81">
        <f t="shared" si="224"/>
        <v>-2.0640956024766011</v>
      </c>
      <c r="J230" s="77">
        <f t="shared" si="225"/>
        <v>-6.4399252251569625E-3</v>
      </c>
      <c r="K230" s="77">
        <f t="shared" si="226"/>
        <v>-1.6226436781837499</v>
      </c>
      <c r="L230" s="91">
        <f t="shared" si="227"/>
        <v>1.6226564574753939</v>
      </c>
      <c r="M230" s="45"/>
      <c r="N230" s="28"/>
      <c r="O230" s="28"/>
      <c r="P230" s="31"/>
      <c r="T230" s="18"/>
      <c r="U230" s="18"/>
      <c r="AI230" s="7"/>
      <c r="AJ230" s="7"/>
      <c r="AK230" s="7"/>
      <c r="AL230" s="7"/>
      <c r="AM230" s="7"/>
      <c r="AN230" s="7"/>
      <c r="AO230" s="7"/>
      <c r="AP230" s="7"/>
      <c r="AQ230" s="7"/>
    </row>
    <row r="231" spans="1:43">
      <c r="A231" s="20">
        <f t="shared" si="228"/>
        <v>3.9288808099305081E-3</v>
      </c>
      <c r="B231" s="26">
        <f t="shared" si="217"/>
        <v>0.99999228195771872</v>
      </c>
      <c r="C231" s="26">
        <f t="shared" si="218"/>
        <v>7.7803555410870704</v>
      </c>
      <c r="D231" s="26">
        <f t="shared" si="219"/>
        <v>4.4379253298754591E-19</v>
      </c>
      <c r="E231" s="26">
        <f t="shared" si="220"/>
        <v>3.9288707021692378E-3</v>
      </c>
      <c r="F231" s="77">
        <f t="shared" si="221"/>
        <v>0.79447098312555875</v>
      </c>
      <c r="G231" s="77">
        <f t="shared" si="222"/>
        <v>0.67642453787124757</v>
      </c>
      <c r="H231" s="81">
        <f t="shared" si="223"/>
        <v>0.10419131875462938</v>
      </c>
      <c r="I231" s="81">
        <f t="shared" si="224"/>
        <v>-2.3119447826152975</v>
      </c>
      <c r="J231" s="77">
        <f t="shared" si="225"/>
        <v>-6.0136547383756239E-3</v>
      </c>
      <c r="K231" s="77">
        <f t="shared" si="226"/>
        <v>-1.530620063779093</v>
      </c>
      <c r="L231" s="91">
        <f t="shared" si="227"/>
        <v>1.5306318772606387</v>
      </c>
      <c r="M231" s="45"/>
      <c r="N231" s="28"/>
      <c r="O231" s="28"/>
      <c r="P231" s="89"/>
      <c r="T231" s="18"/>
      <c r="U231" s="18"/>
      <c r="AI231" s="7"/>
      <c r="AJ231" s="7"/>
      <c r="AK231" s="7"/>
      <c r="AL231" s="7"/>
      <c r="AM231" s="7"/>
      <c r="AN231" s="7"/>
      <c r="AO231" s="7"/>
      <c r="AP231" s="7"/>
      <c r="AQ231" s="7"/>
    </row>
    <row r="232" spans="1:43">
      <c r="A232" s="20">
        <f t="shared" si="228"/>
        <v>3.8889966348270655E-3</v>
      </c>
      <c r="B232" s="26">
        <f t="shared" si="217"/>
        <v>0.99999243786211811</v>
      </c>
      <c r="C232" s="26">
        <f t="shared" si="218"/>
        <v>7.78035569699147</v>
      </c>
      <c r="D232" s="26">
        <f t="shared" si="219"/>
        <v>4.1412760616477008E-19</v>
      </c>
      <c r="E232" s="26">
        <f t="shared" si="220"/>
        <v>3.8889868317791986E-3</v>
      </c>
      <c r="F232" s="77">
        <f t="shared" si="221"/>
        <v>0.74896841574677708</v>
      </c>
      <c r="G232" s="77">
        <f t="shared" si="222"/>
        <v>0.82617980639350574</v>
      </c>
      <c r="H232" s="81">
        <f t="shared" si="223"/>
        <v>0.10332089257954376</v>
      </c>
      <c r="I232" s="81">
        <f t="shared" si="224"/>
        <v>-2.5345990830615297</v>
      </c>
      <c r="J232" s="77">
        <f t="shared" si="225"/>
        <v>-5.6116772049763456E-3</v>
      </c>
      <c r="K232" s="77">
        <f t="shared" si="226"/>
        <v>-1.4429554563784079</v>
      </c>
      <c r="L232" s="91">
        <f t="shared" si="227"/>
        <v>1.4429663682890439</v>
      </c>
      <c r="M232" s="45"/>
      <c r="N232" s="28"/>
      <c r="O232" s="28"/>
      <c r="P232" s="28"/>
      <c r="T232" s="18"/>
      <c r="U232" s="18"/>
      <c r="AI232" s="7"/>
      <c r="AJ232" s="7"/>
      <c r="AK232" s="7"/>
      <c r="AL232" s="7"/>
      <c r="AM232" s="7"/>
      <c r="AN232" s="7"/>
      <c r="AO232" s="7"/>
      <c r="AP232" s="7"/>
      <c r="AQ232" s="7"/>
    </row>
    <row r="233" spans="1:43">
      <c r="A233" s="20">
        <f t="shared" si="228"/>
        <v>3.8491124597236229E-3</v>
      </c>
      <c r="B233" s="26">
        <f t="shared" si="217"/>
        <v>0.99999259217578218</v>
      </c>
      <c r="C233" s="26">
        <f t="shared" si="218"/>
        <v>7.7803558513051341</v>
      </c>
      <c r="D233" s="26">
        <f t="shared" si="219"/>
        <v>3.8617009757158309E-19</v>
      </c>
      <c r="E233" s="26">
        <f t="shared" si="220"/>
        <v>3.8491029552027638E-3</v>
      </c>
      <c r="F233" s="77">
        <f t="shared" si="221"/>
        <v>0.70564280423205417</v>
      </c>
      <c r="G233" s="77">
        <f t="shared" si="222"/>
        <v>0.96877041083715543</v>
      </c>
      <c r="H233" s="81">
        <f t="shared" si="223"/>
        <v>0.10254777611645707</v>
      </c>
      <c r="I233" s="81">
        <f t="shared" si="224"/>
        <v>-2.7343999172892595</v>
      </c>
      <c r="J233" s="77">
        <f t="shared" si="225"/>
        <v>-5.2328362116572553E-3</v>
      </c>
      <c r="K233" s="77">
        <f t="shared" si="226"/>
        <v>-1.3594849263913191</v>
      </c>
      <c r="L233" s="91">
        <f t="shared" si="227"/>
        <v>1.359494997291284</v>
      </c>
      <c r="T233" s="18"/>
      <c r="U233" s="18"/>
      <c r="AL233" s="7"/>
      <c r="AM233" s="7"/>
      <c r="AN233" s="7"/>
      <c r="AO233" s="7"/>
      <c r="AP233" s="7"/>
      <c r="AQ233" s="7"/>
    </row>
    <row r="234" spans="1:43">
      <c r="A234" s="20">
        <f t="shared" si="228"/>
        <v>3.8092282846201803E-3</v>
      </c>
      <c r="B234" s="26">
        <f t="shared" si="217"/>
        <v>0.99999274489871059</v>
      </c>
      <c r="C234" s="26">
        <f t="shared" si="218"/>
        <v>7.7803560040280626</v>
      </c>
      <c r="D234" s="26">
        <f t="shared" si="219"/>
        <v>3.5983791199256008E-19</v>
      </c>
      <c r="E234" s="26">
        <f t="shared" si="220"/>
        <v>3.8092190725033783E-3</v>
      </c>
      <c r="F234" s="77">
        <f t="shared" si="221"/>
        <v>0.66441094705541004</v>
      </c>
      <c r="G234" s="77">
        <f t="shared" si="222"/>
        <v>1.104470178979009</v>
      </c>
      <c r="H234" s="81">
        <f t="shared" si="223"/>
        <v>0.10186193346279589</v>
      </c>
      <c r="I234" s="81">
        <f t="shared" si="224"/>
        <v>-2.913491932757001</v>
      </c>
      <c r="J234" s="77">
        <f t="shared" si="225"/>
        <v>-4.8760193190586559E-3</v>
      </c>
      <c r="K234" s="77">
        <f t="shared" si="226"/>
        <v>-1.280048180542203</v>
      </c>
      <c r="L234" s="91">
        <f t="shared" si="227"/>
        <v>1.2800574674887859</v>
      </c>
      <c r="T234" s="18"/>
      <c r="U234" s="18"/>
    </row>
    <row r="235" spans="1:43">
      <c r="A235" s="20">
        <f t="shared" si="228"/>
        <v>3.7693441095167377E-3</v>
      </c>
      <c r="B235" s="26">
        <f t="shared" si="217"/>
        <v>0.99999289603090313</v>
      </c>
      <c r="C235" s="26">
        <f t="shared" si="218"/>
        <v>7.7803561551602556</v>
      </c>
      <c r="D235" s="26">
        <f t="shared" si="219"/>
        <v>3.3505210769028239E-19</v>
      </c>
      <c r="E235" s="26">
        <f t="shared" si="220"/>
        <v>3.7693351837444875E-3</v>
      </c>
      <c r="F235" s="77">
        <f t="shared" si="221"/>
        <v>0.62519200547552656</v>
      </c>
      <c r="G235" s="77">
        <f t="shared" si="222"/>
        <v>1.2335451623434195</v>
      </c>
      <c r="H235" s="81">
        <f t="shared" si="223"/>
        <v>0.10125427509286082</v>
      </c>
      <c r="I235" s="81">
        <f t="shared" si="224"/>
        <v>-3.0738377613447407</v>
      </c>
      <c r="J235" s="77">
        <f t="shared" si="225"/>
        <v>-4.5401568193373593E-3</v>
      </c>
      <c r="K235" s="77">
        <f t="shared" si="226"/>
        <v>-1.2044894775564703</v>
      </c>
      <c r="L235" s="91">
        <f t="shared" si="227"/>
        <v>1.2044980342732829</v>
      </c>
      <c r="T235" s="18"/>
      <c r="U235" s="18"/>
    </row>
    <row r="236" spans="1:43">
      <c r="A236" s="20">
        <f t="shared" si="228"/>
        <v>3.7294599344132951E-3</v>
      </c>
      <c r="B236" s="26">
        <f t="shared" si="217"/>
        <v>0.99999304557235946</v>
      </c>
      <c r="C236" s="26">
        <f t="shared" si="218"/>
        <v>7.7803563047017112</v>
      </c>
      <c r="D236" s="26">
        <f t="shared" si="219"/>
        <v>3.1173680639344115E-19</v>
      </c>
      <c r="E236" s="26">
        <f t="shared" si="220"/>
        <v>3.7294512889895362E-3</v>
      </c>
      <c r="F236" s="77">
        <f t="shared" si="221"/>
        <v>0.58790746012233841</v>
      </c>
      <c r="G236" s="77">
        <f t="shared" si="222"/>
        <v>1.3562537790818385</v>
      </c>
      <c r="H236" s="81">
        <f t="shared" si="223"/>
        <v>0.10071657714438988</v>
      </c>
      <c r="I236" s="81">
        <f t="shared" si="224"/>
        <v>-3.2172318005705947</v>
      </c>
      <c r="J236" s="77">
        <f t="shared" si="225"/>
        <v>-4.2242205164515706E-3</v>
      </c>
      <c r="K236" s="77">
        <f t="shared" si="226"/>
        <v>-1.1326575445258491</v>
      </c>
      <c r="L236" s="91">
        <f t="shared" si="227"/>
        <v>1.1326654215655643</v>
      </c>
      <c r="T236" s="18"/>
      <c r="U236" s="18"/>
    </row>
    <row r="237" spans="1:43">
      <c r="A237" s="20">
        <f t="shared" si="228"/>
        <v>3.6895757593098525E-3</v>
      </c>
      <c r="B237" s="26">
        <f t="shared" si="217"/>
        <v>0.99999319352307947</v>
      </c>
      <c r="C237" s="26">
        <f t="shared" si="218"/>
        <v>7.7803564526524314</v>
      </c>
      <c r="D237" s="26">
        <f t="shared" si="219"/>
        <v>2.8981910494740673E-19</v>
      </c>
      <c r="E237" s="26">
        <f t="shared" si="220"/>
        <v>3.6895673883019699E-3</v>
      </c>
      <c r="F237" s="77">
        <f t="shared" si="221"/>
        <v>0.55248106793705076</v>
      </c>
      <c r="G237" s="77">
        <f t="shared" si="222"/>
        <v>1.4728469556891983</v>
      </c>
      <c r="H237" s="81">
        <f t="shared" si="223"/>
        <v>0.10024140684669841</v>
      </c>
      <c r="I237" s="81">
        <f t="shared" si="224"/>
        <v>-3.3453130801171955</v>
      </c>
      <c r="J237" s="77">
        <f t="shared" si="225"/>
        <v>-3.9272225289731597E-3</v>
      </c>
      <c r="K237" s="77">
        <f t="shared" si="226"/>
        <v>-1.0644054939544136</v>
      </c>
      <c r="L237" s="91">
        <f t="shared" si="227"/>
        <v>1.0644127388551545</v>
      </c>
      <c r="T237" s="18"/>
      <c r="U237" s="18"/>
    </row>
    <row r="238" spans="1:43">
      <c r="A238" s="20">
        <f t="shared" si="228"/>
        <v>3.6496915842064099E-3</v>
      </c>
      <c r="B238" s="26">
        <f t="shared" si="217"/>
        <v>0.99999333988306294</v>
      </c>
      <c r="C238" s="26">
        <f t="shared" si="218"/>
        <v>7.7803565990124151</v>
      </c>
      <c r="D238" s="26">
        <f t="shared" si="219"/>
        <v>2.6922898861361047E-19</v>
      </c>
      <c r="E238" s="26">
        <f t="shared" si="220"/>
        <v>3.6496834817452339E-3</v>
      </c>
      <c r="F238" s="77">
        <f t="shared" si="221"/>
        <v>0.51883881946630794</v>
      </c>
      <c r="G238" s="77">
        <f t="shared" si="222"/>
        <v>1.5835682675547338</v>
      </c>
      <c r="H238" s="81">
        <f t="shared" si="223"/>
        <v>9.9822053680711759E-2</v>
      </c>
      <c r="I238" s="81">
        <f t="shared" si="224"/>
        <v>-3.4595772656566464</v>
      </c>
      <c r="J238" s="77">
        <f t="shared" si="225"/>
        <v>-3.6482141152423368E-3</v>
      </c>
      <c r="K238" s="77">
        <f t="shared" si="226"/>
        <v>-0.9995907414867653</v>
      </c>
      <c r="L238" s="91">
        <f t="shared" si="227"/>
        <v>0.99959739892233213</v>
      </c>
      <c r="T238" s="18"/>
      <c r="U238" s="18"/>
    </row>
    <row r="239" spans="1:43">
      <c r="A239" s="20">
        <f t="shared" si="228"/>
        <v>3.6098074091029672E-3</v>
      </c>
      <c r="B239" s="26">
        <f t="shared" si="217"/>
        <v>0.99999348465230953</v>
      </c>
      <c r="C239" s="26">
        <f t="shared" si="218"/>
        <v>7.7803567437816614</v>
      </c>
      <c r="D239" s="26">
        <f t="shared" si="219"/>
        <v>2.4989924600413245E-19</v>
      </c>
      <c r="E239" s="26">
        <f t="shared" si="220"/>
        <v>3.6097995693827735E-3</v>
      </c>
      <c r="F239" s="77">
        <f t="shared" si="221"/>
        <v>0.48690889651139191</v>
      </c>
      <c r="G239" s="77">
        <f t="shared" si="222"/>
        <v>1.6886540783443511</v>
      </c>
      <c r="H239" s="81">
        <f t="shared" si="223"/>
        <v>9.9452465884611582E-2</v>
      </c>
      <c r="I239" s="81">
        <f t="shared" si="224"/>
        <v>-3.5613878495133706</v>
      </c>
      <c r="J239" s="77">
        <f t="shared" si="225"/>
        <v>-3.3862845206803415E-3</v>
      </c>
      <c r="K239" s="77">
        <f t="shared" si="226"/>
        <v>-0.93807492432005468</v>
      </c>
      <c r="L239" s="91">
        <f t="shared" si="227"/>
        <v>0.93808103624416761</v>
      </c>
      <c r="T239" s="18"/>
      <c r="U239" s="18"/>
    </row>
    <row r="240" spans="1:43">
      <c r="A240" s="20">
        <f t="shared" si="228"/>
        <v>3.5699232339995246E-3</v>
      </c>
      <c r="B240" s="26">
        <f t="shared" si="217"/>
        <v>0.99999362783081913</v>
      </c>
      <c r="C240" s="26">
        <f t="shared" si="218"/>
        <v>7.7803568869601714</v>
      </c>
      <c r="D240" s="26">
        <f t="shared" si="219"/>
        <v>2.3176538563781381E-19</v>
      </c>
      <c r="E240" s="26">
        <f t="shared" si="220"/>
        <v>3.5699156512780336E-3</v>
      </c>
      <c r="F240" s="77">
        <f t="shared" si="221"/>
        <v>0.45662163013325818</v>
      </c>
      <c r="G240" s="77">
        <f t="shared" si="222"/>
        <v>1.7883336782118877</v>
      </c>
      <c r="H240" s="75">
        <f t="shared" si="223"/>
        <v>9.9127191941113427E-2</v>
      </c>
      <c r="I240" s="75">
        <f t="shared" si="224"/>
        <v>-3.6519865753465606</v>
      </c>
      <c r="J240" s="77">
        <f t="shared" si="225"/>
        <v>-3.1405598470747712E-3</v>
      </c>
      <c r="K240" s="77">
        <f t="shared" si="226"/>
        <v>-0.8797238203014085</v>
      </c>
      <c r="L240" s="91">
        <f t="shared" si="227"/>
        <v>0.87972942608614491</v>
      </c>
      <c r="T240" s="18"/>
      <c r="U240" s="18"/>
    </row>
    <row r="241" spans="1:12">
      <c r="A241" s="20">
        <f t="shared" si="228"/>
        <v>3.530039058896082E-3</v>
      </c>
      <c r="B241" s="26">
        <f t="shared" si="217"/>
        <v>0.99999376941859142</v>
      </c>
      <c r="C241" s="26">
        <f t="shared" si="218"/>
        <v>7.7803570285479431</v>
      </c>
      <c r="D241" s="26">
        <f t="shared" si="219"/>
        <v>2.1476555410421522E-19</v>
      </c>
      <c r="E241" s="26">
        <f t="shared" si="220"/>
        <v>3.5300317274944595E-3</v>
      </c>
      <c r="F241" s="77">
        <f t="shared" si="221"/>
        <v>0.42790945901429761</v>
      </c>
      <c r="G241" s="77">
        <f t="shared" si="222"/>
        <v>1.8828294208363361</v>
      </c>
      <c r="H241" s="75">
        <f t="shared" si="223"/>
        <v>9.8841326703621044E-2</v>
      </c>
      <c r="I241" s="75">
        <f t="shared" si="224"/>
        <v>-3.7325031417645373</v>
      </c>
      <c r="J241" s="77">
        <f t="shared" si="225"/>
        <v>-2.9102019436521801E-3</v>
      </c>
      <c r="K241" s="77">
        <f t="shared" si="226"/>
        <v>-0.82440726771247486</v>
      </c>
      <c r="L241" s="91">
        <f t="shared" si="227"/>
        <v>0.82441240428107398</v>
      </c>
    </row>
    <row r="242" spans="1:12">
      <c r="A242" s="20">
        <f t="shared" si="228"/>
        <v>3.4901548837926394E-3</v>
      </c>
      <c r="B242" s="26">
        <f t="shared" si="217"/>
        <v>0.99999390941562616</v>
      </c>
      <c r="C242" s="26">
        <f t="shared" si="218"/>
        <v>7.7803571685449784</v>
      </c>
      <c r="D242" s="26">
        <f t="shared" si="219"/>
        <v>1.9884045582166414E-19</v>
      </c>
      <c r="E242" s="26">
        <f t="shared" si="220"/>
        <v>3.4901477980954967E-3</v>
      </c>
      <c r="F242" s="77">
        <f t="shared" si="221"/>
        <v>0.40070688817763173</v>
      </c>
      <c r="G242" s="77">
        <f t="shared" si="222"/>
        <v>1.9723568592823759</v>
      </c>
      <c r="H242" s="75">
        <f t="shared" si="223"/>
        <v>9.8590461838706095E-2</v>
      </c>
      <c r="I242" s="75">
        <f t="shared" si="224"/>
        <v>-3.8039642276006518</v>
      </c>
      <c r="J242" s="77">
        <f t="shared" si="225"/>
        <v>-2.694407319751538E-3</v>
      </c>
      <c r="K242" s="77">
        <f t="shared" si="226"/>
        <v>-0.7719990857426422</v>
      </c>
      <c r="L242" s="91">
        <f t="shared" si="227"/>
        <v>0.77200378769684808</v>
      </c>
    </row>
    <row r="243" spans="1:12">
      <c r="A243" s="20">
        <f t="shared" si="228"/>
        <v>3.4502707086891968E-3</v>
      </c>
      <c r="B243" s="26">
        <f t="shared" si="217"/>
        <v>0.99999404782192314</v>
      </c>
      <c r="C243" s="26">
        <f t="shared" si="218"/>
        <v>7.7803573069512755</v>
      </c>
      <c r="D243" s="26">
        <f t="shared" si="219"/>
        <v>1.8393327437564001E-19</v>
      </c>
      <c r="E243" s="26">
        <f t="shared" si="220"/>
        <v>3.4502638631445899E-3</v>
      </c>
      <c r="F243" s="77">
        <f t="shared" si="221"/>
        <v>0.37495044806484357</v>
      </c>
      <c r="G243" s="77">
        <f t="shared" si="222"/>
        <v>2.0571248806812448</v>
      </c>
      <c r="H243" s="75">
        <f t="shared" si="223"/>
        <v>9.8370640281577507E-2</v>
      </c>
      <c r="I243" s="75">
        <f t="shared" si="224"/>
        <v>-3.8673018794803999</v>
      </c>
      <c r="J243" s="77">
        <f t="shared" si="225"/>
        <v>-2.49240607891222E-3</v>
      </c>
      <c r="K243" s="77">
        <f t="shared" si="226"/>
        <v>-0.72237699565267999</v>
      </c>
      <c r="L243" s="91">
        <f t="shared" si="227"/>
        <v>0.72238129539478957</v>
      </c>
    </row>
    <row r="244" spans="1:12">
      <c r="A244" s="20">
        <f t="shared" si="228"/>
        <v>3.4103865335857542E-3</v>
      </c>
      <c r="B244" s="26">
        <f t="shared" si="217"/>
        <v>0.99999418463748213</v>
      </c>
      <c r="C244" s="26">
        <f t="shared" si="218"/>
        <v>7.7803574437668344</v>
      </c>
      <c r="D244" s="26">
        <f t="shared" si="219"/>
        <v>1.6998959542369828E-19</v>
      </c>
      <c r="E244" s="26">
        <f t="shared" si="220"/>
        <v>3.4103799227051851E-3</v>
      </c>
      <c r="F244" s="77">
        <f t="shared" si="221"/>
        <v>0.35057865397302168</v>
      </c>
      <c r="G244" s="77">
        <f t="shared" si="222"/>
        <v>2.1373358397290616</v>
      </c>
      <c r="H244" s="75">
        <f t="shared" si="223"/>
        <v>9.8178314419471419E-2</v>
      </c>
      <c r="I244" s="75">
        <f t="shared" si="224"/>
        <v>-3.9233613002919094</v>
      </c>
      <c r="J244" s="77">
        <f t="shared" si="225"/>
        <v>-2.30346087418953E-3</v>
      </c>
      <c r="K244" s="77">
        <f t="shared" si="226"/>
        <v>-0.67542254263048729</v>
      </c>
      <c r="L244" s="91">
        <f t="shared" si="227"/>
        <v>0.67542647048026727</v>
      </c>
    </row>
    <row r="245" spans="1:12">
      <c r="A245" s="20">
        <f t="shared" si="228"/>
        <v>3.3705023584823116E-3</v>
      </c>
      <c r="B245" s="26">
        <f t="shared" si="217"/>
        <v>0.99999431986230303</v>
      </c>
      <c r="C245" s="26">
        <f t="shared" si="218"/>
        <v>7.780357578991655</v>
      </c>
      <c r="D245" s="26">
        <f t="shared" si="219"/>
        <v>1.5695733115310216E-19</v>
      </c>
      <c r="E245" s="26">
        <f t="shared" si="220"/>
        <v>3.3704959768407271E-3</v>
      </c>
      <c r="F245" s="77">
        <f t="shared" si="221"/>
        <v>0.32753196585202082</v>
      </c>
      <c r="G245" s="77">
        <f t="shared" si="222"/>
        <v>2.2131856909996217</v>
      </c>
      <c r="H245" s="75">
        <f t="shared" si="223"/>
        <v>9.8010307735245925E-2</v>
      </c>
      <c r="I245" s="75">
        <f t="shared" si="224"/>
        <v>-3.9729080752329438</v>
      </c>
      <c r="J245" s="77">
        <f t="shared" si="225"/>
        <v>-2.1268658845103481E-3</v>
      </c>
      <c r="K245" s="77">
        <f t="shared" si="226"/>
        <v>-0.63102101834069801</v>
      </c>
      <c r="L245" s="91">
        <f t="shared" si="227"/>
        <v>0.63102460264733118</v>
      </c>
    </row>
    <row r="246" spans="1:12">
      <c r="A246" s="20">
        <f t="shared" si="228"/>
        <v>3.330618183378869E-3</v>
      </c>
      <c r="B246" s="26">
        <f t="shared" si="217"/>
        <v>0.9999944534963856</v>
      </c>
      <c r="C246" s="26">
        <f t="shared" si="218"/>
        <v>7.7803577126257375</v>
      </c>
      <c r="D246" s="26">
        <f t="shared" si="219"/>
        <v>1.4478664627728592E-19</v>
      </c>
      <c r="E246" s="26">
        <f t="shared" si="220"/>
        <v>3.3306120256146612E-3</v>
      </c>
      <c r="F246" s="77">
        <f t="shared" si="221"/>
        <v>0.30575274846282696</v>
      </c>
      <c r="G246" s="77">
        <f t="shared" si="222"/>
        <v>2.2848641200687525</v>
      </c>
      <c r="H246" s="75">
        <f t="shared" si="223"/>
        <v>9.786377965994307E-2</v>
      </c>
      <c r="I246" s="75">
        <f t="shared" si="224"/>
        <v>-4.0166348702456531</v>
      </c>
      <c r="J246" s="77">
        <f t="shared" si="225"/>
        <v>-1.9619458118808634E-3</v>
      </c>
      <c r="K246" s="77">
        <f t="shared" si="226"/>
        <v>-0.58906138416985199</v>
      </c>
      <c r="L246" s="91">
        <f t="shared" si="227"/>
        <v>0.58906465141907016</v>
      </c>
    </row>
    <row r="247" spans="1:12">
      <c r="A247" s="20">
        <f t="shared" si="228"/>
        <v>3.2907340082754264E-3</v>
      </c>
      <c r="B247" s="26">
        <f t="shared" si="217"/>
        <v>0.99999458553972942</v>
      </c>
      <c r="C247" s="26">
        <f t="shared" si="218"/>
        <v>7.7803578446690818</v>
      </c>
      <c r="D247" s="26">
        <f t="shared" si="219"/>
        <v>1.3342988555725289E-19</v>
      </c>
      <c r="E247" s="26">
        <f t="shared" si="220"/>
        <v>3.2907280690904332E-3</v>
      </c>
      <c r="F247" s="77">
        <f t="shared" si="221"/>
        <v>0.28518523189796036</v>
      </c>
      <c r="G247" s="77">
        <f t="shared" si="222"/>
        <v>2.352554673447151</v>
      </c>
      <c r="H247" s="75">
        <f t="shared" si="223"/>
        <v>9.7736193398717988E-2</v>
      </c>
      <c r="I247" s="75">
        <f t="shared" si="224"/>
        <v>-4.0551676358629711</v>
      </c>
      <c r="J247" s="77">
        <f t="shared" si="225"/>
        <v>-1.8080548992580928E-3</v>
      </c>
      <c r="K247" s="77">
        <f t="shared" si="226"/>
        <v>-0.54943619516893794</v>
      </c>
      <c r="L247" s="91">
        <f t="shared" si="227"/>
        <v>0.54943917008549548</v>
      </c>
    </row>
    <row r="248" spans="1:12">
      <c r="A248" s="20">
        <f t="shared" si="228"/>
        <v>3.2508498331719838E-3</v>
      </c>
      <c r="B248" s="26">
        <f t="shared" si="217"/>
        <v>0.99999471599233458</v>
      </c>
      <c r="C248" s="26">
        <f t="shared" si="218"/>
        <v>7.7803579751216869</v>
      </c>
      <c r="D248" s="26">
        <f t="shared" si="219"/>
        <v>1.2284150283397529E-19</v>
      </c>
      <c r="E248" s="26">
        <f t="shared" si="220"/>
        <v>3.2508441073314876E-3</v>
      </c>
      <c r="F248" s="77">
        <f t="shared" si="221"/>
        <v>0.26577547246486205</v>
      </c>
      <c r="G248" s="77">
        <f t="shared" si="222"/>
        <v>2.416434887318589</v>
      </c>
      <c r="H248" s="75">
        <f t="shared" si="223"/>
        <v>9.7625286509363113E-2</v>
      </c>
      <c r="I248" s="75">
        <f t="shared" si="224"/>
        <v>-4.0890713477757732</v>
      </c>
      <c r="J248" s="77">
        <f t="shared" si="225"/>
        <v>-1.6645759688963691E-3</v>
      </c>
      <c r="K248" s="77">
        <f t="shared" si="226"/>
        <v>-0.51204152469512876</v>
      </c>
      <c r="L248" s="91">
        <f t="shared" si="227"/>
        <v>0.51204423034076696</v>
      </c>
    </row>
    <row r="249" spans="1:12">
      <c r="A249" s="20">
        <f t="shared" si="228"/>
        <v>3.2109656580685412E-3</v>
      </c>
      <c r="B249" s="26">
        <f t="shared" si="217"/>
        <v>0.99999484485420065</v>
      </c>
      <c r="C249" s="26">
        <f t="shared" si="218"/>
        <v>7.780358103983553</v>
      </c>
      <c r="D249" s="26">
        <f t="shared" si="219"/>
        <v>1.1297799155780244E-19</v>
      </c>
      <c r="E249" s="26">
        <f t="shared" si="220"/>
        <v>3.2109601404012702E-3</v>
      </c>
      <c r="F249" s="77">
        <f t="shared" si="221"/>
        <v>0.24747131393317234</v>
      </c>
      <c r="G249" s="77">
        <f t="shared" si="222"/>
        <v>2.4766764150805014</v>
      </c>
      <c r="H249" s="75">
        <f t="shared" si="223"/>
        <v>9.7529044026711142E-2</v>
      </c>
      <c r="I249" s="75">
        <f t="shared" si="224"/>
        <v>-4.1188553137853097</v>
      </c>
      <c r="J249" s="77">
        <f t="shared" si="225"/>
        <v>-1.5309194809792035E-3</v>
      </c>
      <c r="K249" s="77">
        <f t="shared" si="226"/>
        <v>-0.47677688975446314</v>
      </c>
      <c r="L249" s="91">
        <f t="shared" si="227"/>
        <v>0.47677934762151425</v>
      </c>
    </row>
    <row r="250" spans="1:12">
      <c r="A250" s="20">
        <f t="shared" si="228"/>
        <v>3.1710814829650985E-3</v>
      </c>
      <c r="B250" s="26">
        <f t="shared" si="217"/>
        <v>0.99999497212532751</v>
      </c>
      <c r="C250" s="26">
        <f t="shared" si="218"/>
        <v>7.78035823125468</v>
      </c>
      <c r="D250" s="26">
        <f t="shared" si="219"/>
        <v>1.0379781680089576E-19</v>
      </c>
      <c r="E250" s="26">
        <f t="shared" si="220"/>
        <v>3.1710761683632262E-3</v>
      </c>
      <c r="F250" s="77">
        <f t="shared" si="221"/>
        <v>0.23022234914692527</v>
      </c>
      <c r="G250" s="77">
        <f t="shared" si="222"/>
        <v>2.533445153683588</v>
      </c>
      <c r="H250" s="75">
        <f t="shared" si="223"/>
        <v>9.7445673939512686E-2</v>
      </c>
      <c r="I250" s="75">
        <f t="shared" si="224"/>
        <v>-4.1449780752292398</v>
      </c>
      <c r="J250" s="77">
        <f t="shared" si="225"/>
        <v>-1.4065226123470371E-3</v>
      </c>
      <c r="K250" s="77">
        <f t="shared" si="226"/>
        <v>-0.44354517704745045</v>
      </c>
      <c r="L250" s="91">
        <f t="shared" si="227"/>
        <v>0.44354740714822494</v>
      </c>
    </row>
    <row r="251" spans="1:12">
      <c r="A251" s="20">
        <f t="shared" si="228"/>
        <v>3.1311973078616559E-3</v>
      </c>
      <c r="B251" s="26">
        <f t="shared" si="217"/>
        <v>0.99999509780571483</v>
      </c>
      <c r="C251" s="26">
        <f t="shared" si="218"/>
        <v>7.7803583569350669</v>
      </c>
      <c r="D251" s="26">
        <f t="shared" si="219"/>
        <v>9.5261348738611855E-20</v>
      </c>
      <c r="E251" s="26">
        <f t="shared" si="220"/>
        <v>3.1311921912808012E-3</v>
      </c>
      <c r="F251" s="77">
        <f t="shared" si="221"/>
        <v>0.21397988200257101</v>
      </c>
      <c r="G251" s="77">
        <f t="shared" si="222"/>
        <v>2.5869013687674207</v>
      </c>
      <c r="H251" s="75">
        <f t="shared" si="223"/>
        <v>9.7373584838985186E-2</v>
      </c>
      <c r="I251" s="75">
        <f t="shared" si="224"/>
        <v>-4.1678519294595038</v>
      </c>
      <c r="J251" s="77">
        <f t="shared" si="225"/>
        <v>-1.2908483551301265E-3</v>
      </c>
      <c r="K251" s="77">
        <f t="shared" si="226"/>
        <v>-0.41225256971935764</v>
      </c>
      <c r="L251" s="91">
        <f t="shared" si="227"/>
        <v>0.41225459067145603</v>
      </c>
    </row>
    <row r="252" spans="1:12">
      <c r="A252" s="20">
        <f t="shared" si="228"/>
        <v>3.0913131327582133E-3</v>
      </c>
      <c r="B252" s="26">
        <f t="shared" si="217"/>
        <v>0.99999522189536272</v>
      </c>
      <c r="C252" s="26">
        <f t="shared" si="218"/>
        <v>7.7803584810247148</v>
      </c>
      <c r="D252" s="26">
        <f t="shared" si="219"/>
        <v>8.7330797585767428E-20</v>
      </c>
      <c r="E252" s="26">
        <f t="shared" si="220"/>
        <v>3.0913082092174399E-3</v>
      </c>
      <c r="F252" s="77">
        <f t="shared" si="221"/>
        <v>0.1986968897938603</v>
      </c>
      <c r="G252" s="77">
        <f t="shared" si="222"/>
        <v>2.6371998185886563</v>
      </c>
      <c r="H252" s="75">
        <f t="shared" si="223"/>
        <v>9.7311365570149286E-2</v>
      </c>
      <c r="I252" s="75">
        <f t="shared" si="224"/>
        <v>-4.1878470985041858</v>
      </c>
      <c r="J252" s="77">
        <f t="shared" si="225"/>
        <v>-1.1833846350959465E-3</v>
      </c>
      <c r="K252" s="77">
        <f t="shared" si="226"/>
        <v>-0.38280847481717278</v>
      </c>
      <c r="L252" s="91">
        <f t="shared" si="227"/>
        <v>0.38281030392486115</v>
      </c>
    </row>
    <row r="253" spans="1:12">
      <c r="A253" s="20">
        <f t="shared" si="228"/>
        <v>3.0514289576547707E-3</v>
      </c>
      <c r="B253" s="26">
        <f t="shared" si="217"/>
        <v>0.99999534439427062</v>
      </c>
      <c r="C253" s="26">
        <f t="shared" si="218"/>
        <v>7.7803586035236227</v>
      </c>
      <c r="D253" s="26">
        <f t="shared" si="219"/>
        <v>7.9970149973652627E-20</v>
      </c>
      <c r="E253" s="26">
        <f t="shared" si="220"/>
        <v>3.0514242222365881E-3</v>
      </c>
      <c r="F253" s="77">
        <f t="shared" si="221"/>
        <v>0.18432798592457811</v>
      </c>
      <c r="G253" s="77">
        <f t="shared" si="222"/>
        <v>2.6844898767386125</v>
      </c>
      <c r="H253" s="75">
        <f t="shared" si="223"/>
        <v>9.7257766728336179E-2</v>
      </c>
      <c r="I253" s="75">
        <f t="shared" si="224"/>
        <v>-4.205295567661981</v>
      </c>
      <c r="J253" s="77">
        <f t="shared" si="225"/>
        <v>-1.0836434495196008E-3</v>
      </c>
      <c r="K253" s="77">
        <f t="shared" si="226"/>
        <v>-0.35512545145515001</v>
      </c>
      <c r="L253" s="91">
        <f t="shared" si="227"/>
        <v>0.35512710478693371</v>
      </c>
    </row>
    <row r="254" spans="1:12">
      <c r="A254" s="20">
        <f t="shared" si="228"/>
        <v>3.0115447825513281E-3</v>
      </c>
      <c r="B254" s="26">
        <f t="shared" si="217"/>
        <v>0.99999546530243855</v>
      </c>
      <c r="C254" s="26">
        <f t="shared" si="218"/>
        <v>7.7803587244317907</v>
      </c>
      <c r="D254" s="26">
        <f t="shared" si="219"/>
        <v>7.3145106753635158E-20</v>
      </c>
      <c r="E254" s="26">
        <f t="shared" si="220"/>
        <v>3.0115402304016913E-3</v>
      </c>
      <c r="F254" s="77">
        <f t="shared" si="221"/>
        <v>0.17082938299016159</v>
      </c>
      <c r="G254" s="77">
        <f t="shared" si="222"/>
        <v>2.7289156536467858</v>
      </c>
      <c r="H254" s="75">
        <f t="shared" si="223"/>
        <v>9.7211683853892061E-2</v>
      </c>
      <c r="I254" s="75">
        <f t="shared" si="224"/>
        <v>-4.2204946164540758</v>
      </c>
      <c r="J254" s="77">
        <f t="shared" si="225"/>
        <v>-9.9116002438538742E-4</v>
      </c>
      <c r="K254" s="77">
        <f t="shared" si="226"/>
        <v>-0.32911913969093404</v>
      </c>
      <c r="L254" s="91">
        <f t="shared" si="227"/>
        <v>0.32912063215346204</v>
      </c>
    </row>
    <row r="255" spans="1:12">
      <c r="A255" s="20">
        <f t="shared" si="228"/>
        <v>2.9716606074478855E-3</v>
      </c>
      <c r="B255" s="26">
        <f t="shared" si="217"/>
        <v>0.99999558461986637</v>
      </c>
      <c r="C255" s="26">
        <f t="shared" si="218"/>
        <v>7.7803588437492186</v>
      </c>
      <c r="D255" s="26">
        <f t="shared" si="219"/>
        <v>6.6823022213140479E-20</v>
      </c>
      <c r="E255" s="26">
        <f t="shared" si="220"/>
        <v>2.9716562337761946E-3</v>
      </c>
      <c r="F255" s="77">
        <f t="shared" si="221"/>
        <v>0.15815885622921433</v>
      </c>
      <c r="G255" s="77">
        <f t="shared" si="222"/>
        <v>2.7706161168669983</v>
      </c>
      <c r="H255" s="75">
        <f t="shared" si="223"/>
        <v>9.7172142188152413E-2</v>
      </c>
      <c r="I255" s="75">
        <f t="shared" si="224"/>
        <v>-4.2337100630932003</v>
      </c>
      <c r="J255" s="77">
        <f t="shared" si="225"/>
        <v>-9.0549199072691221E-4</v>
      </c>
      <c r="K255" s="77">
        <f t="shared" si="226"/>
        <v>-0.30470819011421374</v>
      </c>
      <c r="L255" s="91">
        <f t="shared" si="227"/>
        <v>0.3047095355226434</v>
      </c>
    </row>
    <row r="256" spans="1:12">
      <c r="A256" s="20">
        <f t="shared" si="228"/>
        <v>2.9317764323444429E-3</v>
      </c>
      <c r="B256" s="26">
        <f t="shared" si="217"/>
        <v>0.99999570234655366</v>
      </c>
      <c r="C256" s="26">
        <f t="shared" si="218"/>
        <v>7.7803589614759057</v>
      </c>
      <c r="D256" s="26">
        <f t="shared" si="219"/>
        <v>6.0972844689780912E-20</v>
      </c>
      <c r="E256" s="26">
        <f t="shared" si="220"/>
        <v>2.9317722324235435E-3</v>
      </c>
      <c r="F256" s="77">
        <f t="shared" si="221"/>
        <v>0.14627570734600798</v>
      </c>
      <c r="G256" s="77">
        <f t="shared" si="222"/>
        <v>2.8097252101425654</v>
      </c>
      <c r="H256" s="75">
        <f t="shared" si="223"/>
        <v>9.713828286323449E-2</v>
      </c>
      <c r="I256" s="75">
        <f t="shared" si="224"/>
        <v>-4.2451792424207015</v>
      </c>
      <c r="J256" s="77">
        <f t="shared" si="225"/>
        <v>-8.2621857991295152E-4</v>
      </c>
      <c r="K256" s="77">
        <f t="shared" si="226"/>
        <v>-0.28181419415001252</v>
      </c>
      <c r="L256" s="91">
        <f t="shared" si="227"/>
        <v>0.28181540529496035</v>
      </c>
    </row>
    <row r="257" spans="1:16">
      <c r="A257" s="20">
        <f t="shared" si="228"/>
        <v>2.8918922572410003E-3</v>
      </c>
      <c r="B257" s="26">
        <f t="shared" si="217"/>
        <v>0.99999581848250041</v>
      </c>
      <c r="C257" s="26">
        <f t="shared" si="218"/>
        <v>7.7803590776118527</v>
      </c>
      <c r="D257" s="26">
        <f t="shared" si="219"/>
        <v>5.5565058569336888E-20</v>
      </c>
      <c r="E257" s="26">
        <f t="shared" si="220"/>
        <v>2.8918882264071829E-3</v>
      </c>
      <c r="F257" s="77">
        <f t="shared" si="221"/>
        <v>0.13514072870501495</v>
      </c>
      <c r="G257" s="77">
        <f t="shared" si="222"/>
        <v>2.8463719712470628</v>
      </c>
      <c r="H257" s="113">
        <f t="shared" si="223"/>
        <v>9.7109350407127953E-2</v>
      </c>
      <c r="I257" s="113">
        <f t="shared" si="224"/>
        <v>-4.2551137361083438</v>
      </c>
      <c r="J257" s="77">
        <f t="shared" si="225"/>
        <v>-7.5293983768534708E-4</v>
      </c>
      <c r="K257" s="77">
        <f t="shared" si="226"/>
        <v>-0.26036161507862676</v>
      </c>
      <c r="L257" s="91">
        <f t="shared" si="227"/>
        <v>0.2603627037898289</v>
      </c>
    </row>
    <row r="258" spans="1:16">
      <c r="G258" s="145" t="s">
        <v>67</v>
      </c>
      <c r="H258" s="365">
        <f>SQRT(H257*H257+POWER((I257-$M$3),2))</f>
        <v>2.2572036214575384</v>
      </c>
      <c r="I258" s="365"/>
    </row>
    <row r="259" spans="1:16">
      <c r="A259" s="94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</row>
  </sheetData>
  <mergeCells count="2">
    <mergeCell ref="A1:C1"/>
    <mergeCell ref="H258:I258"/>
  </mergeCells>
  <conditionalFormatting sqref="AB36:AI36">
    <cfRule type="cellIs" dxfId="6" priority="1" operator="greaterThan">
      <formula>0.01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H495"/>
  <sheetViews>
    <sheetView workbookViewId="0">
      <selection activeCell="J3" sqref="J3:K3"/>
    </sheetView>
  </sheetViews>
  <sheetFormatPr baseColWidth="10" defaultRowHeight="14.25"/>
  <cols>
    <col min="1" max="19" width="5.7109375" style="152" customWidth="1"/>
    <col min="20" max="21" width="5.7109375" style="165" customWidth="1"/>
    <col min="22" max="56" width="5.7109375" style="152" customWidth="1"/>
    <col min="57" max="59" width="11.42578125" style="152" customWidth="1"/>
    <col min="60" max="16384" width="11.42578125" style="152"/>
  </cols>
  <sheetData>
    <row r="1" spans="1:56">
      <c r="A1" s="363" t="s">
        <v>6</v>
      </c>
      <c r="B1" s="363"/>
      <c r="C1" s="363"/>
      <c r="D1" s="142" t="s">
        <v>72</v>
      </c>
      <c r="E1" s="142"/>
      <c r="F1" s="143">
        <f>Stufengrün!AH39</f>
        <v>17</v>
      </c>
      <c r="G1" s="142" t="s">
        <v>71</v>
      </c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59"/>
      <c r="AV1" s="159"/>
      <c r="AW1" s="159"/>
      <c r="AX1" s="159"/>
      <c r="AY1" s="159"/>
      <c r="AZ1" s="159"/>
      <c r="BA1" s="159"/>
      <c r="BB1" s="159"/>
      <c r="BC1" s="159"/>
      <c r="BD1" s="159"/>
    </row>
    <row r="2" spans="1:56">
      <c r="A2" s="88" t="s">
        <v>73</v>
      </c>
      <c r="B2" s="88"/>
      <c r="C2" s="23" t="str">
        <f>CONCATENATE("m",Stufengrün!AH56)</f>
        <v>m8</v>
      </c>
      <c r="D2" s="23" t="s">
        <v>30</v>
      </c>
      <c r="E2" s="28"/>
      <c r="F2" s="28"/>
      <c r="G2" s="28"/>
      <c r="H2" s="36" t="s">
        <v>57</v>
      </c>
      <c r="I2" s="36" t="s">
        <v>51</v>
      </c>
      <c r="J2" s="36" t="s">
        <v>58</v>
      </c>
      <c r="K2" s="36" t="s">
        <v>59</v>
      </c>
      <c r="L2" s="28"/>
      <c r="M2" s="185" t="s">
        <v>95</v>
      </c>
      <c r="N2" s="28"/>
      <c r="O2" s="28"/>
      <c r="P2" s="28"/>
      <c r="R2" s="88" t="s">
        <v>74</v>
      </c>
      <c r="S2" s="88"/>
      <c r="T2" s="26" t="s">
        <v>65</v>
      </c>
      <c r="U2" s="26" t="s">
        <v>66</v>
      </c>
    </row>
    <row r="3" spans="1:56">
      <c r="A3" s="88" t="s">
        <v>69</v>
      </c>
      <c r="B3" s="88"/>
      <c r="C3" s="90">
        <f>Stufengrün!AI56</f>
        <v>1.0323563876231049E-2</v>
      </c>
      <c r="D3" s="26">
        <f>Stufengrün!AK55</f>
        <v>1.4616059968409472</v>
      </c>
      <c r="E3" s="28"/>
      <c r="F3" s="28"/>
      <c r="G3" s="28"/>
      <c r="H3" s="79">
        <v>4</v>
      </c>
      <c r="I3" s="186">
        <v>2</v>
      </c>
      <c r="J3" s="79">
        <v>-2.2349999999999999</v>
      </c>
      <c r="K3" s="79">
        <v>-0.41799999999999998</v>
      </c>
      <c r="L3" s="28"/>
      <c r="M3" s="185">
        <f>Ystart</f>
        <v>-2</v>
      </c>
      <c r="N3" s="37" t="s">
        <v>88</v>
      </c>
      <c r="O3" s="28"/>
      <c r="P3" s="28"/>
      <c r="R3" s="28"/>
      <c r="S3" s="28"/>
      <c r="T3" s="149">
        <f>H22</f>
        <v>4</v>
      </c>
      <c r="U3" s="149">
        <f>I22</f>
        <v>2</v>
      </c>
    </row>
    <row r="4" spans="1:56">
      <c r="A4" s="28"/>
      <c r="B4" s="28"/>
      <c r="C4" s="28"/>
      <c r="D4" s="28"/>
      <c r="E4" s="28"/>
      <c r="F4" s="28"/>
      <c r="G4" s="28"/>
      <c r="H4" s="37" t="s">
        <v>8</v>
      </c>
      <c r="I4" s="37" t="s">
        <v>8</v>
      </c>
      <c r="J4" s="37" t="s">
        <v>9</v>
      </c>
      <c r="K4" s="37" t="s">
        <v>9</v>
      </c>
      <c r="L4" s="28"/>
      <c r="M4" s="28"/>
      <c r="N4" s="28"/>
      <c r="O4" s="28"/>
      <c r="P4" s="28"/>
      <c r="R4" s="28"/>
      <c r="S4" s="28"/>
      <c r="T4" s="149">
        <f t="shared" ref="T4:U8" si="0">H23</f>
        <v>3.2930551005024702</v>
      </c>
      <c r="U4" s="149">
        <f t="shared" si="0"/>
        <v>1.8623605576124316</v>
      </c>
    </row>
    <row r="5" spans="1:56">
      <c r="A5" s="88" t="s">
        <v>68</v>
      </c>
      <c r="B5" s="88"/>
      <c r="C5" s="115" t="s">
        <v>15</v>
      </c>
      <c r="D5" s="115" t="s">
        <v>55</v>
      </c>
      <c r="E5" s="115" t="s">
        <v>12</v>
      </c>
      <c r="F5" s="115" t="s">
        <v>10</v>
      </c>
      <c r="G5" s="115" t="s">
        <v>14</v>
      </c>
      <c r="H5" s="115" t="s">
        <v>21</v>
      </c>
      <c r="I5" s="115" t="s">
        <v>16</v>
      </c>
      <c r="J5" s="115" t="s">
        <v>17</v>
      </c>
      <c r="K5" s="115" t="s">
        <v>23</v>
      </c>
      <c r="L5" s="28"/>
      <c r="M5" s="28"/>
      <c r="N5" s="28"/>
      <c r="O5" s="28"/>
      <c r="P5" s="28"/>
      <c r="R5" s="28"/>
      <c r="S5" s="28"/>
      <c r="T5" s="149">
        <f t="shared" si="0"/>
        <v>2.7175945333194611</v>
      </c>
      <c r="U5" s="149">
        <f t="shared" si="0"/>
        <v>1.7411416008338432</v>
      </c>
    </row>
    <row r="6" spans="1:56">
      <c r="A6" s="28"/>
      <c r="B6" s="28"/>
      <c r="C6" s="23">
        <f>Mü/TAN($C3)</f>
        <v>6.7803632591293521</v>
      </c>
      <c r="D6" s="42">
        <f>SQRT($J3*$J3+$K3*$K3)</f>
        <v>2.2737521852655798</v>
      </c>
      <c r="E6" s="20">
        <f>ATAN($J3/$K3)</f>
        <v>1.3859076624425977</v>
      </c>
      <c r="F6" s="23">
        <f>($E6-A19-0.0001)/5</f>
        <v>1.5321018448097853E-2</v>
      </c>
      <c r="G6" s="23">
        <f>COS($E6)</f>
        <v>0.18383709654408828</v>
      </c>
      <c r="H6" s="23">
        <f>SIN($E6)</f>
        <v>0.98295672434458659</v>
      </c>
      <c r="I6" s="23">
        <f>$C6+$G6</f>
        <v>6.96420035567344</v>
      </c>
      <c r="J6" s="23">
        <f>POWER(TAN($E6/2),$C6)</f>
        <v>0.28342261226772447</v>
      </c>
      <c r="K6" s="23">
        <f>-$D6*$D6*SIN($E6)*SIN($E6)/(2*9.81*SIN($C3)*POWER(TAN($E6/2),2*$C6))</f>
        <v>-307.01890877024579</v>
      </c>
      <c r="L6" s="28"/>
      <c r="M6" s="28"/>
      <c r="N6" s="28"/>
      <c r="O6" s="28"/>
      <c r="P6" s="28"/>
      <c r="R6" s="28"/>
      <c r="S6" s="28"/>
      <c r="T6" s="149">
        <f t="shared" si="0"/>
        <v>2.2492549252272553</v>
      </c>
      <c r="U6" s="149">
        <f t="shared" si="0"/>
        <v>1.6349686386357574</v>
      </c>
    </row>
    <row r="7" spans="1:56">
      <c r="A7" s="88" t="s">
        <v>70</v>
      </c>
      <c r="B7" s="88"/>
      <c r="C7" s="28"/>
      <c r="D7" s="28"/>
      <c r="E7" s="28"/>
      <c r="F7" s="28"/>
      <c r="G7" s="28"/>
      <c r="H7" s="28"/>
      <c r="I7" s="28"/>
      <c r="J7" s="28"/>
      <c r="K7" s="28"/>
      <c r="L7" s="28"/>
      <c r="M7" s="45"/>
      <c r="N7" s="28"/>
      <c r="O7" s="28"/>
      <c r="P7" s="28"/>
      <c r="R7" s="28"/>
      <c r="S7" s="28"/>
      <c r="T7" s="149">
        <f t="shared" si="0"/>
        <v>1.8681898075743164</v>
      </c>
      <c r="U7" s="149">
        <f t="shared" si="0"/>
        <v>1.5424206523916202</v>
      </c>
    </row>
    <row r="8" spans="1:56">
      <c r="A8" s="115" t="s">
        <v>11</v>
      </c>
      <c r="B8" s="115" t="s">
        <v>13</v>
      </c>
      <c r="C8" s="26" t="s">
        <v>22</v>
      </c>
      <c r="D8" s="26" t="s">
        <v>18</v>
      </c>
      <c r="E8" s="115" t="s">
        <v>19</v>
      </c>
      <c r="F8" s="26" t="s">
        <v>20</v>
      </c>
      <c r="G8" s="26" t="s">
        <v>2</v>
      </c>
      <c r="H8" s="26" t="s">
        <v>65</v>
      </c>
      <c r="I8" s="26" t="s">
        <v>66</v>
      </c>
      <c r="J8" s="76" t="s">
        <v>3</v>
      </c>
      <c r="K8" s="76" t="s">
        <v>4</v>
      </c>
      <c r="L8" s="116" t="s">
        <v>7</v>
      </c>
      <c r="M8" s="26" t="s">
        <v>64</v>
      </c>
      <c r="N8" s="26" t="s">
        <v>61</v>
      </c>
      <c r="O8" s="26" t="s">
        <v>62</v>
      </c>
      <c r="P8" s="115" t="s">
        <v>63</v>
      </c>
      <c r="R8" s="28"/>
      <c r="S8" s="28"/>
      <c r="T8" s="149">
        <f t="shared" si="0"/>
        <v>1.5582282163853396</v>
      </c>
      <c r="U8" s="149">
        <f t="shared" si="0"/>
        <v>1.4620931510961137</v>
      </c>
    </row>
    <row r="9" spans="1:56">
      <c r="A9" s="20">
        <f>$E6</f>
        <v>1.3859076624425977</v>
      </c>
      <c r="B9" s="23">
        <f>COS(A9)</f>
        <v>0.18383709654408828</v>
      </c>
      <c r="C9" s="23">
        <f>($C$6+B9)</f>
        <v>6.96420035567344</v>
      </c>
      <c r="D9" s="23">
        <f>POWER(TAN(A9/2),$C$6)</f>
        <v>0.28342261226772447</v>
      </c>
      <c r="E9" s="23">
        <f>SIN(A9)</f>
        <v>0.98295672434458659</v>
      </c>
      <c r="F9" s="71">
        <f>(C9*$H$6*D9/E9/$I$6/$J$6)</f>
        <v>1</v>
      </c>
      <c r="G9" s="71">
        <f t="shared" ref="G9:G19" si="1">$D$6*($C$6+$G$6)/9.81/SIN($C$3)/(1-$C$6*$C$6)*(F9-1)</f>
        <v>0</v>
      </c>
      <c r="H9" s="75">
        <f t="shared" ref="H9:H19" si="2">-(-$H$3+$K$6*((POWER(TAN(A9/2),2*$C$6-1)/(2*$C$6-1))+(POWER(TAN(A9/2),2*$C$6+1)/(2*$C$6+1))-(POWER(TAN($E$6/2),2*$C$6-1)/(2*$C$6-1))-(POWER(TAN($E$6/2),2*$C$6+1)/(2*$C$6+1))))</f>
        <v>4</v>
      </c>
      <c r="I9" s="75">
        <f t="shared" ref="I9:I19" si="3">-(-$I$3+0.5*$K$6*((POWER(TAN(A9/2),2*$C$6-2)/(2*$C$6-2))-(POWER(TAN(A9/2),2*$C$6+2)/(2*$C$6+2))-(POWER(TAN($E$6/2),2*$C$6-2)/(2*$C$6-2))+(POWER(TAN($E$6/2),2*$C$6+2)/(2*$C$6+2))))</f>
        <v>2</v>
      </c>
      <c r="J9" s="71">
        <f t="shared" ref="J9:J19" si="4">-$D$6*SIN(A9)*($C$6+$G$6)/($C$6+B9)*F9</f>
        <v>-2.2349999999999999</v>
      </c>
      <c r="K9" s="71">
        <f t="shared" ref="K9:K19" si="5">-$D$6*COS(A9)*($C$6+$G$6)/($C$6+B9)*F9</f>
        <v>-0.41800000000000009</v>
      </c>
      <c r="L9" s="42">
        <f>SQRT(J9*J9+K9*K9)</f>
        <v>2.2737521852655798</v>
      </c>
      <c r="M9" s="23">
        <v>1E-3</v>
      </c>
      <c r="N9" s="75">
        <f t="shared" ref="N9:N19" si="6">-(-$I$3+0.5*$K$6*((POWER(TAN(A9/2),2*$C$6-2)/(2*$C$6-2))-(POWER(TAN(A9/2),2*$C$6+2)/(2*$C$6+2))-(POWER(TAN($E$6/2),2*$C$6-2)/(2*$C$6-2))+(POWER(TAN($E$6/2),2*$C$6+2)/(2*$C$6+2))))-$D$3</f>
        <v>0.53839400315905284</v>
      </c>
      <c r="O9" s="75">
        <f>-(-$I$3+0.5*$K$6*((POWER(TAN((A9+$M$9)/2),2*$C$6-2)/(2*$C$6-2))-(POWER(TAN((A9+$M$9)/2),2*$C$6+2)/(2*$C$6+2))-(POWER(TAN($E$6/2),2*$C$6-2)/(2*$C$6-2))+(POWER(TAN($E$6/2),2*$C$6+2)/(2*$C$6+2))))-$D$3</f>
        <v>0.547979307722128</v>
      </c>
      <c r="P9" s="75">
        <f>A9-N9/(O9-N9)*$M$9</f>
        <v>1.3297389721713389</v>
      </c>
      <c r="Q9" s="165"/>
      <c r="R9" s="92"/>
      <c r="S9" s="28"/>
      <c r="T9" s="164">
        <f>H49</f>
        <v>1.5564082710618012</v>
      </c>
      <c r="U9" s="164">
        <f>I49</f>
        <v>1.4616059968409481</v>
      </c>
    </row>
    <row r="10" spans="1:56">
      <c r="A10" s="20">
        <f t="shared" ref="A10:A15" si="7">P9</f>
        <v>1.3297389721713389</v>
      </c>
      <c r="B10" s="23">
        <f t="shared" ref="B10:B19" si="8">COS(A10)</f>
        <v>0.23872954205889527</v>
      </c>
      <c r="C10" s="23">
        <f t="shared" ref="C10:C19" si="9">($C$6+B10)</f>
        <v>7.019092801188247</v>
      </c>
      <c r="D10" s="23">
        <f t="shared" ref="D10:D19" si="10">POWER(TAN(A10/2),$C$6)</f>
        <v>0.19195012960609273</v>
      </c>
      <c r="E10" s="23">
        <f t="shared" ref="E10:E19" si="11">SIN(A10)</f>
        <v>0.97108609595048279</v>
      </c>
      <c r="F10" s="71">
        <f t="shared" ref="F10:F19" si="12">(C10*$H$6*D10/E10/$I$6/$J$6)</f>
        <v>0.69093994739230991</v>
      </c>
      <c r="G10" s="71">
        <f t="shared" si="1"/>
        <v>1.0745121038810768</v>
      </c>
      <c r="H10" s="75">
        <f t="shared" si="2"/>
        <v>1.9867810569910516</v>
      </c>
      <c r="I10" s="75">
        <f t="shared" si="3"/>
        <v>1.5718930714249326</v>
      </c>
      <c r="J10" s="71">
        <f t="shared" si="4"/>
        <v>-1.513670826180836</v>
      </c>
      <c r="K10" s="71">
        <f t="shared" si="5"/>
        <v>-0.37211730727991682</v>
      </c>
      <c r="L10" s="42">
        <f t="shared" ref="L10:L19" si="13">SQRT(J10*J10+K10*K10)</f>
        <v>1.5587400875092137</v>
      </c>
      <c r="M10" s="28"/>
      <c r="N10" s="75">
        <f t="shared" si="6"/>
        <v>0.11028707458398546</v>
      </c>
      <c r="O10" s="75">
        <f t="shared" ref="O10:O19" si="14">-(-$I$3+0.5*$K$6*((POWER(TAN((A10+$M$9)/2),2*$C$6-2)/(2*$C$6-2))-(POWER(TAN((A10+$M$9)/2),2*$C$6+2)/(2*$C$6+2))-(POWER(TAN($E$6/2),2*$C$6-2)/(2*$C$6-2))+(POWER(TAN($E$6/2),2*$C$6+2)/(2*$C$6+2))))-$D$3</f>
        <v>0.1162121519823498</v>
      </c>
      <c r="P10" s="75">
        <f t="shared" ref="P10:P19" si="15">A10-N10/(O10-N10)*$M$9</f>
        <v>1.3111253630707336</v>
      </c>
      <c r="Q10" s="165"/>
      <c r="R10" s="92"/>
      <c r="S10" s="28"/>
      <c r="T10" s="164">
        <f t="shared" ref="T10:U14" si="16">H50</f>
        <v>1.1283961571685248</v>
      </c>
      <c r="U10" s="164">
        <f t="shared" si="16"/>
        <v>1.3292885714977807</v>
      </c>
    </row>
    <row r="11" spans="1:56">
      <c r="A11" s="20">
        <f t="shared" si="7"/>
        <v>1.3111253630707336</v>
      </c>
      <c r="B11" s="23">
        <f t="shared" si="8"/>
        <v>0.25676256062208497</v>
      </c>
      <c r="C11" s="23">
        <f t="shared" si="9"/>
        <v>7.037125819751437</v>
      </c>
      <c r="D11" s="23">
        <f t="shared" si="10"/>
        <v>0.16850492224452956</v>
      </c>
      <c r="E11" s="23">
        <f t="shared" si="11"/>
        <v>0.96647451464732903</v>
      </c>
      <c r="F11" s="71">
        <f t="shared" si="12"/>
        <v>0.61100694368730779</v>
      </c>
      <c r="G11" s="71">
        <f t="shared" si="1"/>
        <v>1.3524159586688718</v>
      </c>
      <c r="H11" s="75">
        <f t="shared" si="2"/>
        <v>1.5918363175591543</v>
      </c>
      <c r="I11" s="75">
        <f t="shared" si="3"/>
        <v>1.4710544584069711</v>
      </c>
      <c r="J11" s="71">
        <f t="shared" si="4"/>
        <v>-1.3287877710363298</v>
      </c>
      <c r="K11" s="71">
        <f t="shared" si="5"/>
        <v>-0.35301805215122517</v>
      </c>
      <c r="L11" s="42">
        <f t="shared" si="13"/>
        <v>1.3748813350978124</v>
      </c>
      <c r="M11" s="28"/>
      <c r="N11" s="75">
        <f t="shared" si="6"/>
        <v>9.448461566023969E-3</v>
      </c>
      <c r="O11" s="75">
        <f t="shared" si="14"/>
        <v>1.4430850861738787E-2</v>
      </c>
      <c r="P11" s="75">
        <f t="shared" si="15"/>
        <v>1.3092289914696325</v>
      </c>
      <c r="Q11" s="165"/>
      <c r="R11" s="92"/>
      <c r="S11" s="28"/>
      <c r="T11" s="164">
        <f t="shared" si="16"/>
        <v>0.82475607117333682</v>
      </c>
      <c r="U11" s="164">
        <f t="shared" si="16"/>
        <v>1.2077797302286495</v>
      </c>
    </row>
    <row r="12" spans="1:56">
      <c r="A12" s="20">
        <f t="shared" si="7"/>
        <v>1.3092289914696325</v>
      </c>
      <c r="B12" s="23">
        <f t="shared" si="8"/>
        <v>0.25859489265846303</v>
      </c>
      <c r="C12" s="26">
        <f t="shared" si="9"/>
        <v>7.0389581517878153</v>
      </c>
      <c r="D12" s="26">
        <f t="shared" si="10"/>
        <v>0.16627740129699253</v>
      </c>
      <c r="E12" s="26">
        <f t="shared" si="11"/>
        <v>0.96598585988147778</v>
      </c>
      <c r="F12" s="77">
        <f t="shared" si="12"/>
        <v>0.60339191526371627</v>
      </c>
      <c r="G12" s="77">
        <f t="shared" si="1"/>
        <v>1.3788912023747737</v>
      </c>
      <c r="H12" s="75">
        <f t="shared" si="2"/>
        <v>1.556888884841825</v>
      </c>
      <c r="I12" s="75">
        <f t="shared" si="3"/>
        <v>1.4617346641915145</v>
      </c>
      <c r="J12" s="77">
        <f t="shared" si="4"/>
        <v>-1.3112220966608412</v>
      </c>
      <c r="K12" s="77">
        <f t="shared" si="5"/>
        <v>-0.35101480406661245</v>
      </c>
      <c r="L12" s="91">
        <f t="shared" si="13"/>
        <v>1.3573926401176539</v>
      </c>
      <c r="M12" s="92"/>
      <c r="N12" s="75">
        <f t="shared" si="6"/>
        <v>1.2866735056737966E-4</v>
      </c>
      <c r="O12" s="75">
        <f t="shared" si="14"/>
        <v>5.0223131445132907E-3</v>
      </c>
      <c r="P12" s="75">
        <f t="shared" si="15"/>
        <v>1.3092026987308474</v>
      </c>
      <c r="Q12" s="165"/>
      <c r="R12" s="92"/>
      <c r="S12" s="28"/>
      <c r="T12" s="164">
        <f t="shared" si="16"/>
        <v>0.60892132009620492</v>
      </c>
      <c r="U12" s="164">
        <f t="shared" si="16"/>
        <v>1.1004480699241646</v>
      </c>
    </row>
    <row r="13" spans="1:56">
      <c r="A13" s="20">
        <f t="shared" si="7"/>
        <v>1.3092026987308474</v>
      </c>
      <c r="B13" s="23">
        <f t="shared" si="8"/>
        <v>0.25862029098295969</v>
      </c>
      <c r="C13" s="23">
        <f t="shared" si="9"/>
        <v>7.0389835501123121</v>
      </c>
      <c r="D13" s="23">
        <f t="shared" si="10"/>
        <v>0.1662467172455705</v>
      </c>
      <c r="E13" s="23">
        <f t="shared" si="11"/>
        <v>0.96597906037961778</v>
      </c>
      <c r="F13" s="71">
        <f t="shared" si="12"/>
        <v>0.60328699143015041</v>
      </c>
      <c r="G13" s="71">
        <f t="shared" si="1"/>
        <v>1.3792559920918559</v>
      </c>
      <c r="H13" s="75">
        <f t="shared" si="2"/>
        <v>1.5564106086377008</v>
      </c>
      <c r="I13" s="75">
        <f t="shared" si="3"/>
        <v>1.4616066226772002</v>
      </c>
      <c r="J13" s="71">
        <f t="shared" si="4"/>
        <v>-1.3109801298876902</v>
      </c>
      <c r="K13" s="71">
        <f t="shared" si="5"/>
        <v>-0.35098696914940564</v>
      </c>
      <c r="L13" s="42">
        <f t="shared" si="13"/>
        <v>1.3571517061379066</v>
      </c>
      <c r="M13" s="28"/>
      <c r="N13" s="75">
        <f t="shared" si="6"/>
        <v>6.2583625304313273E-7</v>
      </c>
      <c r="O13" s="75">
        <f t="shared" si="14"/>
        <v>4.893050467922766E-3</v>
      </c>
      <c r="P13" s="75">
        <f t="shared" si="15"/>
        <v>1.3092025708114003</v>
      </c>
      <c r="Q13" s="165"/>
      <c r="R13" s="92"/>
      <c r="S13" s="28"/>
      <c r="T13" s="164">
        <f t="shared" si="16"/>
        <v>0.45560623594930783</v>
      </c>
      <c r="U13" s="164">
        <f t="shared" si="16"/>
        <v>1.0080711191014355</v>
      </c>
    </row>
    <row r="14" spans="1:56">
      <c r="A14" s="20">
        <f>P13</f>
        <v>1.3092025708114003</v>
      </c>
      <c r="B14" s="23">
        <f t="shared" si="8"/>
        <v>0.25862041455046481</v>
      </c>
      <c r="C14" s="23">
        <f t="shared" si="9"/>
        <v>7.0389836736798168</v>
      </c>
      <c r="D14" s="23">
        <f t="shared" si="10"/>
        <v>0.1662465679748209</v>
      </c>
      <c r="E14" s="23">
        <f t="shared" si="11"/>
        <v>0.96597902729704532</v>
      </c>
      <c r="F14" s="71">
        <f t="shared" si="12"/>
        <v>0.60328648099838034</v>
      </c>
      <c r="G14" s="71">
        <f t="shared" si="1"/>
        <v>1.3792577667149768</v>
      </c>
      <c r="H14" s="75">
        <f t="shared" si="2"/>
        <v>1.5564082821430953</v>
      </c>
      <c r="I14" s="75">
        <f t="shared" si="3"/>
        <v>1.4616059998077298</v>
      </c>
      <c r="J14" s="71">
        <f t="shared" si="4"/>
        <v>-1.3109789527758056</v>
      </c>
      <c r="K14" s="71">
        <f t="shared" si="5"/>
        <v>-0.35098683372299971</v>
      </c>
      <c r="L14" s="42">
        <f t="shared" si="13"/>
        <v>1.3571505340484689</v>
      </c>
      <c r="M14" s="28"/>
      <c r="N14" s="75">
        <f t="shared" si="6"/>
        <v>2.9667825973689332E-9</v>
      </c>
      <c r="O14" s="75">
        <f t="shared" si="14"/>
        <v>4.8924216578689617E-3</v>
      </c>
      <c r="P14" s="75">
        <f t="shared" si="15"/>
        <v>1.3092025702049963</v>
      </c>
      <c r="Q14" s="165"/>
      <c r="R14" s="92"/>
      <c r="S14" s="28"/>
      <c r="T14" s="164">
        <f t="shared" si="16"/>
        <v>0.34710406308132802</v>
      </c>
      <c r="U14" s="164">
        <f t="shared" si="16"/>
        <v>0.93010723309304444</v>
      </c>
    </row>
    <row r="15" spans="1:56">
      <c r="A15" s="20">
        <f t="shared" si="7"/>
        <v>1.3092025702049963</v>
      </c>
      <c r="B15" s="23">
        <f t="shared" si="8"/>
        <v>0.2586204151362384</v>
      </c>
      <c r="C15" s="23">
        <f t="shared" si="9"/>
        <v>7.0389836742655909</v>
      </c>
      <c r="D15" s="23">
        <f t="shared" si="10"/>
        <v>0.16624656726720108</v>
      </c>
      <c r="E15" s="23">
        <f t="shared" si="11"/>
        <v>0.96597902714021677</v>
      </c>
      <c r="F15" s="71">
        <f t="shared" si="12"/>
        <v>0.60328647857867235</v>
      </c>
      <c r="G15" s="71">
        <f t="shared" si="1"/>
        <v>1.3792577751275992</v>
      </c>
      <c r="H15" s="75">
        <f t="shared" si="2"/>
        <v>1.5564082711143241</v>
      </c>
      <c r="I15" s="75">
        <f t="shared" si="3"/>
        <v>1.4616059968550097</v>
      </c>
      <c r="J15" s="71">
        <f t="shared" si="4"/>
        <v>-1.3109789471956923</v>
      </c>
      <c r="K15" s="71">
        <f t="shared" si="5"/>
        <v>-0.35098683308100903</v>
      </c>
      <c r="L15" s="42">
        <f t="shared" si="13"/>
        <v>1.3571505284921648</v>
      </c>
      <c r="M15" s="28"/>
      <c r="N15" s="75">
        <f t="shared" si="6"/>
        <v>1.4062528919112083E-11</v>
      </c>
      <c r="O15" s="75">
        <f t="shared" si="14"/>
        <v>4.892418676987198E-3</v>
      </c>
      <c r="P15" s="75">
        <f t="shared" si="15"/>
        <v>1.3092025702021219</v>
      </c>
      <c r="Q15" s="165"/>
      <c r="R15" s="92"/>
      <c r="S15" s="28"/>
      <c r="T15" s="166">
        <f>H76</f>
        <v>0.34699188404782344</v>
      </c>
      <c r="U15" s="166">
        <f>I76</f>
        <v>0.93001918678854079</v>
      </c>
    </row>
    <row r="16" spans="1:56">
      <c r="A16" s="20">
        <f>P15</f>
        <v>1.3092025702021219</v>
      </c>
      <c r="B16" s="23">
        <f>COS(A16)</f>
        <v>0.25862041513901496</v>
      </c>
      <c r="C16" s="23">
        <f>($C$6+B16)</f>
        <v>7.0389836742683674</v>
      </c>
      <c r="D16" s="23">
        <f>POWER(TAN(A16/2),$C$6)</f>
        <v>0.16624656726384682</v>
      </c>
      <c r="E16" s="23">
        <f>SIN(A16)</f>
        <v>0.96597902713947348</v>
      </c>
      <c r="F16" s="71">
        <f>(C16*$H$6*D16/E16/$I$6/$J$6)</f>
        <v>0.60328647856720241</v>
      </c>
      <c r="G16" s="71">
        <f>$D$6*($C$6+$G$6)/9.81/SIN($C$3)/(1-$C$6*$C$6)*(F16-1)</f>
        <v>1.3792577751674768</v>
      </c>
      <c r="H16" s="75">
        <f>-(-$H$3+$K$6*((POWER(TAN(A16/2),2*$C$6-1)/(2*$C$6-1))+(POWER(TAN(A16/2),2*$C$6+1)/(2*$C$6+1))-(POWER(TAN($E$6/2),2*$C$6-1)/(2*$C$6-1))-(POWER(TAN($E$6/2),2*$C$6+1)/(2*$C$6+1))))</f>
        <v>1.5564082710620446</v>
      </c>
      <c r="I16" s="75">
        <f>-(-$I$3+0.5*$K$6*((POWER(TAN(A16/2),2*$C$6-2)/(2*$C$6-2))-(POWER(TAN(A16/2),2*$C$6+2)/(2*$C$6+2))-(POWER(TAN($E$6/2),2*$C$6-2)/(2*$C$6-2))+(POWER(TAN($E$6/2),2*$C$6+2)/(2*$C$6+2))))</f>
        <v>1.4616059968410131</v>
      </c>
      <c r="J16" s="71">
        <f>-$D$6*SIN(A16)*($C$6+$G$6)/($C$6+B16)*F16</f>
        <v>-1.3109789471692417</v>
      </c>
      <c r="K16" s="71">
        <f>-$D$6*COS(A16)*($C$6+$G$6)/($C$6+B16)*F16</f>
        <v>-0.35098683307796563</v>
      </c>
      <c r="L16" s="42">
        <f>SQRT(J16*J16+K16*K16)</f>
        <v>1.3571505284658267</v>
      </c>
      <c r="M16" s="28"/>
      <c r="N16" s="75">
        <f>-(-$I$3+0.5*$K$6*((POWER(TAN(A16/2),2*$C$6-2)/(2*$C$6-2))-(POWER(TAN(A16/2),2*$C$6+2)/(2*$C$6+2))-(POWER(TAN($E$6/2),2*$C$6-2)/(2*$C$6-2))+(POWER(TAN($E$6/2),2*$C$6+2)/(2*$C$6+2))))-$D$3</f>
        <v>6.5947247662734299E-14</v>
      </c>
      <c r="O16" s="75">
        <f t="shared" si="14"/>
        <v>4.8924186628576116E-3</v>
      </c>
      <c r="P16" s="75">
        <f t="shared" si="15"/>
        <v>1.3092025702021084</v>
      </c>
      <c r="Q16" s="165"/>
      <c r="R16" s="92"/>
      <c r="S16" s="28"/>
      <c r="T16" s="166">
        <f t="shared" ref="T16:U20" si="17">H77</f>
        <v>0.29420701444789832</v>
      </c>
      <c r="U16" s="166">
        <f t="shared" si="17"/>
        <v>0.88418433822909559</v>
      </c>
    </row>
    <row r="17" spans="1:21">
      <c r="A17" s="20">
        <f>P16</f>
        <v>1.3092025702021084</v>
      </c>
      <c r="B17" s="23">
        <f>COS(A17)</f>
        <v>0.25862041513902806</v>
      </c>
      <c r="C17" s="23">
        <f>($C$6+B17)</f>
        <v>7.0389836742683798</v>
      </c>
      <c r="D17" s="23">
        <f>POWER(TAN(A17/2),$C$6)</f>
        <v>0.16624656726383116</v>
      </c>
      <c r="E17" s="23">
        <f>SIN(A17)</f>
        <v>0.96597902713946993</v>
      </c>
      <c r="F17" s="71">
        <f>(C17*$H$6*D17/E17/$I$6/$J$6)</f>
        <v>0.60328647856714901</v>
      </c>
      <c r="G17" s="71">
        <f>$D$6*($C$6+$G$6)/9.81/SIN($C$3)/(1-$C$6*$C$6)*(F17-1)</f>
        <v>1.3792577751676627</v>
      </c>
      <c r="H17" s="75">
        <f>-(-$H$3+$K$6*((POWER(TAN(A17/2),2*$C$6-1)/(2*$C$6-1))+(POWER(TAN(A17/2),2*$C$6+1)/(2*$C$6+1))-(POWER(TAN($E$6/2),2*$C$6-1)/(2*$C$6-1))-(POWER(TAN($E$6/2),2*$C$6+1)/(2*$C$6+1))))</f>
        <v>1.5564082710618012</v>
      </c>
      <c r="I17" s="75">
        <f>-(-$I$3+0.5*$K$6*((POWER(TAN(A17/2),2*$C$6-2)/(2*$C$6-2))-(POWER(TAN(A17/2),2*$C$6+2)/(2*$C$6+2))-(POWER(TAN($E$6/2),2*$C$6-2)/(2*$C$6-2))+(POWER(TAN($E$6/2),2*$C$6+2)/(2*$C$6+2))))</f>
        <v>1.4616059968409481</v>
      </c>
      <c r="J17" s="71">
        <f>-$D$6*SIN(A17)*($C$6+$G$6)/($C$6+B17)*F17</f>
        <v>-1.3109789471691184</v>
      </c>
      <c r="K17" s="71">
        <f>-$D$6*COS(A17)*($C$6+$G$6)/($C$6+B17)*F17</f>
        <v>-0.35098683307795175</v>
      </c>
      <c r="L17" s="42">
        <f>SQRT(J17*J17+K17*K17)</f>
        <v>1.3571505284657042</v>
      </c>
      <c r="M17" s="28"/>
      <c r="N17" s="75">
        <f>-(-$I$3+0.5*$K$6*((POWER(TAN(A17/2),2*$C$6-2)/(2*$C$6-2))-(POWER(TAN(A17/2),2*$C$6+2)/(2*$C$6+2))-(POWER(TAN($E$6/2),2*$C$6-2)/(2*$C$6-2))+(POWER(TAN($E$6/2),2*$C$6+2)/(2*$C$6+2))))-$D$3</f>
        <v>0</v>
      </c>
      <c r="O17" s="75">
        <f t="shared" si="14"/>
        <v>4.8924186627909982E-3</v>
      </c>
      <c r="P17" s="75">
        <f t="shared" si="15"/>
        <v>1.3092025702021084</v>
      </c>
      <c r="Q17" s="165"/>
      <c r="R17" s="92"/>
      <c r="S17" s="28"/>
      <c r="T17" s="166">
        <f t="shared" si="17"/>
        <v>0.24806331417752608</v>
      </c>
      <c r="U17" s="166">
        <f t="shared" si="17"/>
        <v>0.83520508114734771</v>
      </c>
    </row>
    <row r="18" spans="1:21">
      <c r="A18" s="20">
        <f>P17</f>
        <v>1.3092025702021084</v>
      </c>
      <c r="B18" s="23">
        <f t="shared" si="8"/>
        <v>0.25862041513902806</v>
      </c>
      <c r="C18" s="23">
        <f t="shared" si="9"/>
        <v>7.0389836742683798</v>
      </c>
      <c r="D18" s="23">
        <f t="shared" si="10"/>
        <v>0.16624656726383116</v>
      </c>
      <c r="E18" s="23">
        <f t="shared" si="11"/>
        <v>0.96597902713946993</v>
      </c>
      <c r="F18" s="71">
        <f t="shared" si="12"/>
        <v>0.60328647856714901</v>
      </c>
      <c r="G18" s="71">
        <f t="shared" si="1"/>
        <v>1.3792577751676627</v>
      </c>
      <c r="H18" s="75">
        <f t="shared" si="2"/>
        <v>1.5564082710618012</v>
      </c>
      <c r="I18" s="75">
        <f t="shared" si="3"/>
        <v>1.4616059968409481</v>
      </c>
      <c r="J18" s="71">
        <f t="shared" si="4"/>
        <v>-1.3109789471691184</v>
      </c>
      <c r="K18" s="71">
        <f t="shared" si="5"/>
        <v>-0.35098683307795175</v>
      </c>
      <c r="L18" s="42">
        <f t="shared" si="13"/>
        <v>1.3571505284657042</v>
      </c>
      <c r="M18" s="28"/>
      <c r="N18" s="75">
        <f t="shared" si="6"/>
        <v>0</v>
      </c>
      <c r="O18" s="75">
        <f t="shared" si="14"/>
        <v>4.8924186627909982E-3</v>
      </c>
      <c r="P18" s="75">
        <f t="shared" si="15"/>
        <v>1.3092025702021084</v>
      </c>
      <c r="Q18" s="165"/>
      <c r="R18" s="32"/>
      <c r="S18" s="31"/>
      <c r="T18" s="166">
        <f t="shared" si="17"/>
        <v>0.207481010014613</v>
      </c>
      <c r="U18" s="166">
        <f t="shared" si="17"/>
        <v>0.78241798923557515</v>
      </c>
    </row>
    <row r="19" spans="1:21">
      <c r="A19" s="20">
        <f>P18</f>
        <v>1.3092025702021084</v>
      </c>
      <c r="B19" s="23">
        <f t="shared" si="8"/>
        <v>0.25862041513902806</v>
      </c>
      <c r="C19" s="23">
        <f t="shared" si="9"/>
        <v>7.0389836742683798</v>
      </c>
      <c r="D19" s="23">
        <f t="shared" si="10"/>
        <v>0.16624656726383116</v>
      </c>
      <c r="E19" s="23">
        <f t="shared" si="11"/>
        <v>0.96597902713946993</v>
      </c>
      <c r="F19" s="71">
        <f t="shared" si="12"/>
        <v>0.60328647856714901</v>
      </c>
      <c r="G19" s="71">
        <f t="shared" si="1"/>
        <v>1.3792577751676627</v>
      </c>
      <c r="H19" s="81">
        <f t="shared" si="2"/>
        <v>1.5564082710618012</v>
      </c>
      <c r="I19" s="81">
        <f t="shared" si="3"/>
        <v>1.4616059968409481</v>
      </c>
      <c r="J19" s="80">
        <f t="shared" si="4"/>
        <v>-1.3109789471691184</v>
      </c>
      <c r="K19" s="80">
        <f t="shared" si="5"/>
        <v>-0.35098683307795175</v>
      </c>
      <c r="L19" s="42">
        <f t="shared" si="13"/>
        <v>1.3571505284657042</v>
      </c>
      <c r="M19" s="28"/>
      <c r="N19" s="75">
        <f t="shared" si="6"/>
        <v>0</v>
      </c>
      <c r="O19" s="75">
        <f t="shared" si="14"/>
        <v>4.8924186627909982E-3</v>
      </c>
      <c r="P19" s="75">
        <f t="shared" si="15"/>
        <v>1.3092025702021084</v>
      </c>
      <c r="Q19" s="165"/>
      <c r="R19" s="32"/>
      <c r="S19" s="31"/>
      <c r="T19" s="166">
        <f t="shared" si="17"/>
        <v>0.1716650808193588</v>
      </c>
      <c r="U19" s="166">
        <f t="shared" si="17"/>
        <v>0.72467764104559884</v>
      </c>
    </row>
    <row r="20" spans="1:21">
      <c r="A20" s="88" t="s">
        <v>60</v>
      </c>
      <c r="B20" s="8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R20" s="31"/>
      <c r="S20" s="31"/>
      <c r="T20" s="166">
        <f t="shared" si="17"/>
        <v>0.14006322271544297</v>
      </c>
      <c r="U20" s="166">
        <f t="shared" si="17"/>
        <v>0.66007237131873908</v>
      </c>
    </row>
    <row r="21" spans="1:21">
      <c r="A21" s="26" t="s">
        <v>11</v>
      </c>
      <c r="B21" s="26" t="s">
        <v>13</v>
      </c>
      <c r="C21" s="26" t="s">
        <v>22</v>
      </c>
      <c r="D21" s="26" t="s">
        <v>18</v>
      </c>
      <c r="E21" s="26" t="s">
        <v>19</v>
      </c>
      <c r="F21" s="26" t="s">
        <v>20</v>
      </c>
      <c r="G21" s="26" t="s">
        <v>2</v>
      </c>
      <c r="H21" s="26" t="s">
        <v>1</v>
      </c>
      <c r="I21" s="26" t="s">
        <v>0</v>
      </c>
      <c r="J21" s="76" t="s">
        <v>3</v>
      </c>
      <c r="K21" s="76" t="s">
        <v>4</v>
      </c>
      <c r="L21" s="44" t="s">
        <v>7</v>
      </c>
      <c r="M21" s="44" t="s">
        <v>24</v>
      </c>
      <c r="N21" s="28"/>
      <c r="O21" s="28"/>
      <c r="P21" s="31"/>
      <c r="Q21" s="157"/>
      <c r="R21" s="31"/>
      <c r="S21" s="31"/>
      <c r="T21" s="167">
        <f>H103</f>
        <v>0.14003358492961179</v>
      </c>
      <c r="U21" s="167">
        <f>I103</f>
        <v>0.66000334397619942</v>
      </c>
    </row>
    <row r="22" spans="1:21">
      <c r="A22" s="20">
        <f>$E$6</f>
        <v>1.3859076624425977</v>
      </c>
      <c r="B22" s="23">
        <f t="shared" ref="B22:B27" si="18">COS(A22)</f>
        <v>0.18383709654408828</v>
      </c>
      <c r="C22" s="23">
        <f t="shared" ref="C22:C27" si="19">($C$6+B22)</f>
        <v>6.96420035567344</v>
      </c>
      <c r="D22" s="23">
        <f t="shared" ref="D22:D27" si="20">POWER(TAN(A22/2),$C$6)</f>
        <v>0.28342261226772447</v>
      </c>
      <c r="E22" s="23">
        <f t="shared" ref="E22:E27" si="21">SIN(A22)</f>
        <v>0.98295672434458659</v>
      </c>
      <c r="F22" s="71">
        <f t="shared" ref="F22:F27" si="22">(C22*$H$6*D22/E22/$I$6/$J$6)</f>
        <v>1</v>
      </c>
      <c r="G22" s="71">
        <f t="shared" ref="G22:G27" si="23">$D$6*($C$6+$G$6)/9.81/SIN($C$3)/(1-$C$6*$C$6)*(F22-1)</f>
        <v>0</v>
      </c>
      <c r="H22" s="80">
        <f t="shared" ref="H22:H27" si="24">-(-$H$3+$K$6*((POWER(TAN(A22/2),2*$C$6-1)/(2*$C$6-1))+(POWER(TAN(A22/2),2*$C$6+1)/(2*$C$6+1))-(POWER(TAN($E$6/2),2*$C$6-1)/(2*$C$6-1))-(POWER(TAN($E$6/2),2*$C$6+1)/(2*$C$6+1))))</f>
        <v>4</v>
      </c>
      <c r="I22" s="80">
        <f t="shared" ref="I22:I27" si="25">-(-$I$3+0.5*$K$6*((POWER(TAN(A22/2),2*$C$6-2)/(2*$C$6-2))-(POWER(TAN(A22/2),2*$C$6+2)/(2*$C$6+2))-(POWER(TAN($E$6/2),2*$C$6-2)/(2*$C$6-2))+(POWER(TAN($E$6/2),2*$C$6+2)/(2*$C$6+2))))</f>
        <v>2</v>
      </c>
      <c r="J22" s="71">
        <f t="shared" ref="J22:J27" si="26">-$D$6*SIN(A22)*($C$6+$G$6)/($C$6+B22)*F22</f>
        <v>-2.2349999999999999</v>
      </c>
      <c r="K22" s="71">
        <f t="shared" ref="K22:K27" si="27">-$D$6*COS(A22)*($C$6+$G$6)/($C$6+B22)*F22</f>
        <v>-0.41800000000000009</v>
      </c>
      <c r="L22" s="72">
        <f t="shared" ref="L22:L27" si="28">SQRT(J22*J22+K22*K22)</f>
        <v>2.2737521852655798</v>
      </c>
      <c r="M22" s="73">
        <f>-K22/J22*H22+I22</f>
        <v>1.2519015659955255</v>
      </c>
      <c r="N22" s="28"/>
      <c r="O22" s="28"/>
      <c r="P22" s="31"/>
      <c r="Q22" s="157"/>
      <c r="R22" s="31"/>
      <c r="S22" s="31"/>
      <c r="T22" s="167">
        <f t="shared" ref="T22:U26" si="29">H104</f>
        <v>0.13185373146705415</v>
      </c>
      <c r="U22" s="167">
        <f t="shared" si="29"/>
        <v>0.6396838298476043</v>
      </c>
    </row>
    <row r="23" spans="1:21">
      <c r="A23" s="20">
        <f>A22-$F$6</f>
        <v>1.3705866439944998</v>
      </c>
      <c r="B23" s="23">
        <f t="shared" si="18"/>
        <v>0.19887482953073743</v>
      </c>
      <c r="C23" s="23">
        <f t="shared" si="19"/>
        <v>6.9792380886600895</v>
      </c>
      <c r="D23" s="23">
        <f t="shared" si="20"/>
        <v>0.25495829976906043</v>
      </c>
      <c r="E23" s="23">
        <f t="shared" si="21"/>
        <v>0.98002489875467969</v>
      </c>
      <c r="F23" s="71">
        <f t="shared" si="22"/>
        <v>0.90420874540825502</v>
      </c>
      <c r="G23" s="71">
        <f t="shared" si="23"/>
        <v>0.33303839055330137</v>
      </c>
      <c r="H23" s="81">
        <f t="shared" si="24"/>
        <v>3.2930551005024702</v>
      </c>
      <c r="I23" s="81">
        <f t="shared" si="25"/>
        <v>1.8623605576124316</v>
      </c>
      <c r="J23" s="71">
        <f t="shared" si="26"/>
        <v>-2.0105375341244121</v>
      </c>
      <c r="K23" s="71">
        <f t="shared" si="27"/>
        <v>-0.40799505183207707</v>
      </c>
      <c r="L23" s="42">
        <f t="shared" si="28"/>
        <v>2.0515167897052491</v>
      </c>
      <c r="M23" s="45"/>
      <c r="N23" s="28"/>
      <c r="O23" s="28"/>
      <c r="P23" s="31"/>
      <c r="Q23" s="157"/>
      <c r="R23" s="31"/>
      <c r="S23" s="31"/>
      <c r="T23" s="167">
        <f t="shared" si="29"/>
        <v>0.12319818695663096</v>
      </c>
      <c r="U23" s="167">
        <f t="shared" si="29"/>
        <v>0.61507528582162674</v>
      </c>
    </row>
    <row r="24" spans="1:21">
      <c r="A24" s="20">
        <f>A23-$F$6</f>
        <v>1.355265625546402</v>
      </c>
      <c r="B24" s="23">
        <f t="shared" si="18"/>
        <v>0.21386588082460867</v>
      </c>
      <c r="C24" s="23">
        <f t="shared" si="19"/>
        <v>6.9942291399539611</v>
      </c>
      <c r="D24" s="23">
        <f t="shared" si="20"/>
        <v>0.22927709555107675</v>
      </c>
      <c r="E24" s="23">
        <f t="shared" si="21"/>
        <v>0.97686303288593856</v>
      </c>
      <c r="F24" s="71">
        <f t="shared" si="22"/>
        <v>0.81751456176980108</v>
      </c>
      <c r="G24" s="71">
        <f t="shared" si="23"/>
        <v>0.63444890566071288</v>
      </c>
      <c r="H24" s="81">
        <f t="shared" si="24"/>
        <v>2.7175945333194611</v>
      </c>
      <c r="I24" s="81">
        <f t="shared" si="25"/>
        <v>1.7411416008338432</v>
      </c>
      <c r="J24" s="71">
        <f t="shared" si="26"/>
        <v>-1.8080219657018921</v>
      </c>
      <c r="K24" s="71">
        <f t="shared" si="27"/>
        <v>-0.39583257552773504</v>
      </c>
      <c r="L24" s="42">
        <f t="shared" si="28"/>
        <v>1.8508449033642591</v>
      </c>
      <c r="M24" s="45"/>
      <c r="N24" s="28"/>
      <c r="O24" s="28"/>
      <c r="P24" s="28"/>
      <c r="Q24" s="157"/>
      <c r="R24" s="89"/>
      <c r="S24" s="89"/>
      <c r="T24" s="167">
        <f t="shared" si="29"/>
        <v>0.11392973687565293</v>
      </c>
      <c r="U24" s="167">
        <f t="shared" si="29"/>
        <v>0.58442923933588498</v>
      </c>
    </row>
    <row r="25" spans="1:21">
      <c r="A25" s="20">
        <f>A24-$F$6</f>
        <v>1.3399446070983041</v>
      </c>
      <c r="B25" s="23">
        <f t="shared" si="18"/>
        <v>0.22880673159100295</v>
      </c>
      <c r="C25" s="23">
        <f t="shared" si="19"/>
        <v>7.0091699907203555</v>
      </c>
      <c r="D25" s="23">
        <f t="shared" si="20"/>
        <v>0.20610914422941776</v>
      </c>
      <c r="E25" s="23">
        <f t="shared" si="21"/>
        <v>0.97347186892002313</v>
      </c>
      <c r="F25" s="71">
        <f t="shared" si="22"/>
        <v>0.73904195116948501</v>
      </c>
      <c r="G25" s="71">
        <f t="shared" si="23"/>
        <v>0.90727539747594155</v>
      </c>
      <c r="H25" s="81">
        <f t="shared" si="24"/>
        <v>2.2492549252272553</v>
      </c>
      <c r="I25" s="81">
        <f t="shared" si="25"/>
        <v>1.6349686386357574</v>
      </c>
      <c r="J25" s="71">
        <f t="shared" si="26"/>
        <v>-1.6253252825064262</v>
      </c>
      <c r="K25" s="71">
        <f t="shared" si="27"/>
        <v>-0.38201963254992805</v>
      </c>
      <c r="L25" s="42">
        <f t="shared" si="28"/>
        <v>1.6696171038918401</v>
      </c>
      <c r="M25" s="45"/>
      <c r="N25" s="28"/>
      <c r="O25" s="28"/>
      <c r="P25" s="28"/>
      <c r="Q25" s="157"/>
      <c r="R25" s="28"/>
      <c r="S25" s="28"/>
      <c r="T25" s="167">
        <f t="shared" si="29"/>
        <v>0.10385289467073733</v>
      </c>
      <c r="U25" s="167">
        <f t="shared" si="29"/>
        <v>0.54482033422274301</v>
      </c>
    </row>
    <row r="26" spans="1:21">
      <c r="A26" s="20">
        <f>A25-$F$6</f>
        <v>1.3246235886502062</v>
      </c>
      <c r="B26" s="23">
        <f t="shared" si="18"/>
        <v>0.24369387477874166</v>
      </c>
      <c r="C26" s="23">
        <f t="shared" si="19"/>
        <v>7.0240571339080935</v>
      </c>
      <c r="D26" s="23">
        <f t="shared" si="20"/>
        <v>0.18521106953495453</v>
      </c>
      <c r="E26" s="23">
        <f t="shared" si="21"/>
        <v>0.96985220286150975</v>
      </c>
      <c r="F26" s="71">
        <f t="shared" si="22"/>
        <v>0.66800246184541257</v>
      </c>
      <c r="G26" s="71">
        <f t="shared" si="23"/>
        <v>1.1542590839413696</v>
      </c>
      <c r="H26" s="81">
        <f t="shared" si="24"/>
        <v>1.8681898075743164</v>
      </c>
      <c r="I26" s="81">
        <f t="shared" si="25"/>
        <v>1.5424206523916202</v>
      </c>
      <c r="J26" s="71">
        <f t="shared" si="26"/>
        <v>-1.4605282800075392</v>
      </c>
      <c r="K26" s="71">
        <f t="shared" si="27"/>
        <v>-0.36698560330000307</v>
      </c>
      <c r="L26" s="42">
        <f t="shared" si="28"/>
        <v>1.5059287133630357</v>
      </c>
      <c r="M26" s="45"/>
      <c r="N26" s="28"/>
      <c r="O26" s="28"/>
      <c r="P26" s="28"/>
      <c r="Q26" s="157"/>
      <c r="R26" s="28"/>
      <c r="S26" s="28"/>
      <c r="T26" s="167">
        <f t="shared" si="29"/>
        <v>9.2669957340827974E-2</v>
      </c>
      <c r="U26" s="167">
        <f t="shared" si="29"/>
        <v>0.49089755391476753</v>
      </c>
    </row>
    <row r="27" spans="1:21">
      <c r="A27" s="20">
        <f>A26-$F$6</f>
        <v>1.3093025702021084</v>
      </c>
      <c r="B27" s="23">
        <f t="shared" si="18"/>
        <v>0.25852381594337304</v>
      </c>
      <c r="C27" s="23">
        <f t="shared" si="19"/>
        <v>7.0388870750727248</v>
      </c>
      <c r="D27" s="23">
        <f t="shared" si="20"/>
        <v>0.16636329782256448</v>
      </c>
      <c r="E27" s="23">
        <f t="shared" si="21"/>
        <v>0.96600488435104559</v>
      </c>
      <c r="F27" s="71">
        <f t="shared" si="22"/>
        <v>0.6036856337219606</v>
      </c>
      <c r="G27" s="71">
        <f t="shared" si="23"/>
        <v>1.3778700285418766</v>
      </c>
      <c r="H27" s="81">
        <f t="shared" si="24"/>
        <v>1.5582282163853396</v>
      </c>
      <c r="I27" s="81">
        <f t="shared" si="25"/>
        <v>1.4620931510961137</v>
      </c>
      <c r="J27" s="71">
        <f t="shared" si="26"/>
        <v>-1.311899455228378</v>
      </c>
      <c r="K27" s="71">
        <f t="shared" si="27"/>
        <v>-0.3510926898961963</v>
      </c>
      <c r="L27" s="42">
        <f t="shared" si="28"/>
        <v>1.358067103469877</v>
      </c>
      <c r="M27" s="45"/>
      <c r="N27" s="28"/>
      <c r="O27" s="28"/>
      <c r="P27" s="28"/>
      <c r="Q27" s="158"/>
      <c r="R27" s="28"/>
      <c r="S27" s="28"/>
      <c r="T27" s="160">
        <f>H130</f>
        <v>9.2643203545959008E-2</v>
      </c>
      <c r="U27" s="160">
        <f>I130</f>
        <v>0.49075336506203115</v>
      </c>
    </row>
    <row r="28" spans="1:21">
      <c r="A28" s="142"/>
      <c r="B28" s="142"/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R28" s="28"/>
      <c r="S28" s="28"/>
      <c r="T28" s="160">
        <f t="shared" ref="T28:U32" si="30">H131</f>
        <v>8.9850059583148678E-2</v>
      </c>
      <c r="U28" s="160">
        <f t="shared" si="30"/>
        <v>0.4750307746458895</v>
      </c>
    </row>
    <row r="29" spans="1:21">
      <c r="A29" s="88" t="s">
        <v>73</v>
      </c>
      <c r="B29" s="88"/>
      <c r="C29" s="23" t="str">
        <f>CONCATENATE("m",Stufengrün!AH55)</f>
        <v>m7</v>
      </c>
      <c r="D29" s="23" t="s">
        <v>30</v>
      </c>
      <c r="E29" s="28"/>
      <c r="F29" s="28"/>
      <c r="G29" s="28"/>
      <c r="H29" s="36" t="s">
        <v>57</v>
      </c>
      <c r="I29" s="36" t="s">
        <v>51</v>
      </c>
      <c r="J29" s="36" t="s">
        <v>58</v>
      </c>
      <c r="K29" s="36" t="s">
        <v>59</v>
      </c>
      <c r="L29" s="28"/>
      <c r="M29" s="28"/>
      <c r="N29" s="28"/>
      <c r="O29" s="28"/>
      <c r="P29" s="28"/>
      <c r="R29" s="28"/>
      <c r="S29" s="28"/>
      <c r="T29" s="160">
        <f t="shared" si="30"/>
        <v>8.679584737198788E-2</v>
      </c>
      <c r="U29" s="160">
        <f t="shared" si="30"/>
        <v>0.45622777941411935</v>
      </c>
    </row>
    <row r="30" spans="1:21">
      <c r="A30" s="88" t="s">
        <v>69</v>
      </c>
      <c r="B30" s="88"/>
      <c r="C30" s="36">
        <f>Stufengrün!AI55</f>
        <v>2.9955432767914274E-2</v>
      </c>
      <c r="D30" s="26">
        <f>Stufengrün!AK54</f>
        <v>0.93001918678854067</v>
      </c>
      <c r="E30" s="28"/>
      <c r="F30" s="28"/>
      <c r="G30" s="28"/>
      <c r="H30" s="78">
        <f>H19</f>
        <v>1.5564082710618012</v>
      </c>
      <c r="I30" s="78">
        <f>I19</f>
        <v>1.4616059968409481</v>
      </c>
      <c r="J30" s="78">
        <f>J19</f>
        <v>-1.3109789471691184</v>
      </c>
      <c r="K30" s="78">
        <f>K19</f>
        <v>-0.35098683307795175</v>
      </c>
      <c r="L30" s="28"/>
      <c r="M30" s="28"/>
      <c r="N30" s="28"/>
      <c r="O30" s="28"/>
      <c r="P30" s="28"/>
      <c r="R30" s="28"/>
      <c r="S30" s="28"/>
      <c r="T30" s="160">
        <f t="shared" si="30"/>
        <v>8.3425981832102439E-2</v>
      </c>
      <c r="U30" s="160">
        <f t="shared" si="30"/>
        <v>0.43334738086688895</v>
      </c>
    </row>
    <row r="31" spans="1:21">
      <c r="A31" s="95"/>
      <c r="B31" s="95"/>
      <c r="C31" s="28"/>
      <c r="D31" s="28"/>
      <c r="E31" s="28"/>
      <c r="F31" s="28"/>
      <c r="G31" s="28"/>
      <c r="H31" s="37" t="s">
        <v>8</v>
      </c>
      <c r="I31" s="37" t="s">
        <v>8</v>
      </c>
      <c r="J31" s="37" t="s">
        <v>9</v>
      </c>
      <c r="K31" s="37" t="s">
        <v>9</v>
      </c>
      <c r="L31" s="28"/>
      <c r="M31" s="28"/>
      <c r="N31" s="28"/>
      <c r="O31" s="28"/>
      <c r="P31" s="28"/>
      <c r="R31" s="28"/>
      <c r="S31" s="28"/>
      <c r="T31" s="160">
        <f t="shared" si="30"/>
        <v>7.9667149554644129E-2</v>
      </c>
      <c r="U31" s="160">
        <f t="shared" si="30"/>
        <v>0.40491271513804772</v>
      </c>
    </row>
    <row r="32" spans="1:21">
      <c r="A32" s="88" t="s">
        <v>68</v>
      </c>
      <c r="B32" s="88"/>
      <c r="C32" s="115" t="s">
        <v>15</v>
      </c>
      <c r="D32" s="115" t="s">
        <v>55</v>
      </c>
      <c r="E32" s="115" t="s">
        <v>12</v>
      </c>
      <c r="F32" s="115" t="s">
        <v>10</v>
      </c>
      <c r="G32" s="115" t="s">
        <v>14</v>
      </c>
      <c r="H32" s="115" t="s">
        <v>21</v>
      </c>
      <c r="I32" s="115" t="s">
        <v>16</v>
      </c>
      <c r="J32" s="115" t="s">
        <v>17</v>
      </c>
      <c r="K32" s="115" t="s">
        <v>23</v>
      </c>
      <c r="L32" s="28"/>
      <c r="M32" s="28"/>
      <c r="N32" s="28"/>
      <c r="O32" s="28"/>
      <c r="P32" s="28"/>
      <c r="R32" s="28"/>
      <c r="S32" s="28"/>
      <c r="T32" s="160">
        <f t="shared" si="30"/>
        <v>7.5417670618788291E-2</v>
      </c>
      <c r="U32" s="160">
        <f t="shared" si="30"/>
        <v>0.36864001638919297</v>
      </c>
    </row>
    <row r="33" spans="1:49">
      <c r="A33" s="28"/>
      <c r="B33" s="28"/>
      <c r="C33" s="23">
        <f>Mü/TAN($C30)</f>
        <v>2.3361058288598184</v>
      </c>
      <c r="D33" s="42">
        <f>SQRT($J30*$J30+$K30*$K30)</f>
        <v>1.3571505284657042</v>
      </c>
      <c r="E33" s="20">
        <f>ATAN($J30/$K30)</f>
        <v>1.3092025702021084</v>
      </c>
      <c r="F33" s="23">
        <f>($E33-A46-0.0001)/5</f>
        <v>8.0761032387217171E-2</v>
      </c>
      <c r="G33" s="23">
        <f>COS($E33)</f>
        <v>0.25862041513902806</v>
      </c>
      <c r="H33" s="23">
        <f>SIN($E33)</f>
        <v>0.96597902713946993</v>
      </c>
      <c r="I33" s="23">
        <f>$C33+$G33</f>
        <v>2.5947262439988465</v>
      </c>
      <c r="J33" s="23">
        <f>POWER(TAN($E33/2),$C33)</f>
        <v>0.5389124184050057</v>
      </c>
      <c r="K33" s="23">
        <f>-$D33*$D33*SIN($E33)*SIN($E33)/(2*9.81*SIN($C30)*POWER(TAN($E33/2),2*$C33))</f>
        <v>-10.070369447723772</v>
      </c>
      <c r="L33" s="28"/>
      <c r="M33" s="28"/>
      <c r="N33" s="28"/>
      <c r="O33" s="28"/>
      <c r="P33" s="28"/>
      <c r="R33" s="28"/>
      <c r="S33" s="28"/>
      <c r="T33" s="168">
        <f>H157</f>
        <v>7.5386930328783117E-2</v>
      </c>
      <c r="U33" s="168">
        <f>I157</f>
        <v>0.36836040959449901</v>
      </c>
    </row>
    <row r="34" spans="1:49">
      <c r="A34" s="88" t="s">
        <v>70</v>
      </c>
      <c r="B34" s="8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45"/>
      <c r="N34" s="28"/>
      <c r="O34" s="28"/>
      <c r="P34" s="28"/>
      <c r="R34" s="28"/>
      <c r="S34" s="28"/>
      <c r="T34" s="168">
        <f t="shared" ref="T34:U38" si="31">H158</f>
        <v>7.3898283955263225E-2</v>
      </c>
      <c r="U34" s="168">
        <f t="shared" si="31"/>
        <v>0.35439185907597842</v>
      </c>
    </row>
    <row r="35" spans="1:49">
      <c r="A35" s="115" t="s">
        <v>11</v>
      </c>
      <c r="B35" s="115" t="s">
        <v>13</v>
      </c>
      <c r="C35" s="26" t="s">
        <v>22</v>
      </c>
      <c r="D35" s="26" t="s">
        <v>18</v>
      </c>
      <c r="E35" s="115" t="s">
        <v>19</v>
      </c>
      <c r="F35" s="26" t="s">
        <v>20</v>
      </c>
      <c r="G35" s="26" t="s">
        <v>2</v>
      </c>
      <c r="H35" s="26" t="s">
        <v>65</v>
      </c>
      <c r="I35" s="26" t="s">
        <v>66</v>
      </c>
      <c r="J35" s="76" t="s">
        <v>3</v>
      </c>
      <c r="K35" s="76" t="s">
        <v>4</v>
      </c>
      <c r="L35" s="116" t="s">
        <v>7</v>
      </c>
      <c r="M35" s="93"/>
      <c r="N35" s="26" t="s">
        <v>61</v>
      </c>
      <c r="O35" s="26" t="s">
        <v>62</v>
      </c>
      <c r="P35" s="115" t="s">
        <v>63</v>
      </c>
      <c r="R35" s="28"/>
      <c r="S35" s="28"/>
      <c r="T35" s="168">
        <f t="shared" si="31"/>
        <v>7.2283748502738707E-2</v>
      </c>
      <c r="U35" s="168">
        <f t="shared" si="31"/>
        <v>0.33826014956179989</v>
      </c>
      <c r="W35" s="54" t="s">
        <v>87</v>
      </c>
      <c r="X35" s="28"/>
      <c r="Y35" s="28"/>
      <c r="Z35" s="28"/>
      <c r="AA35" s="183" t="s">
        <v>73</v>
      </c>
      <c r="AB35" s="26" t="str">
        <f>C2</f>
        <v>m8</v>
      </c>
      <c r="AC35" s="26" t="str">
        <f>C29</f>
        <v>m7</v>
      </c>
      <c r="AD35" s="26" t="str">
        <f>C56</f>
        <v>m6</v>
      </c>
      <c r="AE35" s="23" t="str">
        <f>C83</f>
        <v>m5</v>
      </c>
      <c r="AF35" s="23" t="str">
        <f>C110</f>
        <v>m4</v>
      </c>
      <c r="AG35" s="26" t="str">
        <f>C137</f>
        <v>m3</v>
      </c>
      <c r="AH35" s="26" t="str">
        <f>C164</f>
        <v>m2</v>
      </c>
      <c r="AI35" s="26" t="str">
        <f>C191</f>
        <v>m1</v>
      </c>
      <c r="AJ35" s="26" t="str">
        <f>C218</f>
        <v>m0</v>
      </c>
      <c r="AK35" s="26" t="str">
        <f>C245</f>
        <v>m-1</v>
      </c>
      <c r="AL35" s="26" t="str">
        <f>C272</f>
        <v>m-2</v>
      </c>
      <c r="AM35" s="26" t="str">
        <f>C299</f>
        <v>m-3</v>
      </c>
      <c r="AN35" s="26" t="str">
        <f>C326</f>
        <v>m-4</v>
      </c>
      <c r="AO35" s="26" t="str">
        <f>C353</f>
        <v>m-5</v>
      </c>
      <c r="AP35" s="26" t="str">
        <f>C380</f>
        <v>m-6</v>
      </c>
      <c r="AQ35" s="26" t="str">
        <f>C407</f>
        <v>m-7</v>
      </c>
      <c r="AR35" s="23" t="str">
        <f>C434</f>
        <v>m-8</v>
      </c>
      <c r="AU35" s="79" t="s">
        <v>65</v>
      </c>
      <c r="AV35" s="79" t="s">
        <v>66</v>
      </c>
      <c r="AW35" s="79" t="s">
        <v>67</v>
      </c>
    </row>
    <row r="36" spans="1:49">
      <c r="A36" s="19">
        <f>$E33</f>
        <v>1.3092025702021084</v>
      </c>
      <c r="B36" s="26">
        <f>COS(A36)</f>
        <v>0.25862041513902806</v>
      </c>
      <c r="C36" s="26">
        <f t="shared" ref="C36:C46" si="32">($C$33+B36)</f>
        <v>2.5947262439988465</v>
      </c>
      <c r="D36" s="26">
        <f t="shared" ref="D36:D46" si="33">POWER(TAN(A36/2),$C$33)</f>
        <v>0.5389124184050057</v>
      </c>
      <c r="E36" s="26">
        <f>SIN(A36)</f>
        <v>0.96597902713946993</v>
      </c>
      <c r="F36" s="77">
        <f t="shared" ref="F36:F46" si="34">(C36*$H$33*D36/E36/$I$33/$J$33)</f>
        <v>1.0000000000000002</v>
      </c>
      <c r="G36" s="77">
        <f t="shared" ref="G36:G46" si="35">$D$33*($C$33+$G$33)/9.81/SIN($C$30)/(1-$C$33*$C$33)*(F36-1)</f>
        <v>-5.9703454356987212E-16</v>
      </c>
      <c r="H36" s="75">
        <f t="shared" ref="H36:H46" si="36">-(-$H$30+$K$33*((POWER(TAN(A36/2),2*$C$33-1)/(2*$C$33-1))+(POWER(TAN(A36/2),2*$C$33+1)/(2*$C$33+1))-(POWER(TAN($E$33/2),2*$C$33-1)/(2*$C$33-1))-(POWER(TAN($E$33/2),2*$C$33+1)/(2*$C$33+1))))</f>
        <v>1.5564082710618012</v>
      </c>
      <c r="I36" s="75">
        <f t="shared" ref="I36:I46" si="37">-(-$I$30+0.5*$K$33*((POWER(TAN(A36/2),2*$C$33-2)/(2*$C$33-2))-(POWER(TAN(A36/2),2*$C$33+2)/(2*$C$33+2))-(POWER(TAN($E$33/2),2*$C$33-2)/(2*$C$33-2))+(POWER(TAN($E$33/2),2*$C$33+2)/(2*$C$33+2))))</f>
        <v>1.4616059968409481</v>
      </c>
      <c r="J36" s="77">
        <f t="shared" ref="J36:J46" si="38">-$D$33*SIN(A36)*($C$33+$G$33)/($C$33+B36)*F36</f>
        <v>-1.3109789471691187</v>
      </c>
      <c r="K36" s="77">
        <f t="shared" ref="K36:K46" si="39">-$D$33*COS(A36)*($C$33+$G$33)/($C$33+B36)*F36</f>
        <v>-0.35098683307795181</v>
      </c>
      <c r="L36" s="91">
        <f>SQRT(J36*J36+K36*K36)</f>
        <v>1.3571505284657044</v>
      </c>
      <c r="M36" s="93"/>
      <c r="N36" s="75">
        <f t="shared" ref="N36:N46" si="40">-(-$I$30+0.5*$K$33*((POWER(TAN(A36/2),2*$C$33-2)/(2*$C$33-2))-(POWER(TAN(A36/2),2*$C$33+2)/(2*$C$33+2))-(POWER(TAN($E$33/2),2*$C$33-2)/(2*$C$33-2))+(POWER(TAN($E$33/2),2*$C$33+2)/(2*$C$33+2))))-$D$30</f>
        <v>0.53158681005240738</v>
      </c>
      <c r="O36" s="75">
        <f>-(-$I$30+0.5*$K$33*((POWER(TAN((A36+$M$9)/2),2*$C$33-2)/(2*$C$33-2))-(POWER(TAN((A36+$M$9)/2),2*$C$33+2)/(2*$C$33+2))-(POWER(TAN($E$33/2),2*$C$33-2)/(2*$C$33-2))+(POWER(TAN($E$33/2),2*$C$33+2)/(2*$C$33+2))))-$D$30</f>
        <v>0.53326536421476101</v>
      </c>
      <c r="P36" s="75">
        <f>A36-N36/(O36-N36)*$M$9</f>
        <v>0.99250929811428446</v>
      </c>
      <c r="R36" s="28"/>
      <c r="S36" s="28"/>
      <c r="T36" s="168">
        <f t="shared" si="31"/>
        <v>7.0523077726312194E-2</v>
      </c>
      <c r="U36" s="168">
        <f t="shared" si="31"/>
        <v>0.31945067958374895</v>
      </c>
      <c r="W36" s="28"/>
      <c r="X36" s="28"/>
      <c r="Y36" s="28"/>
      <c r="Z36" s="28"/>
      <c r="AA36" s="28"/>
      <c r="AB36" s="20">
        <f>N19</f>
        <v>0</v>
      </c>
      <c r="AC36" s="20">
        <f>N46</f>
        <v>0</v>
      </c>
      <c r="AD36" s="20">
        <f>N73</f>
        <v>0</v>
      </c>
      <c r="AE36" s="20">
        <f>N100</f>
        <v>1.2585586586233433E-6</v>
      </c>
      <c r="AF36" s="20">
        <f>N127</f>
        <v>0</v>
      </c>
      <c r="AG36" s="20">
        <f>N154</f>
        <v>0</v>
      </c>
      <c r="AH36" s="20">
        <f>N181</f>
        <v>0</v>
      </c>
      <c r="AI36" s="20">
        <f>N208</f>
        <v>-6.2450045135165055E-16</v>
      </c>
      <c r="AJ36" s="20">
        <f>N235</f>
        <v>2.9805324874843109E-13</v>
      </c>
      <c r="AK36" s="20">
        <f>N262</f>
        <v>2.9698465908722937E-15</v>
      </c>
      <c r="AL36" s="20">
        <f>N289</f>
        <v>6.3282712403633923E-15</v>
      </c>
      <c r="AM36" s="20">
        <f>N316</f>
        <v>4.9960036108132044E-15</v>
      </c>
      <c r="AN36" s="20">
        <f>N343</f>
        <v>1.9428902930940239E-15</v>
      </c>
      <c r="AO36" s="20">
        <f>N370</f>
        <v>0</v>
      </c>
      <c r="AP36" s="20">
        <f>N397</f>
        <v>-9.9920072216264089E-16</v>
      </c>
      <c r="AQ36" s="20">
        <f>N424</f>
        <v>0</v>
      </c>
      <c r="AR36" s="23"/>
      <c r="AU36" s="78">
        <f>H493</f>
        <v>-4.548575471868848E-2</v>
      </c>
      <c r="AV36" s="78">
        <f>I493</f>
        <v>-4.3672526364269046</v>
      </c>
      <c r="AW36" s="79">
        <f>SQRT(POWER(AU36,2)+(POWER(AV36-$M$3,2)))</f>
        <v>2.3676895908358553</v>
      </c>
    </row>
    <row r="37" spans="1:49">
      <c r="A37" s="19">
        <f>P36</f>
        <v>0.99250929811428446</v>
      </c>
      <c r="B37" s="26">
        <f>COS(A37)</f>
        <v>0.5465902969384463</v>
      </c>
      <c r="C37" s="26">
        <f t="shared" si="32"/>
        <v>2.8826961257982648</v>
      </c>
      <c r="D37" s="26">
        <f t="shared" si="33"/>
        <v>0.23854083781637267</v>
      </c>
      <c r="E37" s="26">
        <f>SIN(A37)</f>
        <v>0.83740017153851898</v>
      </c>
      <c r="F37" s="77">
        <f t="shared" si="34"/>
        <v>0.56726569499820889</v>
      </c>
      <c r="G37" s="77">
        <f t="shared" si="35"/>
        <v>1.1635379673421884</v>
      </c>
      <c r="H37" s="75">
        <f t="shared" si="36"/>
        <v>0.46584586076822898</v>
      </c>
      <c r="I37" s="75">
        <f t="shared" si="37"/>
        <v>1.0148010433583732</v>
      </c>
      <c r="J37" s="77">
        <f t="shared" si="38"/>
        <v>-0.58028355951213118</v>
      </c>
      <c r="K37" s="77">
        <f t="shared" si="39"/>
        <v>-0.37876438754424685</v>
      </c>
      <c r="L37" s="91">
        <f>SQRT(J37*J37+K37*K37)</f>
        <v>0.6929584913339597</v>
      </c>
      <c r="M37" s="93"/>
      <c r="N37" s="75">
        <f t="shared" si="40"/>
        <v>8.4781856569832503E-2</v>
      </c>
      <c r="O37" s="75">
        <f t="shared" ref="O37:O46" si="41">-(-$I$30+0.5*$K$33*((POWER(TAN((A37+$M$9)/2),2*$C$33-2)/(2*$C$33-2))-(POWER(TAN((A37+$M$9)/2),2*$C$33+2)/(2*$C$33+2))-(POWER(TAN($E$33/2),2*$C$33-2)/(2*$C$33-2))+(POWER(TAN($E$33/2),2*$C$33+2)/(2*$C$33+2))))-$D$30</f>
        <v>8.584972367964816E-2</v>
      </c>
      <c r="P37" s="75">
        <f t="shared" ref="P37:P46" si="42">A37-N37/(O37-N37)*$M$9</f>
        <v>0.91311565840899545</v>
      </c>
      <c r="R37" s="28"/>
      <c r="S37" s="28"/>
      <c r="T37" s="168">
        <f t="shared" si="31"/>
        <v>6.8591019531614617E-2</v>
      </c>
      <c r="U37" s="168">
        <f t="shared" si="31"/>
        <v>0.2972771353170463</v>
      </c>
      <c r="AU37" s="219" t="s">
        <v>107</v>
      </c>
      <c r="AV37" s="218"/>
      <c r="AW37" s="42"/>
    </row>
    <row r="38" spans="1:49">
      <c r="A38" s="19">
        <f t="shared" ref="A38:A46" si="43">P37</f>
        <v>0.91311565840899545</v>
      </c>
      <c r="B38" s="26">
        <f t="shared" ref="B38:B46" si="44">COS(A38)</f>
        <v>0.61128295058999915</v>
      </c>
      <c r="C38" s="26">
        <f t="shared" si="32"/>
        <v>2.9473887794498177</v>
      </c>
      <c r="D38" s="26">
        <f t="shared" si="33"/>
        <v>0.18996897514116992</v>
      </c>
      <c r="E38" s="26">
        <f t="shared" ref="E38:E46" si="45">SIN(A38)</f>
        <v>0.79141212671905947</v>
      </c>
      <c r="F38" s="77">
        <f t="shared" si="34"/>
        <v>0.48873716635086878</v>
      </c>
      <c r="G38" s="77">
        <f t="shared" si="35"/>
        <v>1.3746858323128675</v>
      </c>
      <c r="H38" s="75">
        <f t="shared" si="36"/>
        <v>0.35591178028364578</v>
      </c>
      <c r="I38" s="75">
        <f t="shared" si="37"/>
        <v>0.93696445092006242</v>
      </c>
      <c r="J38" s="77">
        <f t="shared" si="38"/>
        <v>-0.46212578986851954</v>
      </c>
      <c r="K38" s="77">
        <f t="shared" si="39"/>
        <v>-0.35694375514016174</v>
      </c>
      <c r="L38" s="91">
        <f t="shared" ref="L38:L46" si="46">SQRT(J38*J38+K38*K38)</f>
        <v>0.58392558600832245</v>
      </c>
      <c r="M38" s="93"/>
      <c r="N38" s="75">
        <f t="shared" si="40"/>
        <v>6.9452641315217445E-3</v>
      </c>
      <c r="O38" s="75">
        <f t="shared" si="41"/>
        <v>7.8426361251562327E-3</v>
      </c>
      <c r="P38" s="75">
        <f t="shared" si="42"/>
        <v>0.90537609869375135</v>
      </c>
      <c r="R38" s="28"/>
      <c r="S38" s="28"/>
      <c r="T38" s="168">
        <f t="shared" si="31"/>
        <v>6.6455574007535115E-2</v>
      </c>
      <c r="U38" s="168">
        <f t="shared" si="31"/>
        <v>0.27080499448103035</v>
      </c>
      <c r="AU38" s="219" t="s">
        <v>108</v>
      </c>
      <c r="AV38" s="218"/>
      <c r="AW38" s="42"/>
    </row>
    <row r="39" spans="1:49">
      <c r="A39" s="19">
        <f t="shared" si="43"/>
        <v>0.90537609869375135</v>
      </c>
      <c r="B39" s="26">
        <f t="shared" si="44"/>
        <v>0.61738976278098123</v>
      </c>
      <c r="C39" s="26">
        <f t="shared" si="32"/>
        <v>2.9534955916407997</v>
      </c>
      <c r="D39" s="26">
        <f t="shared" si="33"/>
        <v>0.18566541259555552</v>
      </c>
      <c r="E39" s="26">
        <f t="shared" si="45"/>
        <v>0.78665741006695145</v>
      </c>
      <c r="F39" s="77">
        <f t="shared" si="34"/>
        <v>0.48154808219008194</v>
      </c>
      <c r="G39" s="77">
        <f t="shared" si="35"/>
        <v>1.3940158744999764</v>
      </c>
      <c r="H39" s="75">
        <f t="shared" si="36"/>
        <v>0.34708015409905491</v>
      </c>
      <c r="I39" s="75">
        <f t="shared" si="37"/>
        <v>0.93008846909632714</v>
      </c>
      <c r="J39" s="77">
        <f t="shared" si="38"/>
        <v>-0.45165677913051505</v>
      </c>
      <c r="K39" s="77">
        <f t="shared" si="39"/>
        <v>-0.35447231305185101</v>
      </c>
      <c r="L39" s="91">
        <f t="shared" si="46"/>
        <v>0.57414672937750011</v>
      </c>
      <c r="M39" s="93"/>
      <c r="N39" s="75">
        <f t="shared" si="40"/>
        <v>6.9282307786466824E-5</v>
      </c>
      <c r="O39" s="75">
        <f t="shared" si="41"/>
        <v>9.5082144943825497E-4</v>
      </c>
      <c r="P39" s="75">
        <f t="shared" si="42"/>
        <v>0.90529750625864214</v>
      </c>
      <c r="R39" s="28"/>
      <c r="S39" s="28"/>
      <c r="T39" s="169">
        <f>H184</f>
        <v>6.6420461743740486E-2</v>
      </c>
      <c r="U39" s="169">
        <f>I184</f>
        <v>0.27035186996590782</v>
      </c>
    </row>
    <row r="40" spans="1:49">
      <c r="A40" s="19">
        <f t="shared" si="43"/>
        <v>0.90529750625864214</v>
      </c>
      <c r="B40" s="26">
        <f t="shared" si="44"/>
        <v>0.61745158619563389</v>
      </c>
      <c r="C40" s="26">
        <f t="shared" si="32"/>
        <v>2.9535574150554522</v>
      </c>
      <c r="D40" s="26">
        <f t="shared" si="33"/>
        <v>0.18562208332868518</v>
      </c>
      <c r="E40" s="26">
        <f t="shared" si="45"/>
        <v>0.78660888547263164</v>
      </c>
      <c r="F40" s="77">
        <f t="shared" si="34"/>
        <v>0.48147547908024713</v>
      </c>
      <c r="G40" s="77">
        <f t="shared" si="35"/>
        <v>1.3942110900718954</v>
      </c>
      <c r="H40" s="75">
        <f t="shared" si="36"/>
        <v>0.34699199395100488</v>
      </c>
      <c r="I40" s="75">
        <f t="shared" si="37"/>
        <v>0.93001927305746257</v>
      </c>
      <c r="J40" s="77">
        <f t="shared" si="38"/>
        <v>-0.45155137469980744</v>
      </c>
      <c r="K40" s="77">
        <f t="shared" si="39"/>
        <v>-0.35444694015843997</v>
      </c>
      <c r="L40" s="91">
        <f t="shared" si="46"/>
        <v>0.57404814900926782</v>
      </c>
      <c r="M40" s="93"/>
      <c r="N40" s="75">
        <f t="shared" si="40"/>
        <v>8.6268921895005235E-8</v>
      </c>
      <c r="O40" s="75">
        <f t="shared" si="41"/>
        <v>8.8146541401190603E-4</v>
      </c>
      <c r="P40" s="75">
        <f t="shared" si="42"/>
        <v>0.90529740837917405</v>
      </c>
      <c r="R40" s="28"/>
      <c r="S40" s="28"/>
      <c r="T40" s="169">
        <f t="shared" ref="T40:U44" si="47">H185</f>
        <v>6.5421422429914208E-2</v>
      </c>
      <c r="U40" s="169">
        <f t="shared" si="47"/>
        <v>0.25713930775141591</v>
      </c>
    </row>
    <row r="41" spans="1:49">
      <c r="A41" s="19">
        <f t="shared" si="43"/>
        <v>0.90529740837917405</v>
      </c>
      <c r="B41" s="26">
        <f t="shared" si="44"/>
        <v>0.61745166318849021</v>
      </c>
      <c r="C41" s="26">
        <f t="shared" si="32"/>
        <v>2.9535574920483088</v>
      </c>
      <c r="D41" s="26">
        <f t="shared" si="33"/>
        <v>0.18562202937080721</v>
      </c>
      <c r="E41" s="26">
        <f t="shared" si="45"/>
        <v>0.78660882503679508</v>
      </c>
      <c r="F41" s="77">
        <f t="shared" si="34"/>
        <v>0.48147538866489953</v>
      </c>
      <c r="G41" s="77">
        <f t="shared" si="35"/>
        <v>1.3942113331810935</v>
      </c>
      <c r="H41" s="75">
        <f t="shared" si="36"/>
        <v>0.34699188417472837</v>
      </c>
      <c r="I41" s="75">
        <f t="shared" si="37"/>
        <v>0.93001918688815499</v>
      </c>
      <c r="J41" s="77">
        <f t="shared" si="38"/>
        <v>-0.45155124343981096</v>
      </c>
      <c r="K41" s="77">
        <f t="shared" si="39"/>
        <v>-0.35444690855546945</v>
      </c>
      <c r="L41" s="91">
        <f t="shared" si="46"/>
        <v>0.57404802624568685</v>
      </c>
      <c r="M41" s="93"/>
      <c r="N41" s="75">
        <f t="shared" si="40"/>
        <v>9.9614316795282321E-11</v>
      </c>
      <c r="O41" s="75">
        <f t="shared" si="41"/>
        <v>8.8137904545348977E-4</v>
      </c>
      <c r="P41" s="75">
        <f t="shared" si="42"/>
        <v>0.90529740826615301</v>
      </c>
      <c r="R41" s="28"/>
      <c r="S41" s="28"/>
      <c r="T41" s="169">
        <f t="shared" si="47"/>
        <v>6.434867737953695E-2</v>
      </c>
      <c r="U41" s="169">
        <f t="shared" si="47"/>
        <v>0.2422462614867264</v>
      </c>
    </row>
    <row r="42" spans="1:49">
      <c r="A42" s="19">
        <f t="shared" si="43"/>
        <v>0.90529740826615301</v>
      </c>
      <c r="B42" s="26">
        <f t="shared" si="44"/>
        <v>0.61745166327739354</v>
      </c>
      <c r="C42" s="26">
        <f t="shared" si="32"/>
        <v>2.9535574921372119</v>
      </c>
      <c r="D42" s="26">
        <f t="shared" si="33"/>
        <v>0.18562202930850225</v>
      </c>
      <c r="E42" s="26">
        <f t="shared" si="45"/>
        <v>0.78660882496701001</v>
      </c>
      <c r="F42" s="77">
        <f t="shared" si="34"/>
        <v>0.48147538856049715</v>
      </c>
      <c r="G42" s="77">
        <f t="shared" si="35"/>
        <v>1.3942113334618107</v>
      </c>
      <c r="H42" s="75">
        <f t="shared" si="36"/>
        <v>0.34699188404796999</v>
      </c>
      <c r="I42" s="75">
        <f t="shared" si="37"/>
        <v>0.93001918678865569</v>
      </c>
      <c r="J42" s="77">
        <f t="shared" si="38"/>
        <v>-0.45155124328824553</v>
      </c>
      <c r="K42" s="77">
        <f t="shared" si="39"/>
        <v>-0.35444690851897748</v>
      </c>
      <c r="L42" s="91">
        <f t="shared" si="46"/>
        <v>0.57404802610393213</v>
      </c>
      <c r="M42" s="93"/>
      <c r="N42" s="75">
        <f t="shared" si="40"/>
        <v>1.1501910535116622E-13</v>
      </c>
      <c r="O42" s="75">
        <f t="shared" si="41"/>
        <v>8.8137894572415387E-4</v>
      </c>
      <c r="P42" s="75">
        <f t="shared" si="42"/>
        <v>0.90529740826602256</v>
      </c>
      <c r="R42" s="28"/>
      <c r="S42" s="28"/>
      <c r="T42" s="169">
        <f t="shared" si="47"/>
        <v>6.3192590044721858E-2</v>
      </c>
      <c r="U42" s="169">
        <f t="shared" si="47"/>
        <v>0.22535641981875337</v>
      </c>
      <c r="AF42" s="152" t="s">
        <v>48</v>
      </c>
    </row>
    <row r="43" spans="1:49">
      <c r="A43" s="19">
        <f t="shared" si="43"/>
        <v>0.90529740826602256</v>
      </c>
      <c r="B43" s="26">
        <f t="shared" si="44"/>
        <v>0.61745166327749623</v>
      </c>
      <c r="C43" s="26">
        <f t="shared" si="32"/>
        <v>2.9535574921373149</v>
      </c>
      <c r="D43" s="26">
        <f t="shared" si="33"/>
        <v>0.18562202930843033</v>
      </c>
      <c r="E43" s="26">
        <f t="shared" si="45"/>
        <v>0.78660882496692941</v>
      </c>
      <c r="F43" s="77">
        <f t="shared" si="34"/>
        <v>0.48147538856037675</v>
      </c>
      <c r="G43" s="77">
        <f t="shared" si="35"/>
        <v>1.3942113334621347</v>
      </c>
      <c r="H43" s="75">
        <f t="shared" si="36"/>
        <v>0.34699188404782344</v>
      </c>
      <c r="I43" s="75">
        <f t="shared" si="37"/>
        <v>0.93001918678854079</v>
      </c>
      <c r="J43" s="77">
        <f t="shared" si="38"/>
        <v>-0.45155124328807056</v>
      </c>
      <c r="K43" s="77">
        <f t="shared" si="39"/>
        <v>-0.35444690851893546</v>
      </c>
      <c r="L43" s="91">
        <f t="shared" si="46"/>
        <v>0.57404802610376848</v>
      </c>
      <c r="M43" s="93"/>
      <c r="N43" s="75">
        <f t="shared" si="40"/>
        <v>0</v>
      </c>
      <c r="O43" s="75">
        <f t="shared" si="41"/>
        <v>8.8137894560902375E-4</v>
      </c>
      <c r="P43" s="75">
        <f t="shared" si="42"/>
        <v>0.90529740826602256</v>
      </c>
      <c r="R43" s="28"/>
      <c r="S43" s="28"/>
      <c r="T43" s="169">
        <f t="shared" si="47"/>
        <v>6.19416574092162E-2</v>
      </c>
      <c r="U43" s="169">
        <f t="shared" si="47"/>
        <v>0.20607242745924367</v>
      </c>
    </row>
    <row r="44" spans="1:49">
      <c r="A44" s="19">
        <f>P43</f>
        <v>0.90529740826602256</v>
      </c>
      <c r="B44" s="26">
        <f t="shared" si="44"/>
        <v>0.61745166327749623</v>
      </c>
      <c r="C44" s="26">
        <f t="shared" si="32"/>
        <v>2.9535574921373149</v>
      </c>
      <c r="D44" s="26">
        <f t="shared" si="33"/>
        <v>0.18562202930843033</v>
      </c>
      <c r="E44" s="26">
        <f t="shared" si="45"/>
        <v>0.78660882496692941</v>
      </c>
      <c r="F44" s="77">
        <f t="shared" si="34"/>
        <v>0.48147538856037675</v>
      </c>
      <c r="G44" s="77">
        <f t="shared" si="35"/>
        <v>1.3942113334621347</v>
      </c>
      <c r="H44" s="75">
        <f t="shared" si="36"/>
        <v>0.34699188404782344</v>
      </c>
      <c r="I44" s="75">
        <f t="shared" si="37"/>
        <v>0.93001918678854079</v>
      </c>
      <c r="J44" s="77">
        <f t="shared" si="38"/>
        <v>-0.45155124328807056</v>
      </c>
      <c r="K44" s="77">
        <f t="shared" si="39"/>
        <v>-0.35444690851893546</v>
      </c>
      <c r="L44" s="91">
        <f t="shared" si="46"/>
        <v>0.57404802610376848</v>
      </c>
      <c r="M44" s="93"/>
      <c r="N44" s="75">
        <f t="shared" si="40"/>
        <v>0</v>
      </c>
      <c r="O44" s="75">
        <f t="shared" si="41"/>
        <v>8.8137894560902375E-4</v>
      </c>
      <c r="P44" s="75">
        <f t="shared" si="42"/>
        <v>0.90529740826602256</v>
      </c>
      <c r="R44" s="28"/>
      <c r="S44" s="28"/>
      <c r="T44" s="169">
        <f t="shared" si="47"/>
        <v>6.0582016978741889E-2</v>
      </c>
      <c r="U44" s="169">
        <f t="shared" si="47"/>
        <v>0.18388894330313826</v>
      </c>
    </row>
    <row r="45" spans="1:49">
      <c r="A45" s="19">
        <f t="shared" si="43"/>
        <v>0.90529740826602256</v>
      </c>
      <c r="B45" s="26">
        <f t="shared" si="44"/>
        <v>0.61745166327749623</v>
      </c>
      <c r="C45" s="26">
        <f t="shared" si="32"/>
        <v>2.9535574921373149</v>
      </c>
      <c r="D45" s="26">
        <f t="shared" si="33"/>
        <v>0.18562202930843033</v>
      </c>
      <c r="E45" s="26">
        <f t="shared" si="45"/>
        <v>0.78660882496692941</v>
      </c>
      <c r="F45" s="77">
        <f t="shared" si="34"/>
        <v>0.48147538856037675</v>
      </c>
      <c r="G45" s="77">
        <f t="shared" si="35"/>
        <v>1.3942113334621347</v>
      </c>
      <c r="H45" s="75">
        <f t="shared" si="36"/>
        <v>0.34699188404782344</v>
      </c>
      <c r="I45" s="75">
        <f t="shared" si="37"/>
        <v>0.93001918678854079</v>
      </c>
      <c r="J45" s="77">
        <f t="shared" si="38"/>
        <v>-0.45155124328807056</v>
      </c>
      <c r="K45" s="77">
        <f t="shared" si="39"/>
        <v>-0.35444690851893546</v>
      </c>
      <c r="L45" s="91">
        <f t="shared" si="46"/>
        <v>0.57404802610376848</v>
      </c>
      <c r="M45" s="93"/>
      <c r="N45" s="75">
        <f t="shared" si="40"/>
        <v>0</v>
      </c>
      <c r="O45" s="75">
        <f t="shared" si="41"/>
        <v>8.8137894560902375E-4</v>
      </c>
      <c r="P45" s="75">
        <f t="shared" si="42"/>
        <v>0.90529740826602256</v>
      </c>
      <c r="R45" s="28"/>
      <c r="S45" s="28"/>
      <c r="T45" s="170">
        <f>H211</f>
        <v>6.0542118461325421E-2</v>
      </c>
      <c r="U45" s="170">
        <f>I211</f>
        <v>0.18321833372345625</v>
      </c>
    </row>
    <row r="46" spans="1:49">
      <c r="A46" s="19">
        <f t="shared" si="43"/>
        <v>0.90529740826602256</v>
      </c>
      <c r="B46" s="26">
        <f t="shared" si="44"/>
        <v>0.61745166327749623</v>
      </c>
      <c r="C46" s="26">
        <f t="shared" si="32"/>
        <v>2.9535574921373149</v>
      </c>
      <c r="D46" s="26">
        <f t="shared" si="33"/>
        <v>0.18562202930843033</v>
      </c>
      <c r="E46" s="26">
        <f t="shared" si="45"/>
        <v>0.78660882496692941</v>
      </c>
      <c r="F46" s="77">
        <f t="shared" si="34"/>
        <v>0.48147538856037675</v>
      </c>
      <c r="G46" s="77">
        <f t="shared" si="35"/>
        <v>1.3942113334621347</v>
      </c>
      <c r="H46" s="81">
        <f t="shared" si="36"/>
        <v>0.34699188404782344</v>
      </c>
      <c r="I46" s="81">
        <f t="shared" si="37"/>
        <v>0.93001918678854079</v>
      </c>
      <c r="J46" s="80">
        <f t="shared" si="38"/>
        <v>-0.45155124328807056</v>
      </c>
      <c r="K46" s="80">
        <f t="shared" si="39"/>
        <v>-0.35444690851893546</v>
      </c>
      <c r="L46" s="91">
        <f t="shared" si="46"/>
        <v>0.57404802610376848</v>
      </c>
      <c r="M46" s="93"/>
      <c r="N46" s="75">
        <f t="shared" si="40"/>
        <v>0</v>
      </c>
      <c r="O46" s="75">
        <f t="shared" si="41"/>
        <v>8.8137894560902375E-4</v>
      </c>
      <c r="P46" s="75">
        <f t="shared" si="42"/>
        <v>0.90529740826602256</v>
      </c>
      <c r="R46" s="28"/>
      <c r="S46" s="28"/>
      <c r="T46" s="170">
        <f t="shared" ref="T46:U50" si="48">H212</f>
        <v>5.9707583624933259E-2</v>
      </c>
      <c r="U46" s="170">
        <f t="shared" si="48"/>
        <v>0.16887174412397654</v>
      </c>
    </row>
    <row r="47" spans="1:49">
      <c r="A47" s="88" t="s">
        <v>60</v>
      </c>
      <c r="B47" s="8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R47" s="28"/>
      <c r="S47" s="28"/>
      <c r="T47" s="170">
        <f t="shared" si="48"/>
        <v>5.8812967843017726E-2</v>
      </c>
      <c r="U47" s="170">
        <f t="shared" si="48"/>
        <v>0.15279974479740932</v>
      </c>
    </row>
    <row r="48" spans="1:49">
      <c r="A48" s="26" t="s">
        <v>11</v>
      </c>
      <c r="B48" s="26" t="s">
        <v>13</v>
      </c>
      <c r="C48" s="26" t="s">
        <v>22</v>
      </c>
      <c r="D48" s="26" t="s">
        <v>18</v>
      </c>
      <c r="E48" s="26" t="s">
        <v>19</v>
      </c>
      <c r="F48" s="26" t="s">
        <v>20</v>
      </c>
      <c r="G48" s="26" t="s">
        <v>2</v>
      </c>
      <c r="H48" s="26" t="s">
        <v>1</v>
      </c>
      <c r="I48" s="26" t="s">
        <v>0</v>
      </c>
      <c r="J48" s="76" t="s">
        <v>3</v>
      </c>
      <c r="K48" s="76" t="s">
        <v>4</v>
      </c>
      <c r="L48" s="44" t="s">
        <v>7</v>
      </c>
      <c r="M48" s="28"/>
      <c r="N48" s="28"/>
      <c r="O48" s="28"/>
      <c r="P48" s="31"/>
      <c r="R48" s="28"/>
      <c r="S48" s="28"/>
      <c r="T48" s="170">
        <f t="shared" si="48"/>
        <v>5.7850866121805483E-2</v>
      </c>
      <c r="U48" s="170">
        <f t="shared" si="48"/>
        <v>0.13470051302386943</v>
      </c>
    </row>
    <row r="49" spans="1:52">
      <c r="A49" s="19">
        <f>$E33</f>
        <v>1.3092025702021084</v>
      </c>
      <c r="B49" s="26">
        <f t="shared" ref="B49:B54" si="49">COS(A49)</f>
        <v>0.25862041513902806</v>
      </c>
      <c r="C49" s="26">
        <f t="shared" ref="C49:C54" si="50">($C$33+B49)</f>
        <v>2.5947262439988465</v>
      </c>
      <c r="D49" s="26">
        <f t="shared" ref="D49:D54" si="51">POWER(TAN(A49/2),$C$33)</f>
        <v>0.5389124184050057</v>
      </c>
      <c r="E49" s="26">
        <f t="shared" ref="E49:E54" si="52">SIN(A49)</f>
        <v>0.96597902713946993</v>
      </c>
      <c r="F49" s="77">
        <f t="shared" ref="F49:F54" si="53">(C49*$H$33*D49/E49/$I$33/$J$33)</f>
        <v>1.0000000000000002</v>
      </c>
      <c r="G49" s="77">
        <f t="shared" ref="G49:G54" si="54">$D$33*($C$33+$G$33)/9.81/SIN($C$30)/(1-$C$33*$C$33)*(F49-1)</f>
        <v>-5.9703454356987212E-16</v>
      </c>
      <c r="H49" s="100">
        <f t="shared" ref="H49:H54" si="55">-(-$H$30+$K$33*((POWER(TAN(A49/2),2*$C$33-1)/(2*$C$33-1))+(POWER(TAN(A49/2),2*$C$33+1)/(2*$C$33+1))-(POWER(TAN($E$33/2),2*$C$33-1)/(2*$C$33-1))-(POWER(TAN($E$33/2),2*$C$33+1)/(2*$C$33+1))))</f>
        <v>1.5564082710618012</v>
      </c>
      <c r="I49" s="100">
        <f t="shared" ref="I49:I54" si="56">-(-$I$30+0.5*$K$33*((POWER(TAN(A49/2),2*$C$33-2)/(2*$C$33-2))-(POWER(TAN(A49/2),2*$C$33+2)/(2*$C$33+2))-(POWER(TAN($E$33/2),2*$C$33-2)/(2*$C$33-2))+(POWER(TAN($E$33/2),2*$C$33+2)/(2*$C$33+2))))</f>
        <v>1.4616059968409481</v>
      </c>
      <c r="J49" s="77">
        <f t="shared" ref="J49:J54" si="57">-$D$33*SIN(A49)*($C$33+$G$33)/($C$33+B49)*F49</f>
        <v>-1.3109789471691187</v>
      </c>
      <c r="K49" s="77">
        <f t="shared" ref="K49:K54" si="58">-$D$33*COS(A49)*($C$33+$G$33)/($C$33+B49)*F49</f>
        <v>-0.35098683307795181</v>
      </c>
      <c r="L49" s="91">
        <f t="shared" ref="L49:L54" si="59">SQRT(J49*J49+K49*K49)</f>
        <v>1.3571505284657044</v>
      </c>
      <c r="M49" s="28"/>
      <c r="N49" s="28"/>
      <c r="O49" s="28"/>
      <c r="P49" s="31"/>
      <c r="Q49" s="28"/>
      <c r="R49" s="28"/>
      <c r="S49" s="28"/>
      <c r="T49" s="170">
        <f t="shared" si="48"/>
        <v>5.6812544505989618E-2</v>
      </c>
      <c r="U49" s="170">
        <f t="shared" si="48"/>
        <v>0.11420124475105949</v>
      </c>
    </row>
    <row r="50" spans="1:52">
      <c r="A50" s="20">
        <f>A49-$F$33</f>
        <v>1.2284415378148912</v>
      </c>
      <c r="B50" s="26">
        <f t="shared" si="49"/>
        <v>0.33570615378867097</v>
      </c>
      <c r="C50" s="26">
        <f t="shared" si="50"/>
        <v>2.6718119826484896</v>
      </c>
      <c r="D50" s="26">
        <f t="shared" si="51"/>
        <v>0.44225253773444961</v>
      </c>
      <c r="E50" s="26">
        <f t="shared" si="52"/>
        <v>0.94196676072376206</v>
      </c>
      <c r="F50" s="77">
        <f t="shared" si="53"/>
        <v>0.8665599441854549</v>
      </c>
      <c r="G50" s="77">
        <f t="shared" si="54"/>
        <v>0.35879422895266261</v>
      </c>
      <c r="H50" s="100">
        <f t="shared" si="55"/>
        <v>1.1283961571685248</v>
      </c>
      <c r="I50" s="100">
        <f t="shared" si="56"/>
        <v>1.3292885714977807</v>
      </c>
      <c r="J50" s="77">
        <f t="shared" si="57"/>
        <v>-1.0758404269434705</v>
      </c>
      <c r="K50" s="77">
        <f t="shared" si="58"/>
        <v>-0.38341719355580167</v>
      </c>
      <c r="L50" s="91">
        <f t="shared" si="59"/>
        <v>1.1421214333686747</v>
      </c>
      <c r="M50" s="28"/>
      <c r="N50" s="28"/>
      <c r="O50" s="28"/>
      <c r="P50" s="31"/>
      <c r="R50" s="28"/>
      <c r="S50" s="28"/>
      <c r="T50" s="170">
        <f t="shared" si="48"/>
        <v>5.5687618940609522E-2</v>
      </c>
      <c r="U50" s="170">
        <f t="shared" si="48"/>
        <v>9.0836724076960987E-2</v>
      </c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</row>
    <row r="51" spans="1:52">
      <c r="A51" s="20">
        <f>A50-$F$33</f>
        <v>1.147680505427674</v>
      </c>
      <c r="B51" s="26">
        <f t="shared" si="49"/>
        <v>0.4106034911490376</v>
      </c>
      <c r="C51" s="26">
        <f t="shared" si="50"/>
        <v>2.7467093200088559</v>
      </c>
      <c r="D51" s="26">
        <f t="shared" si="51"/>
        <v>0.36083693722656168</v>
      </c>
      <c r="E51" s="26">
        <f t="shared" si="52"/>
        <v>0.91181400134908119</v>
      </c>
      <c r="F51" s="77">
        <f t="shared" si="53"/>
        <v>0.75088839753952286</v>
      </c>
      <c r="G51" s="77">
        <f t="shared" si="54"/>
        <v>0.66981240964249222</v>
      </c>
      <c r="H51" s="100">
        <f t="shared" si="55"/>
        <v>0.82475607117333682</v>
      </c>
      <c r="I51" s="100">
        <f t="shared" si="56"/>
        <v>1.2077797302286495</v>
      </c>
      <c r="J51" s="77">
        <f t="shared" si="57"/>
        <v>-0.87778572530406762</v>
      </c>
      <c r="K51" s="77">
        <f t="shared" si="58"/>
        <v>-0.3952800491738177</v>
      </c>
      <c r="L51" s="91">
        <f t="shared" si="59"/>
        <v>0.96268068268894014</v>
      </c>
      <c r="M51" s="45"/>
      <c r="N51" s="28"/>
      <c r="O51" s="28"/>
      <c r="P51" s="31"/>
      <c r="R51" s="28"/>
      <c r="S51" s="28"/>
      <c r="T51" s="171">
        <f>H238</f>
        <v>5.5640603917272442E-2</v>
      </c>
      <c r="U51" s="171">
        <f>I238</f>
        <v>8.9833694127448543E-2</v>
      </c>
      <c r="V51" s="28"/>
      <c r="AR51" s="28"/>
      <c r="AS51" s="176"/>
    </row>
    <row r="52" spans="1:52">
      <c r="A52" s="20">
        <f>A51-$F$33</f>
        <v>1.0669194730404568</v>
      </c>
      <c r="B52" s="26">
        <f t="shared" si="49"/>
        <v>0.48282418645422903</v>
      </c>
      <c r="C52" s="26">
        <f t="shared" si="50"/>
        <v>2.8189300153140473</v>
      </c>
      <c r="D52" s="26">
        <f t="shared" si="51"/>
        <v>0.29219480810255632</v>
      </c>
      <c r="E52" s="26">
        <f t="shared" si="52"/>
        <v>0.87571730882449272</v>
      </c>
      <c r="F52" s="77">
        <f t="shared" si="53"/>
        <v>0.64975677491932093</v>
      </c>
      <c r="G52" s="77">
        <f t="shared" si="54"/>
        <v>0.94173557648511164</v>
      </c>
      <c r="H52" s="100">
        <f t="shared" si="55"/>
        <v>0.60892132009620492</v>
      </c>
      <c r="I52" s="100">
        <f t="shared" si="56"/>
        <v>1.1004480699241646</v>
      </c>
      <c r="J52" s="77">
        <f t="shared" si="57"/>
        <v>-0.71080425837708594</v>
      </c>
      <c r="K52" s="77">
        <f t="shared" si="58"/>
        <v>-0.39189985663272919</v>
      </c>
      <c r="L52" s="91">
        <f t="shared" si="59"/>
        <v>0.81168232169719756</v>
      </c>
      <c r="M52" s="45"/>
      <c r="N52" s="28"/>
      <c r="O52" s="28"/>
      <c r="P52" s="31"/>
      <c r="R52" s="28"/>
      <c r="S52" s="28"/>
      <c r="T52" s="171">
        <f t="shared" ref="T52:U56" si="60">H239</f>
        <v>5.4524437829200766E-2</v>
      </c>
      <c r="U52" s="171">
        <f t="shared" si="60"/>
        <v>6.5285430371854275E-2</v>
      </c>
      <c r="AF52" s="176"/>
      <c r="AG52" s="176"/>
      <c r="AH52" s="176"/>
      <c r="AI52" s="176"/>
      <c r="AJ52" s="176"/>
      <c r="AK52" s="176"/>
      <c r="AL52" s="176"/>
      <c r="AM52" s="176"/>
      <c r="AN52" s="176"/>
      <c r="AR52" s="28"/>
      <c r="AS52" s="177"/>
      <c r="AT52" s="176"/>
      <c r="AX52" s="176"/>
      <c r="AY52" s="176"/>
      <c r="AZ52" s="176"/>
    </row>
    <row r="53" spans="1:52">
      <c r="A53" s="20">
        <f>A52-$F$33</f>
        <v>0.98615844065323954</v>
      </c>
      <c r="B53" s="26">
        <f t="shared" si="49"/>
        <v>0.55189744743268676</v>
      </c>
      <c r="C53" s="26">
        <f t="shared" si="50"/>
        <v>2.8880032762925052</v>
      </c>
      <c r="D53" s="26">
        <f t="shared" si="51"/>
        <v>0.23434315440250561</v>
      </c>
      <c r="E53" s="26">
        <f t="shared" si="52"/>
        <v>0.83391199027072682</v>
      </c>
      <c r="F53" s="77">
        <f t="shared" si="53"/>
        <v>0.56064466814881553</v>
      </c>
      <c r="G53" s="77">
        <f t="shared" si="54"/>
        <v>1.181340614446927</v>
      </c>
      <c r="H53" s="100">
        <f t="shared" si="55"/>
        <v>0.45560623594930783</v>
      </c>
      <c r="I53" s="100">
        <f t="shared" si="56"/>
        <v>1.0080711191014355</v>
      </c>
      <c r="J53" s="77">
        <f t="shared" si="57"/>
        <v>-0.5700721143968972</v>
      </c>
      <c r="K53" s="77">
        <f t="shared" si="58"/>
        <v>-0.37728363239634122</v>
      </c>
      <c r="L53" s="91">
        <f t="shared" si="59"/>
        <v>0.68361184519223084</v>
      </c>
      <c r="M53" s="45"/>
      <c r="N53" s="28"/>
      <c r="O53" s="28"/>
      <c r="P53" s="89"/>
      <c r="R53" s="28"/>
      <c r="S53" s="28"/>
      <c r="T53" s="171">
        <f t="shared" si="60"/>
        <v>5.3292577275529898E-2</v>
      </c>
      <c r="U53" s="171">
        <f t="shared" si="60"/>
        <v>3.6520333849046016E-2</v>
      </c>
      <c r="AF53" s="176"/>
      <c r="AG53" s="176"/>
      <c r="AH53" s="176"/>
      <c r="AI53" s="176"/>
      <c r="AJ53" s="176"/>
      <c r="AK53" s="176"/>
      <c r="AL53" s="176"/>
      <c r="AM53" s="176"/>
      <c r="AN53" s="176"/>
      <c r="AR53" s="28"/>
      <c r="AS53" s="176"/>
      <c r="AT53" s="178"/>
      <c r="AU53" s="176"/>
      <c r="AV53" s="176"/>
      <c r="AW53" s="176"/>
      <c r="AX53" s="178"/>
      <c r="AY53" s="178"/>
      <c r="AZ53" s="176"/>
    </row>
    <row r="54" spans="1:52">
      <c r="A54" s="20">
        <f>A53-$F$33</f>
        <v>0.90539740826602233</v>
      </c>
      <c r="B54" s="26">
        <f t="shared" si="49"/>
        <v>0.61737299930787248</v>
      </c>
      <c r="C54" s="26">
        <f t="shared" si="50"/>
        <v>2.9534788281676909</v>
      </c>
      <c r="D54" s="26">
        <f t="shared" si="51"/>
        <v>0.18567716218589103</v>
      </c>
      <c r="E54" s="26">
        <f t="shared" si="52"/>
        <v>0.78667056620011</v>
      </c>
      <c r="F54" s="77">
        <f t="shared" si="53"/>
        <v>0.48156776919189109</v>
      </c>
      <c r="G54" s="77">
        <f t="shared" si="54"/>
        <v>1.3939629399999762</v>
      </c>
      <c r="H54" s="100">
        <f t="shared" si="55"/>
        <v>0.34710406308132802</v>
      </c>
      <c r="I54" s="100">
        <f t="shared" si="56"/>
        <v>0.93010723309304444</v>
      </c>
      <c r="J54" s="77">
        <f t="shared" si="57"/>
        <v>-0.45168536163305462</v>
      </c>
      <c r="K54" s="77">
        <f t="shared" si="58"/>
        <v>-0.3544791917178774</v>
      </c>
      <c r="L54" s="91">
        <f t="shared" si="59"/>
        <v>0.57417346096327293</v>
      </c>
      <c r="M54" s="45"/>
      <c r="N54" s="28"/>
      <c r="O54" s="28"/>
      <c r="P54" s="28"/>
      <c r="R54" s="28"/>
      <c r="S54" s="28"/>
      <c r="T54" s="171">
        <f t="shared" si="60"/>
        <v>5.1924454601909101E-2</v>
      </c>
      <c r="U54" s="171">
        <f t="shared" si="60"/>
        <v>2.4719891190825433E-3</v>
      </c>
      <c r="AF54" s="176"/>
      <c r="AG54" s="176"/>
      <c r="AH54" s="176"/>
      <c r="AI54" s="176"/>
      <c r="AJ54" s="176"/>
      <c r="AK54" s="176"/>
      <c r="AL54" s="176"/>
      <c r="AM54" s="176"/>
      <c r="AN54" s="176"/>
      <c r="AR54" s="28"/>
      <c r="AS54" s="176"/>
      <c r="AT54" s="178"/>
      <c r="AU54" s="178"/>
      <c r="AV54" s="178"/>
      <c r="AW54" s="178"/>
      <c r="AX54" s="178"/>
      <c r="AY54" s="178"/>
      <c r="AZ54" s="176"/>
    </row>
    <row r="55" spans="1:52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142"/>
      <c r="N55" s="142"/>
      <c r="O55" s="142"/>
      <c r="P55" s="142"/>
      <c r="Q55" s="165"/>
      <c r="R55" s="28"/>
      <c r="S55" s="28"/>
      <c r="T55" s="171">
        <f t="shared" si="60"/>
        <v>5.0394104590824579E-2</v>
      </c>
      <c r="U55" s="171">
        <f t="shared" si="60"/>
        <v>-3.8295024613173217E-2</v>
      </c>
      <c r="AF55" s="176"/>
      <c r="AG55" s="176"/>
      <c r="AH55" s="176"/>
      <c r="AI55" s="176"/>
      <c r="AJ55" s="176"/>
      <c r="AK55" s="176"/>
      <c r="AL55" s="176"/>
      <c r="AM55" s="176"/>
      <c r="AN55" s="176"/>
      <c r="AR55" s="28"/>
      <c r="AS55" s="176"/>
      <c r="AT55" s="178"/>
      <c r="AU55" s="178"/>
      <c r="AV55" s="178"/>
      <c r="AW55" s="178"/>
      <c r="AX55" s="178"/>
      <c r="AY55" s="178"/>
      <c r="AZ55" s="176"/>
    </row>
    <row r="56" spans="1:52">
      <c r="A56" s="88" t="s">
        <v>73</v>
      </c>
      <c r="B56" s="88"/>
      <c r="C56" s="23" t="str">
        <f>CONCATENATE("m",Stufengrün!AH54)</f>
        <v>m6</v>
      </c>
      <c r="D56" s="23" t="s">
        <v>30</v>
      </c>
      <c r="E56" s="28"/>
      <c r="F56" s="28"/>
      <c r="G56" s="28"/>
      <c r="H56" s="36" t="s">
        <v>57</v>
      </c>
      <c r="I56" s="36" t="s">
        <v>51</v>
      </c>
      <c r="J56" s="36" t="s">
        <v>58</v>
      </c>
      <c r="K56" s="36" t="s">
        <v>59</v>
      </c>
      <c r="L56" s="28"/>
      <c r="M56" s="28"/>
      <c r="N56" s="28"/>
      <c r="O56" s="28"/>
      <c r="P56" s="28"/>
      <c r="Q56" s="165"/>
      <c r="R56" s="28"/>
      <c r="S56" s="28"/>
      <c r="T56" s="171">
        <f t="shared" si="60"/>
        <v>4.8668220030087236E-2</v>
      </c>
      <c r="U56" s="171">
        <f t="shared" si="60"/>
        <v>-8.7752678842664245E-2</v>
      </c>
      <c r="AF56" s="176"/>
      <c r="AG56" s="176"/>
      <c r="AH56" s="176"/>
      <c r="AI56" s="176"/>
      <c r="AJ56" s="176"/>
      <c r="AK56" s="176"/>
      <c r="AL56" s="176"/>
      <c r="AM56" s="176"/>
      <c r="AN56" s="176"/>
      <c r="AR56" s="28"/>
      <c r="AS56" s="176"/>
      <c r="AT56" s="178"/>
      <c r="AU56" s="178"/>
      <c r="AV56" s="178"/>
      <c r="AW56" s="178"/>
      <c r="AX56" s="178"/>
      <c r="AY56" s="178"/>
      <c r="AZ56" s="176"/>
    </row>
    <row r="57" spans="1:52">
      <c r="A57" s="88" t="s">
        <v>69</v>
      </c>
      <c r="B57" s="88"/>
      <c r="C57" s="36">
        <f>Stufengrün!AI54</f>
        <v>5.9398558365054185E-2</v>
      </c>
      <c r="D57" s="26">
        <f>Stufengrün!AK53</f>
        <v>0.66000334397619953</v>
      </c>
      <c r="E57" s="28"/>
      <c r="F57" s="28"/>
      <c r="G57" s="28"/>
      <c r="H57" s="78">
        <f>H46</f>
        <v>0.34699188404782344</v>
      </c>
      <c r="I57" s="78">
        <f>I46</f>
        <v>0.93001918678854079</v>
      </c>
      <c r="J57" s="78">
        <f>J46</f>
        <v>-0.45155124328807056</v>
      </c>
      <c r="K57" s="78">
        <f>K46</f>
        <v>-0.35444690851893546</v>
      </c>
      <c r="L57" s="28"/>
      <c r="M57" s="28"/>
      <c r="N57" s="28"/>
      <c r="O57" s="28"/>
      <c r="P57" s="28"/>
      <c r="Q57" s="165"/>
      <c r="R57" s="28"/>
      <c r="S57" s="28"/>
      <c r="T57" s="170">
        <f>H265</f>
        <v>4.8598359402941632E-2</v>
      </c>
      <c r="U57" s="170">
        <f>I265</f>
        <v>-8.9833694127151087E-2</v>
      </c>
      <c r="AF57" s="176"/>
      <c r="AG57" s="176"/>
      <c r="AH57" s="176"/>
      <c r="AI57" s="176"/>
      <c r="AJ57" s="176"/>
      <c r="AK57" s="176"/>
      <c r="AL57" s="176"/>
      <c r="AM57" s="176"/>
      <c r="AN57" s="176"/>
      <c r="AR57" s="28"/>
      <c r="AS57" s="176"/>
      <c r="AT57" s="178"/>
      <c r="AU57" s="178"/>
      <c r="AV57" s="178"/>
      <c r="AW57" s="178"/>
      <c r="AX57" s="178"/>
      <c r="AY57" s="178"/>
      <c r="AZ57" s="176"/>
    </row>
    <row r="58" spans="1:52">
      <c r="A58" s="95"/>
      <c r="B58" s="95"/>
      <c r="C58" s="28"/>
      <c r="D58" s="28"/>
      <c r="E58" s="28"/>
      <c r="F58" s="28"/>
      <c r="G58" s="28"/>
      <c r="H58" s="37" t="s">
        <v>8</v>
      </c>
      <c r="I58" s="37" t="s">
        <v>8</v>
      </c>
      <c r="J58" s="37" t="s">
        <v>9</v>
      </c>
      <c r="K58" s="37" t="s">
        <v>9</v>
      </c>
      <c r="L58" s="28"/>
      <c r="M58" s="28"/>
      <c r="N58" s="28"/>
      <c r="O58" s="28"/>
      <c r="P58" s="28"/>
      <c r="Q58" s="165"/>
      <c r="R58" s="28"/>
      <c r="S58" s="28"/>
      <c r="T58" s="170">
        <f t="shared" ref="T58:U62" si="61">H266</f>
        <v>4.806026138049229E-2</v>
      </c>
      <c r="U58" s="170">
        <f t="shared" si="61"/>
        <v>-0.10604481610952178</v>
      </c>
      <c r="AF58" s="176"/>
      <c r="AG58" s="176"/>
      <c r="AH58" s="176"/>
      <c r="AI58" s="176"/>
      <c r="AJ58" s="176"/>
      <c r="AK58" s="176"/>
      <c r="AL58" s="176"/>
      <c r="AM58" s="176"/>
      <c r="AN58" s="176"/>
      <c r="AR58" s="28"/>
      <c r="AS58" s="176"/>
      <c r="AT58" s="178"/>
      <c r="AU58" s="178"/>
      <c r="AV58" s="178"/>
      <c r="AW58" s="178"/>
      <c r="AX58" s="178"/>
      <c r="AY58" s="178"/>
      <c r="AZ58" s="176"/>
    </row>
    <row r="59" spans="1:52">
      <c r="A59" s="88" t="s">
        <v>68</v>
      </c>
      <c r="B59" s="88"/>
      <c r="C59" s="115" t="s">
        <v>15</v>
      </c>
      <c r="D59" s="115" t="s">
        <v>55</v>
      </c>
      <c r="E59" s="115" t="s">
        <v>12</v>
      </c>
      <c r="F59" s="115" t="s">
        <v>10</v>
      </c>
      <c r="G59" s="115" t="s">
        <v>14</v>
      </c>
      <c r="H59" s="115" t="s">
        <v>21</v>
      </c>
      <c r="I59" s="115" t="s">
        <v>16</v>
      </c>
      <c r="J59" s="115" t="s">
        <v>17</v>
      </c>
      <c r="K59" s="115" t="s">
        <v>23</v>
      </c>
      <c r="L59" s="28"/>
      <c r="M59" s="28"/>
      <c r="N59" s="28"/>
      <c r="O59" s="28"/>
      <c r="P59" s="28"/>
      <c r="Q59" s="165"/>
      <c r="R59" s="28"/>
      <c r="S59" s="28"/>
      <c r="T59" s="170">
        <f t="shared" si="61"/>
        <v>4.7505075279275277E-2</v>
      </c>
      <c r="U59" s="170">
        <f t="shared" si="61"/>
        <v>-0.12310441177106128</v>
      </c>
      <c r="AF59" s="176"/>
      <c r="AG59" s="176"/>
      <c r="AH59" s="176"/>
      <c r="AI59" s="176"/>
      <c r="AJ59" s="176"/>
      <c r="AK59" s="176"/>
      <c r="AL59" s="176"/>
      <c r="AM59" s="176"/>
      <c r="AN59" s="176"/>
      <c r="AR59" s="28"/>
      <c r="AS59" s="176"/>
      <c r="AT59" s="178"/>
      <c r="AU59" s="178"/>
      <c r="AV59" s="178"/>
      <c r="AW59" s="178"/>
      <c r="AX59" s="178"/>
      <c r="AY59" s="178"/>
      <c r="AZ59" s="176"/>
    </row>
    <row r="60" spans="1:52">
      <c r="A60" s="28"/>
      <c r="B60" s="28"/>
      <c r="C60" s="23">
        <f>Mü/TAN($C57)</f>
        <v>1.1770934876266894</v>
      </c>
      <c r="D60" s="42">
        <f>SQRT($J57*$J57+$K57*$K57)</f>
        <v>0.57404802610376848</v>
      </c>
      <c r="E60" s="20">
        <f>ATAN($J57/$K57)</f>
        <v>0.90529740826602245</v>
      </c>
      <c r="F60" s="23">
        <f>($E60-A73-0.0001)/5</f>
        <v>9.9937416845078758E-2</v>
      </c>
      <c r="G60" s="23">
        <f>COS($E60)</f>
        <v>0.61745166327749623</v>
      </c>
      <c r="H60" s="23">
        <f>SIN($E60)</f>
        <v>0.78660882496692941</v>
      </c>
      <c r="I60" s="23">
        <f>$C60+$G60</f>
        <v>1.7945451509041856</v>
      </c>
      <c r="J60" s="23">
        <f>POWER(TAN($E60/2),$C60)</f>
        <v>0.42804004724198624</v>
      </c>
      <c r="K60" s="23">
        <f>-$D60*$D60*SIN($E60)*SIN($E60)/(2*9.81*SIN($C57)*POWER(TAN($E60/2),2*$C60))</f>
        <v>-0.95548919310584124</v>
      </c>
      <c r="L60" s="28"/>
      <c r="M60" s="28"/>
      <c r="N60" s="28"/>
      <c r="O60" s="28"/>
      <c r="P60" s="28"/>
      <c r="Q60" s="165"/>
      <c r="R60" s="28"/>
      <c r="S60" s="28"/>
      <c r="T60" s="170">
        <f t="shared" si="61"/>
        <v>4.693189736910397E-2</v>
      </c>
      <c r="U60" s="170">
        <f t="shared" si="61"/>
        <v>-0.14107534325655305</v>
      </c>
      <c r="AF60" s="176"/>
      <c r="AG60" s="176"/>
      <c r="AH60" s="176"/>
      <c r="AI60" s="176"/>
      <c r="AJ60" s="176"/>
      <c r="AK60" s="176"/>
      <c r="AL60" s="176"/>
      <c r="AM60" s="176"/>
      <c r="AN60" s="176"/>
      <c r="AR60" s="28"/>
      <c r="AS60" s="176"/>
      <c r="AT60" s="178"/>
      <c r="AU60" s="178"/>
      <c r="AV60" s="178"/>
      <c r="AW60" s="178"/>
      <c r="AX60" s="178"/>
      <c r="AY60" s="178"/>
      <c r="AZ60" s="176"/>
    </row>
    <row r="61" spans="1:52">
      <c r="A61" s="88" t="s">
        <v>70</v>
      </c>
      <c r="B61" s="8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45"/>
      <c r="N61" s="28"/>
      <c r="O61" s="28"/>
      <c r="P61" s="28"/>
      <c r="Q61" s="165"/>
      <c r="R61" s="28"/>
      <c r="S61" s="28"/>
      <c r="T61" s="170">
        <f t="shared" si="61"/>
        <v>4.6339756252621746E-2</v>
      </c>
      <c r="U61" s="170">
        <f t="shared" si="61"/>
        <v>-0.1600265548742987</v>
      </c>
      <c r="AF61" s="176"/>
      <c r="AG61" s="176"/>
      <c r="AH61" s="176"/>
      <c r="AI61" s="176"/>
      <c r="AJ61" s="176"/>
      <c r="AK61" s="176"/>
      <c r="AL61" s="176"/>
      <c r="AM61" s="176"/>
      <c r="AN61" s="176"/>
      <c r="AR61" s="28"/>
      <c r="AS61" s="176"/>
      <c r="AT61" s="178"/>
      <c r="AU61" s="178"/>
      <c r="AV61" s="178"/>
      <c r="AW61" s="178"/>
      <c r="AX61" s="178"/>
      <c r="AY61" s="178"/>
      <c r="AZ61" s="176"/>
    </row>
    <row r="62" spans="1:52">
      <c r="A62" s="115" t="s">
        <v>11</v>
      </c>
      <c r="B62" s="115" t="s">
        <v>13</v>
      </c>
      <c r="C62" s="26" t="s">
        <v>22</v>
      </c>
      <c r="D62" s="26" t="s">
        <v>18</v>
      </c>
      <c r="E62" s="115" t="s">
        <v>19</v>
      </c>
      <c r="F62" s="26" t="s">
        <v>20</v>
      </c>
      <c r="G62" s="26" t="s">
        <v>2</v>
      </c>
      <c r="H62" s="26" t="s">
        <v>65</v>
      </c>
      <c r="I62" s="26" t="s">
        <v>66</v>
      </c>
      <c r="J62" s="76" t="s">
        <v>3</v>
      </c>
      <c r="K62" s="76" t="s">
        <v>4</v>
      </c>
      <c r="L62" s="116" t="s">
        <v>7</v>
      </c>
      <c r="M62" s="93"/>
      <c r="N62" s="26" t="s">
        <v>61</v>
      </c>
      <c r="O62" s="26" t="s">
        <v>62</v>
      </c>
      <c r="P62" s="115" t="s">
        <v>63</v>
      </c>
      <c r="Q62" s="165"/>
      <c r="R62" s="28"/>
      <c r="S62" s="28"/>
      <c r="T62" s="170">
        <f t="shared" si="61"/>
        <v>4.572760624704416E-2</v>
      </c>
      <c r="U62" s="170">
        <f t="shared" si="61"/>
        <v>-0.18003380536136199</v>
      </c>
      <c r="AF62" s="176"/>
      <c r="AG62" s="176"/>
      <c r="AH62" s="176"/>
      <c r="AI62" s="176"/>
      <c r="AJ62" s="176"/>
      <c r="AK62" s="176"/>
      <c r="AL62" s="176"/>
      <c r="AM62" s="176"/>
      <c r="AN62" s="176"/>
      <c r="AR62" s="28"/>
      <c r="AS62" s="176"/>
      <c r="AT62" s="178"/>
      <c r="AU62" s="178"/>
      <c r="AV62" s="178"/>
      <c r="AW62" s="178"/>
      <c r="AX62" s="178"/>
      <c r="AY62" s="178"/>
      <c r="AZ62" s="176"/>
    </row>
    <row r="63" spans="1:52">
      <c r="A63" s="19">
        <f>$E60</f>
        <v>0.90529740826602245</v>
      </c>
      <c r="B63" s="26">
        <f>COS(A63)</f>
        <v>0.61745166327749623</v>
      </c>
      <c r="C63" s="26">
        <f>($C$60+B63)</f>
        <v>1.7945451509041856</v>
      </c>
      <c r="D63" s="26">
        <f>POWER(TAN(A63/2),$C$60)</f>
        <v>0.42804004724198624</v>
      </c>
      <c r="E63" s="26">
        <f>SIN(A63)</f>
        <v>0.78660882496692941</v>
      </c>
      <c r="F63" s="77">
        <f>(C63*$H$60*D63/E63/$I$60/$J$60)</f>
        <v>1</v>
      </c>
      <c r="G63" s="77">
        <f>$D$60*($C$60+$G$60)/9.81/SIN($C$57)/(1-$C$60*$C$60)*(F63-1)</f>
        <v>0</v>
      </c>
      <c r="H63" s="75">
        <f>-(-$H$57+$K$60*((POWER(TAN(A63/2),2*$C$60-1)/(2*$C$60-1))+(POWER(TAN(A63/2),2*$C$60+1)/(2*$C$60+1))-(POWER(TAN($E$60/2),2*$C$60-1)/(2*$C$60-1))-(POWER(TAN($E$60/2),2*$C$60+1)/(2*$C$60+1))))</f>
        <v>0.34699188404782344</v>
      </c>
      <c r="I63" s="75">
        <f>-(-$I$57+0.5*$K$60*((POWER(TAN(A63/2),2*$C$60-2)/(2*$C$60-2))-(POWER(TAN(A63/2),2*$C$60+2)/(2*$C$60+2))-(POWER(TAN($E$60/2),2*$C$60-2)/(2*$C$60-2))+(POWER(TAN($E$60/2),2*$C$60+2)/(2*$C$60+2))))</f>
        <v>0.93001918678854079</v>
      </c>
      <c r="J63" s="77">
        <f>-$D$60*SIN(A63)*($C$60+$G$60)/($C$60+B63)*F63</f>
        <v>-0.45155124328807056</v>
      </c>
      <c r="K63" s="77">
        <f>-$D$60*COS(A63)*($C$60+$G$60)/($C$60+B63)*F63</f>
        <v>-0.3544469085189354</v>
      </c>
      <c r="L63" s="91">
        <f>SQRT(J63*J63+K63*K63)</f>
        <v>0.57404802610376848</v>
      </c>
      <c r="M63" s="93"/>
      <c r="N63" s="75">
        <f>-(-$I$57+0.5*$K$60*((POWER(TAN(A63/2),2*$C$60-2)/(2*$C$60-2))-(POWER(TAN(A63/2),2*$C$60+2)/(2*$C$60+2))-(POWER(TAN($E$60/2),2*$C$60-2)/(2*$C$60-2))+(POWER(TAN($E$60/2),2*$C$60+2)/(2*$C$60+2))))-$D$57</f>
        <v>0.27001584281234126</v>
      </c>
      <c r="O63" s="75">
        <f>-(-$I$57+0.5*$K$60*((POWER(TAN((A63+$M$9)/2),2*$C$60-2)/(2*$C$60-2))-(POWER(TAN((A63+$M$9)/2),2*$C$60+2)/(2*$C$60+2))-(POWER(TAN($E$60/2),2*$C$60-2)/(2*$C$60-2))+(POWER(TAN($E$60/2),2*$C$60+2)/(2*$C$60+2))))-$D$57</f>
        <v>0.27045987351202683</v>
      </c>
      <c r="P63" s="75">
        <f>A63-N63/(O63-N63)*$M$9</f>
        <v>0.29719566439212852</v>
      </c>
      <c r="Q63" s="165"/>
      <c r="R63" s="28"/>
      <c r="S63" s="28"/>
      <c r="T63" s="172">
        <f>H292</f>
        <v>4.5631354765130777E-2</v>
      </c>
      <c r="U63" s="172">
        <f>I292</f>
        <v>-0.18321833372345325</v>
      </c>
      <c r="AF63" s="176"/>
      <c r="AG63" s="176"/>
      <c r="AH63" s="176"/>
      <c r="AI63" s="176"/>
      <c r="AJ63" s="176"/>
      <c r="AK63" s="176"/>
      <c r="AL63" s="176"/>
      <c r="AM63" s="176"/>
      <c r="AN63" s="176"/>
      <c r="AR63" s="28"/>
      <c r="AS63" s="176"/>
      <c r="AT63" s="178"/>
      <c r="AU63" s="178"/>
      <c r="AV63" s="178"/>
      <c r="AW63" s="178"/>
      <c r="AX63" s="178"/>
      <c r="AY63" s="178"/>
      <c r="AZ63" s="176"/>
    </row>
    <row r="64" spans="1:52">
      <c r="A64" s="19">
        <f>P63</f>
        <v>0.29719566439212852</v>
      </c>
      <c r="B64" s="26">
        <f>COS(A64)</f>
        <v>0.95616146935469737</v>
      </c>
      <c r="C64" s="26">
        <f>($C$60+B64)</f>
        <v>2.1332549569813866</v>
      </c>
      <c r="D64" s="26">
        <f>POWER(TAN(A64/2),$C$60)</f>
        <v>0.10694573691680487</v>
      </c>
      <c r="E64" s="26">
        <f>SIN(A64)</f>
        <v>0.29283996401015039</v>
      </c>
      <c r="F64" s="77">
        <f>(C64*$H$60*D64/E64/$I$60/$J$60)</f>
        <v>0.79780346364043375</v>
      </c>
      <c r="G64" s="77">
        <f>$D$60*($C$60+$G$60)/9.81/SIN($C$57)/(1-$C$60*$C$60)*(F64-1)</f>
        <v>0.92769914598734227</v>
      </c>
      <c r="H64" s="75">
        <f>-(-$H$57+$K$60*((POWER(TAN(A64/2),2*$C$60-1)/(2*$C$60-1))+(POWER(TAN(A64/2),2*$C$60+1)/(2*$C$60+1))-(POWER(TAN($E$60/2),2*$C$60-1)/(2*$C$60-1))-(POWER(TAN($E$60/2),2*$C$60+1)/(2*$C$60+1))))</f>
        <v>0.11018402358178414</v>
      </c>
      <c r="I64" s="75">
        <f>-(-$I$57+0.5*$K$60*((POWER(TAN(A64/2),2*$C$60-2)/(2*$C$60-2))-(POWER(TAN(A64/2),2*$C$60+2)/(2*$C$60+2))-(POWER(TAN($E$60/2),2*$C$60-2)/(2*$C$60-2))+(POWER(TAN($E$60/2),2*$C$60+2)/(2*$C$60+2))))</f>
        <v>0.57823702379142139</v>
      </c>
      <c r="J64" s="77">
        <f>-$D$60*SIN(A64)*($C$60+$G$60)/($C$60+B64)*F64</f>
        <v>-0.11282000546514578</v>
      </c>
      <c r="K64" s="77">
        <f>-$D$60*COS(A64)*($C$60+$G$60)/($C$60+B64)*F64</f>
        <v>-0.36837233798601227</v>
      </c>
      <c r="L64" s="91">
        <f>SQRT(J64*J64+K64*K64)</f>
        <v>0.38526164229836896</v>
      </c>
      <c r="M64" s="93"/>
      <c r="N64" s="75">
        <f>-(-$I$57+0.5*$K$60*((POWER(TAN(A64/2),2*$C$60-2)/(2*$C$60-2))-(POWER(TAN(A64/2),2*$C$60+2)/(2*$C$60+2))-(POWER(TAN($E$60/2),2*$C$60-2)/(2*$C$60-2))+(POWER(TAN($E$60/2),2*$C$60+2)/(2*$C$60+2))))-$D$57</f>
        <v>-8.1766320184778141E-2</v>
      </c>
      <c r="O64" s="75">
        <f t="shared" ref="O64:O73" si="62">-(-$I$57+0.5*$K$60*((POWER(TAN((A64+$M$9)/2),2*$C$60-2)/(2*$C$60-2))-(POWER(TAN((A64+$M$9)/2),2*$C$60+2)/(2*$C$60+2))-(POWER(TAN($E$60/2),2*$C$60-2)/(2*$C$60-2))+(POWER(TAN($E$60/2),2*$C$60+2)/(2*$C$60+2))))-$D$57</f>
        <v>-8.0934985892486488E-2</v>
      </c>
      <c r="P64" s="75">
        <f t="shared" ref="P64:P73" si="63">A64-N64/(O64-N64)*$M$9</f>
        <v>0.39555118868955824</v>
      </c>
      <c r="Q64" s="165"/>
      <c r="R64" s="28"/>
      <c r="S64" s="28"/>
      <c r="T64" s="172">
        <f t="shared" ref="T64:U68" si="64">H293</f>
        <v>4.5168407630230806E-2</v>
      </c>
      <c r="U64" s="172">
        <f t="shared" si="64"/>
        <v>-0.19865945798041421</v>
      </c>
      <c r="AF64" s="176"/>
      <c r="AG64" s="176"/>
      <c r="AH64" s="176"/>
      <c r="AI64" s="176"/>
      <c r="AJ64" s="176"/>
      <c r="AK64" s="176"/>
      <c r="AL64" s="176"/>
      <c r="AM64" s="176"/>
      <c r="AN64" s="176"/>
      <c r="AR64" s="28"/>
      <c r="AS64" s="176"/>
      <c r="AT64" s="178"/>
      <c r="AU64" s="178"/>
      <c r="AV64" s="178"/>
      <c r="AW64" s="178"/>
      <c r="AX64" s="178"/>
      <c r="AY64" s="178"/>
      <c r="AZ64" s="176"/>
    </row>
    <row r="65" spans="1:52">
      <c r="A65" s="19">
        <f t="shared" ref="A65:A73" si="65">P64</f>
        <v>0.39555118868955824</v>
      </c>
      <c r="B65" s="26">
        <f t="shared" ref="B65:B73" si="66">COS(A65)</f>
        <v>0.92278432224522156</v>
      </c>
      <c r="C65" s="26">
        <f t="shared" ref="C65:C73" si="67">($C$60+B65)</f>
        <v>2.0998778098719111</v>
      </c>
      <c r="D65" s="26">
        <f t="shared" ref="D65:D73" si="68">POWER(TAN(A65/2),$C$60)</f>
        <v>0.15074963623175153</v>
      </c>
      <c r="E65" s="26">
        <f t="shared" ref="E65:E73" si="69">SIN(A65)</f>
        <v>0.3853168755951743</v>
      </c>
      <c r="F65" s="77">
        <f t="shared" ref="F65:F73" si="70">(C65*$H$60*D65/E65/$I$60/$J$60)</f>
        <v>0.84130271110029764</v>
      </c>
      <c r="G65" s="77">
        <f t="shared" ref="G65:G73" si="71">$D$60*($C$60+$G$60)/9.81/SIN($C$57)/(1-$C$60*$C$60)*(F65-1)</f>
        <v>0.72811998678826539</v>
      </c>
      <c r="H65" s="75">
        <f t="shared" ref="H65:H73" si="72">-(-$H$57+$K$60*((POWER(TAN(A65/2),2*$C$60-1)/(2*$C$60-1))+(POWER(TAN(A65/2),2*$C$60+1)/(2*$C$60+1))-(POWER(TAN($E$60/2),2*$C$60-1)/(2*$C$60-1))-(POWER(TAN($E$60/2),2*$C$60+1)/(2*$C$60+1))))</f>
        <v>0.13710131804566691</v>
      </c>
      <c r="I65" s="75">
        <f t="shared" ref="I65:I73" si="73">-(-$I$57+0.5*$K$60*((POWER(TAN(A65/2),2*$C$60-2)/(2*$C$60-2))-(POWER(TAN(A65/2),2*$C$60+2)/(2*$C$60+2))-(POWER(TAN($E$60/2),2*$C$60-2)/(2*$C$60-2))+(POWER(TAN($E$60/2),2*$C$60+2)/(2*$C$60+2))))</f>
        <v>0.65307796354970638</v>
      </c>
      <c r="J65" s="77">
        <f t="shared" ref="J65:J73" si="74">-$D$60*SIN(A65)*($C$60+$G$60)/($C$60+B65)*F65</f>
        <v>-0.15902994615639016</v>
      </c>
      <c r="K65" s="77">
        <f t="shared" ref="K65:K73" si="75">-$D$60*COS(A65)*($C$60+$G$60)/($C$60+B65)*F65</f>
        <v>-0.38085625202359158</v>
      </c>
      <c r="L65" s="91">
        <f t="shared" ref="L65:L73" si="76">SQRT(J65*J65+K65*K65)</f>
        <v>0.41272510037549431</v>
      </c>
      <c r="M65" s="93"/>
      <c r="N65" s="75">
        <f t="shared" ref="N65:N73" si="77">-(-$I$57+0.5*$K$60*((POWER(TAN(A65/2),2*$C$60-2)/(2*$C$60-2))-(POWER(TAN(A65/2),2*$C$60+2)/(2*$C$60+2))-(POWER(TAN($E$60/2),2*$C$60-2)/(2*$C$60-2))+(POWER(TAN($E$60/2),2*$C$60+2)/(2*$C$60+2))))-$D$57</f>
        <v>-6.9253804264931551E-3</v>
      </c>
      <c r="O65" s="75">
        <f t="shared" si="62"/>
        <v>-6.2253922263234562E-3</v>
      </c>
      <c r="P65" s="75">
        <f t="shared" si="63"/>
        <v>0.4054447560737145</v>
      </c>
      <c r="Q65" s="165"/>
      <c r="R65" s="28"/>
      <c r="S65" s="28"/>
      <c r="T65" s="172">
        <f t="shared" si="64"/>
        <v>4.4696560964278834E-2</v>
      </c>
      <c r="U65" s="172">
        <f t="shared" si="64"/>
        <v>-0.21460191894960789</v>
      </c>
      <c r="AF65" s="176"/>
      <c r="AG65" s="176"/>
      <c r="AH65" s="176"/>
      <c r="AI65" s="176"/>
      <c r="AJ65" s="176"/>
      <c r="AK65" s="176"/>
      <c r="AL65" s="176"/>
      <c r="AM65" s="176"/>
      <c r="AN65" s="176"/>
      <c r="AR65" s="28"/>
      <c r="AS65" s="176"/>
      <c r="AT65" s="178"/>
      <c r="AU65" s="178"/>
      <c r="AV65" s="178"/>
      <c r="AW65" s="178"/>
      <c r="AX65" s="178"/>
      <c r="AY65" s="178"/>
      <c r="AZ65" s="176"/>
    </row>
    <row r="66" spans="1:52">
      <c r="A66" s="19">
        <f t="shared" si="65"/>
        <v>0.4054447560737145</v>
      </c>
      <c r="B66" s="26">
        <f t="shared" si="66"/>
        <v>0.91892706403183377</v>
      </c>
      <c r="C66" s="26">
        <f t="shared" si="67"/>
        <v>2.0960205516585231</v>
      </c>
      <c r="D66" s="26">
        <f t="shared" si="68"/>
        <v>0.15532069480415198</v>
      </c>
      <c r="E66" s="26">
        <f t="shared" si="69"/>
        <v>0.39442749776078495</v>
      </c>
      <c r="F66" s="77">
        <f t="shared" si="70"/>
        <v>0.84523543981201488</v>
      </c>
      <c r="G66" s="77">
        <f t="shared" si="71"/>
        <v>0.71007621050531244</v>
      </c>
      <c r="H66" s="75">
        <f t="shared" si="72"/>
        <v>0.14001415414170951</v>
      </c>
      <c r="I66" s="75">
        <f t="shared" si="73"/>
        <v>0.65995807871940215</v>
      </c>
      <c r="J66" s="77">
        <f t="shared" si="74"/>
        <v>-0.16385208182993174</v>
      </c>
      <c r="K66" s="77">
        <f t="shared" si="75"/>
        <v>-0.38173837611798689</v>
      </c>
      <c r="L66" s="91">
        <f t="shared" si="76"/>
        <v>0.41541749183345694</v>
      </c>
      <c r="M66" s="93"/>
      <c r="N66" s="75">
        <f t="shared" si="77"/>
        <v>-4.5265256797377695E-5</v>
      </c>
      <c r="O66" s="75">
        <f t="shared" si="62"/>
        <v>6.4462403811882396E-4</v>
      </c>
      <c r="P66" s="75">
        <f t="shared" si="63"/>
        <v>0.40551036842214627</v>
      </c>
      <c r="Q66" s="165"/>
      <c r="R66" s="28"/>
      <c r="S66" s="28"/>
      <c r="T66" s="172">
        <f t="shared" si="64"/>
        <v>4.4215523862311354E-2</v>
      </c>
      <c r="U66" s="172">
        <f t="shared" si="64"/>
        <v>-0.23106887067037729</v>
      </c>
      <c r="AF66" s="176"/>
      <c r="AG66" s="176"/>
      <c r="AH66" s="176"/>
      <c r="AI66" s="176"/>
      <c r="AJ66" s="176"/>
      <c r="AK66" s="176"/>
      <c r="AL66" s="176"/>
      <c r="AM66" s="176"/>
      <c r="AN66" s="176"/>
      <c r="AR66" s="28"/>
      <c r="AS66" s="176"/>
      <c r="AT66" s="178"/>
      <c r="AU66" s="178"/>
      <c r="AV66" s="178"/>
      <c r="AW66" s="178"/>
      <c r="AX66" s="178"/>
      <c r="AY66" s="178"/>
      <c r="AZ66" s="176"/>
    </row>
    <row r="67" spans="1:52">
      <c r="A67" s="19">
        <f t="shared" si="65"/>
        <v>0.40551036842214627</v>
      </c>
      <c r="B67" s="26">
        <f t="shared" si="66"/>
        <v>0.91890118273945676</v>
      </c>
      <c r="C67" s="26">
        <f t="shared" si="67"/>
        <v>2.0959946703661463</v>
      </c>
      <c r="D67" s="26">
        <f t="shared" si="68"/>
        <v>0.15535110841642408</v>
      </c>
      <c r="E67" s="26">
        <f t="shared" si="69"/>
        <v>0.39448778987444905</v>
      </c>
      <c r="F67" s="77">
        <f t="shared" si="70"/>
        <v>0.84526130146996215</v>
      </c>
      <c r="G67" s="77">
        <f t="shared" si="71"/>
        <v>0.7099575544767599</v>
      </c>
      <c r="H67" s="75">
        <f t="shared" si="72"/>
        <v>0.14003359808245044</v>
      </c>
      <c r="I67" s="75">
        <f t="shared" si="73"/>
        <v>0.66000337461380121</v>
      </c>
      <c r="J67" s="77">
        <f t="shared" si="74"/>
        <v>-0.16388416598776426</v>
      </c>
      <c r="K67" s="77">
        <f t="shared" si="75"/>
        <v>-0.38174401799952878</v>
      </c>
      <c r="L67" s="91">
        <f t="shared" si="76"/>
        <v>0.41543533207940997</v>
      </c>
      <c r="M67" s="93"/>
      <c r="N67" s="75">
        <f t="shared" si="77"/>
        <v>3.0637601677874216E-8</v>
      </c>
      <c r="O67" s="75">
        <f t="shared" si="62"/>
        <v>6.8985440506830198E-4</v>
      </c>
      <c r="P67" s="75">
        <f t="shared" si="63"/>
        <v>0.4055103240084813</v>
      </c>
      <c r="Q67" s="165"/>
      <c r="R67" s="28"/>
      <c r="S67" s="28"/>
      <c r="T67" s="172">
        <f t="shared" si="64"/>
        <v>4.3724991893077922E-2</v>
      </c>
      <c r="U67" s="172">
        <f t="shared" si="64"/>
        <v>-0.24808486267640639</v>
      </c>
      <c r="AF67" s="176"/>
      <c r="AG67" s="176"/>
      <c r="AH67" s="176"/>
      <c r="AI67" s="176"/>
      <c r="AJ67" s="176"/>
      <c r="AK67" s="176"/>
      <c r="AL67" s="176"/>
      <c r="AM67" s="176"/>
      <c r="AN67" s="176"/>
      <c r="AR67" s="28"/>
      <c r="AS67" s="176"/>
      <c r="AT67" s="178"/>
      <c r="AU67" s="178"/>
      <c r="AV67" s="178"/>
      <c r="AW67" s="178"/>
      <c r="AX67" s="178"/>
      <c r="AY67" s="178"/>
      <c r="AZ67" s="176"/>
    </row>
    <row r="68" spans="1:52">
      <c r="A68" s="19">
        <f t="shared" si="65"/>
        <v>0.4055103240084813</v>
      </c>
      <c r="B68" s="26">
        <f t="shared" si="66"/>
        <v>0.91890120026010436</v>
      </c>
      <c r="C68" s="26">
        <f t="shared" si="67"/>
        <v>2.0959946878867939</v>
      </c>
      <c r="D68" s="26">
        <f t="shared" si="68"/>
        <v>0.1553510878286993</v>
      </c>
      <c r="E68" s="26">
        <f t="shared" si="69"/>
        <v>0.39448774906267942</v>
      </c>
      <c r="F68" s="77">
        <f t="shared" si="70"/>
        <v>0.84526128396490452</v>
      </c>
      <c r="G68" s="77">
        <f t="shared" si="71"/>
        <v>0.70995763479182028</v>
      </c>
      <c r="H68" s="75">
        <f t="shared" si="72"/>
        <v>0.14003358492008464</v>
      </c>
      <c r="I68" s="75">
        <f t="shared" si="73"/>
        <v>0.66000334395400739</v>
      </c>
      <c r="J68" s="77">
        <f t="shared" si="74"/>
        <v>-0.16388414426920597</v>
      </c>
      <c r="K68" s="77">
        <f t="shared" si="75"/>
        <v>-0.38174401418140363</v>
      </c>
      <c r="L68" s="91">
        <f t="shared" si="76"/>
        <v>0.41543532000322458</v>
      </c>
      <c r="M68" s="93"/>
      <c r="N68" s="75">
        <f t="shared" si="77"/>
        <v>-2.2192137016929792E-11</v>
      </c>
      <c r="O68" s="75">
        <f t="shared" si="62"/>
        <v>6.8982378962456625E-4</v>
      </c>
      <c r="P68" s="75">
        <f t="shared" si="63"/>
        <v>0.40551032404065201</v>
      </c>
      <c r="Q68" s="165"/>
      <c r="R68" s="28"/>
      <c r="S68" s="28"/>
      <c r="T68" s="172">
        <f t="shared" si="64"/>
        <v>4.3224646278215047E-2</v>
      </c>
      <c r="U68" s="172">
        <f t="shared" si="64"/>
        <v>-0.26567594429440033</v>
      </c>
      <c r="AF68" s="176"/>
      <c r="AG68" s="176"/>
      <c r="AH68" s="176"/>
      <c r="AI68" s="176"/>
      <c r="AJ68" s="176"/>
      <c r="AK68" s="176"/>
      <c r="AL68" s="176"/>
      <c r="AM68" s="176"/>
      <c r="AN68" s="176"/>
      <c r="AR68" s="28"/>
      <c r="AS68" s="176"/>
      <c r="AT68" s="178"/>
      <c r="AU68" s="178"/>
      <c r="AV68" s="178"/>
      <c r="AW68" s="178"/>
      <c r="AX68" s="178"/>
      <c r="AY68" s="178"/>
      <c r="AZ68" s="176"/>
    </row>
    <row r="69" spans="1:52">
      <c r="A69" s="19">
        <f t="shared" si="65"/>
        <v>0.40551032404065201</v>
      </c>
      <c r="B69" s="26">
        <f t="shared" si="66"/>
        <v>0.9189012002474134</v>
      </c>
      <c r="C69" s="26">
        <f t="shared" si="67"/>
        <v>2.0959946878741027</v>
      </c>
      <c r="D69" s="26">
        <f t="shared" si="68"/>
        <v>0.15535108784361187</v>
      </c>
      <c r="E69" s="26">
        <f t="shared" si="69"/>
        <v>0.3944877490922411</v>
      </c>
      <c r="F69" s="77">
        <f t="shared" si="70"/>
        <v>0.84526128397758404</v>
      </c>
      <c r="G69" s="77">
        <f t="shared" si="71"/>
        <v>0.70995763473364526</v>
      </c>
      <c r="H69" s="75">
        <f t="shared" si="72"/>
        <v>0.1400335849296187</v>
      </c>
      <c r="I69" s="75">
        <f t="shared" si="73"/>
        <v>0.66000334397621563</v>
      </c>
      <c r="J69" s="77">
        <f t="shared" si="74"/>
        <v>-0.16388414428493764</v>
      </c>
      <c r="K69" s="77">
        <f t="shared" si="75"/>
        <v>-0.3817440141841692</v>
      </c>
      <c r="L69" s="91">
        <f t="shared" si="76"/>
        <v>0.41543532001197181</v>
      </c>
      <c r="M69" s="93"/>
      <c r="N69" s="75">
        <f t="shared" si="77"/>
        <v>1.609823385706477E-14</v>
      </c>
      <c r="O69" s="75">
        <f t="shared" si="62"/>
        <v>6.8982381180038299E-4</v>
      </c>
      <c r="P69" s="75">
        <f t="shared" si="63"/>
        <v>0.4055103240406287</v>
      </c>
      <c r="Q69" s="165"/>
      <c r="R69" s="28"/>
      <c r="S69" s="28"/>
      <c r="T69" s="173">
        <f>H319</f>
        <v>4.3092776622040987E-2</v>
      </c>
      <c r="U69" s="173">
        <f>I319</f>
        <v>-0.27035186996590138</v>
      </c>
      <c r="AF69" s="176"/>
      <c r="AG69" s="176"/>
      <c r="AH69" s="176"/>
      <c r="AI69" s="176"/>
      <c r="AJ69" s="176"/>
      <c r="AK69" s="176"/>
      <c r="AL69" s="176"/>
      <c r="AM69" s="176"/>
      <c r="AN69" s="176"/>
      <c r="AR69" s="28"/>
      <c r="AS69" s="176"/>
      <c r="AT69" s="178"/>
      <c r="AU69" s="178"/>
      <c r="AV69" s="178"/>
      <c r="AW69" s="178"/>
      <c r="AX69" s="178"/>
      <c r="AY69" s="178"/>
      <c r="AZ69" s="176"/>
    </row>
    <row r="70" spans="1:52">
      <c r="A70" s="19">
        <f>P69</f>
        <v>0.4055103240406287</v>
      </c>
      <c r="B70" s="26">
        <f t="shared" si="66"/>
        <v>0.91890120024742261</v>
      </c>
      <c r="C70" s="26">
        <f t="shared" si="67"/>
        <v>2.095994687874112</v>
      </c>
      <c r="D70" s="26">
        <f t="shared" si="68"/>
        <v>0.15535108784360108</v>
      </c>
      <c r="E70" s="26">
        <f t="shared" si="69"/>
        <v>0.39448774909221967</v>
      </c>
      <c r="F70" s="77">
        <f t="shared" si="70"/>
        <v>0.84526128397757516</v>
      </c>
      <c r="G70" s="77">
        <f t="shared" si="71"/>
        <v>0.709957634733686</v>
      </c>
      <c r="H70" s="75">
        <f t="shared" si="72"/>
        <v>0.14003358492961179</v>
      </c>
      <c r="I70" s="75">
        <f t="shared" si="73"/>
        <v>0.66000334397619942</v>
      </c>
      <c r="J70" s="77">
        <f t="shared" si="74"/>
        <v>-0.16388414428492629</v>
      </c>
      <c r="K70" s="77">
        <f t="shared" si="75"/>
        <v>-0.38174401418416737</v>
      </c>
      <c r="L70" s="91">
        <f t="shared" si="76"/>
        <v>0.41543532001196565</v>
      </c>
      <c r="M70" s="93"/>
      <c r="N70" s="75">
        <f t="shared" si="77"/>
        <v>0</v>
      </c>
      <c r="O70" s="75">
        <f t="shared" si="62"/>
        <v>6.8982381178439578E-4</v>
      </c>
      <c r="P70" s="75">
        <f t="shared" si="63"/>
        <v>0.4055103240406287</v>
      </c>
      <c r="Q70" s="165"/>
      <c r="R70" s="28"/>
      <c r="S70" s="28"/>
      <c r="T70" s="173">
        <f t="shared" ref="T70:U74" si="78">H320</f>
        <v>4.2606154319478166E-2</v>
      </c>
      <c r="U70" s="173">
        <f t="shared" si="78"/>
        <v>-0.28772487385108669</v>
      </c>
      <c r="AF70" s="176"/>
      <c r="AG70" s="176"/>
      <c r="AH70" s="176"/>
      <c r="AI70" s="176"/>
      <c r="AJ70" s="176"/>
      <c r="AK70" s="176"/>
      <c r="AL70" s="176"/>
      <c r="AM70" s="176"/>
      <c r="AN70" s="176"/>
      <c r="AR70" s="28"/>
      <c r="AS70" s="176"/>
      <c r="AT70" s="178"/>
      <c r="AU70" s="178"/>
      <c r="AV70" s="178"/>
      <c r="AW70" s="178"/>
      <c r="AX70" s="178"/>
      <c r="AY70" s="178"/>
      <c r="AZ70" s="176"/>
    </row>
    <row r="71" spans="1:52">
      <c r="A71" s="19">
        <f t="shared" si="65"/>
        <v>0.4055103240406287</v>
      </c>
      <c r="B71" s="26">
        <f t="shared" si="66"/>
        <v>0.91890120024742261</v>
      </c>
      <c r="C71" s="26">
        <f t="shared" si="67"/>
        <v>2.095994687874112</v>
      </c>
      <c r="D71" s="26">
        <f t="shared" si="68"/>
        <v>0.15535108784360108</v>
      </c>
      <c r="E71" s="26">
        <f t="shared" si="69"/>
        <v>0.39448774909221967</v>
      </c>
      <c r="F71" s="77">
        <f t="shared" si="70"/>
        <v>0.84526128397757516</v>
      </c>
      <c r="G71" s="77">
        <f t="shared" si="71"/>
        <v>0.709957634733686</v>
      </c>
      <c r="H71" s="75">
        <f t="shared" si="72"/>
        <v>0.14003358492961179</v>
      </c>
      <c r="I71" s="75">
        <f t="shared" si="73"/>
        <v>0.66000334397619942</v>
      </c>
      <c r="J71" s="77">
        <f t="shared" si="74"/>
        <v>-0.16388414428492629</v>
      </c>
      <c r="K71" s="77">
        <f t="shared" si="75"/>
        <v>-0.38174401418416737</v>
      </c>
      <c r="L71" s="91">
        <f t="shared" si="76"/>
        <v>0.41543532001196565</v>
      </c>
      <c r="M71" s="93"/>
      <c r="N71" s="75">
        <f t="shared" si="77"/>
        <v>0</v>
      </c>
      <c r="O71" s="75">
        <f t="shared" si="62"/>
        <v>6.8982381178439578E-4</v>
      </c>
      <c r="P71" s="75">
        <f t="shared" si="63"/>
        <v>0.4055103240406287</v>
      </c>
      <c r="Q71" s="165"/>
      <c r="R71" s="28"/>
      <c r="S71" s="28"/>
      <c r="T71" s="173">
        <f t="shared" si="78"/>
        <v>4.2113036600095993E-2</v>
      </c>
      <c r="U71" s="173">
        <f t="shared" si="78"/>
        <v>-0.30550889297573042</v>
      </c>
      <c r="AF71" s="176"/>
      <c r="AG71" s="176"/>
      <c r="AH71" s="176"/>
      <c r="AI71" s="176"/>
      <c r="AJ71" s="176"/>
      <c r="AK71" s="176"/>
      <c r="AL71" s="176"/>
      <c r="AM71" s="176"/>
      <c r="AN71" s="176"/>
      <c r="AR71" s="28"/>
      <c r="AS71" s="176"/>
      <c r="AT71" s="178"/>
      <c r="AU71" s="178"/>
      <c r="AV71" s="178"/>
      <c r="AW71" s="178"/>
      <c r="AX71" s="178"/>
      <c r="AY71" s="178"/>
      <c r="AZ71" s="176"/>
    </row>
    <row r="72" spans="1:52">
      <c r="A72" s="19">
        <f t="shared" si="65"/>
        <v>0.4055103240406287</v>
      </c>
      <c r="B72" s="26">
        <f t="shared" si="66"/>
        <v>0.91890120024742261</v>
      </c>
      <c r="C72" s="26">
        <f t="shared" si="67"/>
        <v>2.095994687874112</v>
      </c>
      <c r="D72" s="26">
        <f t="shared" si="68"/>
        <v>0.15535108784360108</v>
      </c>
      <c r="E72" s="26">
        <f t="shared" si="69"/>
        <v>0.39448774909221967</v>
      </c>
      <c r="F72" s="77">
        <f t="shared" si="70"/>
        <v>0.84526128397757516</v>
      </c>
      <c r="G72" s="77">
        <f t="shared" si="71"/>
        <v>0.709957634733686</v>
      </c>
      <c r="H72" s="75">
        <f t="shared" si="72"/>
        <v>0.14003358492961179</v>
      </c>
      <c r="I72" s="75">
        <f t="shared" si="73"/>
        <v>0.66000334397619942</v>
      </c>
      <c r="J72" s="77">
        <f t="shared" si="74"/>
        <v>-0.16388414428492629</v>
      </c>
      <c r="K72" s="77">
        <f t="shared" si="75"/>
        <v>-0.38174401418416737</v>
      </c>
      <c r="L72" s="91">
        <f t="shared" si="76"/>
        <v>0.41543532001196565</v>
      </c>
      <c r="M72" s="93"/>
      <c r="N72" s="75">
        <f t="shared" si="77"/>
        <v>0</v>
      </c>
      <c r="O72" s="75">
        <f t="shared" si="62"/>
        <v>6.8982381178439578E-4</v>
      </c>
      <c r="P72" s="75">
        <f t="shared" si="63"/>
        <v>0.4055103240406287</v>
      </c>
      <c r="Q72" s="165"/>
      <c r="R72" s="28"/>
      <c r="S72" s="28"/>
      <c r="T72" s="173">
        <f t="shared" si="78"/>
        <v>4.1613268971117855E-2</v>
      </c>
      <c r="U72" s="173">
        <f t="shared" si="78"/>
        <v>-0.32371800317823368</v>
      </c>
      <c r="AF72" s="176"/>
      <c r="AG72" s="176"/>
      <c r="AH72" s="176"/>
      <c r="AI72" s="176"/>
      <c r="AJ72" s="176"/>
      <c r="AK72" s="176"/>
      <c r="AL72" s="176"/>
      <c r="AM72" s="176"/>
      <c r="AN72" s="176"/>
      <c r="AR72" s="28"/>
      <c r="AS72" s="176"/>
      <c r="AT72" s="178"/>
      <c r="AU72" s="178"/>
      <c r="AV72" s="178"/>
      <c r="AW72" s="178"/>
      <c r="AX72" s="178"/>
      <c r="AY72" s="178"/>
      <c r="AZ72" s="176"/>
    </row>
    <row r="73" spans="1:52">
      <c r="A73" s="19">
        <f t="shared" si="65"/>
        <v>0.4055103240406287</v>
      </c>
      <c r="B73" s="26">
        <f t="shared" si="66"/>
        <v>0.91890120024742261</v>
      </c>
      <c r="C73" s="26">
        <f t="shared" si="67"/>
        <v>2.095994687874112</v>
      </c>
      <c r="D73" s="26">
        <f t="shared" si="68"/>
        <v>0.15535108784360108</v>
      </c>
      <c r="E73" s="26">
        <f t="shared" si="69"/>
        <v>0.39448774909221967</v>
      </c>
      <c r="F73" s="77">
        <f t="shared" si="70"/>
        <v>0.84526128397757516</v>
      </c>
      <c r="G73" s="77">
        <f t="shared" si="71"/>
        <v>0.709957634733686</v>
      </c>
      <c r="H73" s="81">
        <f t="shared" si="72"/>
        <v>0.14003358492961179</v>
      </c>
      <c r="I73" s="81">
        <f t="shared" si="73"/>
        <v>0.66000334397619942</v>
      </c>
      <c r="J73" s="80">
        <f t="shared" si="74"/>
        <v>-0.16388414428492629</v>
      </c>
      <c r="K73" s="80">
        <f t="shared" si="75"/>
        <v>-0.38174401418416737</v>
      </c>
      <c r="L73" s="91">
        <f t="shared" si="76"/>
        <v>0.41543532001196565</v>
      </c>
      <c r="M73" s="93"/>
      <c r="N73" s="75">
        <f t="shared" si="77"/>
        <v>0</v>
      </c>
      <c r="O73" s="75">
        <f t="shared" si="62"/>
        <v>6.8982381178439578E-4</v>
      </c>
      <c r="P73" s="75">
        <f t="shared" si="63"/>
        <v>0.4055103240406287</v>
      </c>
      <c r="Q73" s="165"/>
      <c r="R73" s="28"/>
      <c r="S73" s="28"/>
      <c r="T73" s="173">
        <f t="shared" si="78"/>
        <v>4.11066916211347E-2</v>
      </c>
      <c r="U73" s="173">
        <f t="shared" si="78"/>
        <v>-0.34236691448768364</v>
      </c>
      <c r="AF73" s="176"/>
      <c r="AG73" s="176"/>
      <c r="AH73" s="176"/>
      <c r="AI73" s="176"/>
      <c r="AJ73" s="176"/>
      <c r="AK73" s="176"/>
      <c r="AL73" s="176"/>
      <c r="AM73" s="176"/>
      <c r="AN73" s="176"/>
      <c r="AR73" s="28"/>
      <c r="AS73" s="176"/>
      <c r="AT73" s="178"/>
      <c r="AU73" s="178"/>
      <c r="AV73" s="178"/>
      <c r="AW73" s="178"/>
      <c r="AX73" s="178"/>
      <c r="AY73" s="178"/>
      <c r="AZ73" s="176"/>
    </row>
    <row r="74" spans="1:52">
      <c r="A74" s="88" t="s">
        <v>60</v>
      </c>
      <c r="B74" s="8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165"/>
      <c r="R74" s="28"/>
      <c r="S74" s="28"/>
      <c r="T74" s="173">
        <f t="shared" si="78"/>
        <v>4.0593139179201397E-2</v>
      </c>
      <c r="U74" s="173">
        <f t="shared" si="78"/>
        <v>-0.36147100669702348</v>
      </c>
      <c r="AF74" s="176"/>
      <c r="AG74" s="176"/>
      <c r="AH74" s="176"/>
      <c r="AI74" s="176"/>
      <c r="AJ74" s="176"/>
      <c r="AK74" s="176"/>
      <c r="AL74" s="176"/>
      <c r="AM74" s="176"/>
      <c r="AN74" s="176"/>
      <c r="AR74" s="28"/>
      <c r="AS74" s="176"/>
      <c r="AT74" s="178"/>
      <c r="AU74" s="178"/>
      <c r="AV74" s="178"/>
      <c r="AW74" s="178"/>
      <c r="AX74" s="178"/>
      <c r="AY74" s="178"/>
      <c r="AZ74" s="176"/>
    </row>
    <row r="75" spans="1:52">
      <c r="A75" s="26" t="s">
        <v>11</v>
      </c>
      <c r="B75" s="26" t="s">
        <v>13</v>
      </c>
      <c r="C75" s="26" t="s">
        <v>22</v>
      </c>
      <c r="D75" s="26" t="s">
        <v>18</v>
      </c>
      <c r="E75" s="26" t="s">
        <v>19</v>
      </c>
      <c r="F75" s="26" t="s">
        <v>20</v>
      </c>
      <c r="G75" s="26" t="s">
        <v>2</v>
      </c>
      <c r="H75" s="26" t="s">
        <v>1</v>
      </c>
      <c r="I75" s="26" t="s">
        <v>0</v>
      </c>
      <c r="J75" s="76" t="s">
        <v>3</v>
      </c>
      <c r="K75" s="76" t="s">
        <v>4</v>
      </c>
      <c r="L75" s="44" t="s">
        <v>7</v>
      </c>
      <c r="M75" s="28"/>
      <c r="N75" s="28"/>
      <c r="O75" s="28"/>
      <c r="P75" s="31"/>
      <c r="Q75" s="165"/>
      <c r="R75" s="28"/>
      <c r="S75" s="28"/>
      <c r="T75" s="160">
        <f>H346</f>
        <v>4.0409252640442248E-2</v>
      </c>
      <c r="U75" s="160">
        <f>I346</f>
        <v>-0.36836040959449434</v>
      </c>
      <c r="AF75" s="176"/>
      <c r="AG75" s="176"/>
      <c r="AH75" s="176"/>
      <c r="AI75" s="176"/>
      <c r="AJ75" s="176"/>
      <c r="AK75" s="176"/>
      <c r="AL75" s="176"/>
      <c r="AM75" s="176"/>
      <c r="AN75" s="176"/>
      <c r="AR75" s="28"/>
      <c r="AS75" s="176"/>
      <c r="AT75" s="178"/>
      <c r="AU75" s="178"/>
      <c r="AV75" s="178"/>
      <c r="AW75" s="178"/>
      <c r="AX75" s="178"/>
      <c r="AY75" s="178"/>
      <c r="AZ75" s="176"/>
    </row>
    <row r="76" spans="1:52">
      <c r="A76" s="19">
        <f>$E60</f>
        <v>0.90529740826602245</v>
      </c>
      <c r="B76" s="26">
        <f t="shared" ref="B76:B81" si="79">COS(A76)</f>
        <v>0.61745166327749623</v>
      </c>
      <c r="C76" s="26">
        <f t="shared" ref="C76:C81" si="80">($C$60+B76)</f>
        <v>1.7945451509041856</v>
      </c>
      <c r="D76" s="26">
        <f t="shared" ref="D76:D81" si="81">POWER(TAN(A76/2),$C$60)</f>
        <v>0.42804004724198624</v>
      </c>
      <c r="E76" s="26">
        <f t="shared" ref="E76:E81" si="82">SIN(A76)</f>
        <v>0.78660882496692941</v>
      </c>
      <c r="F76" s="77">
        <f t="shared" ref="F76:F81" si="83">(C76*$H$60*D76/E76/$I$60/$J$60)</f>
        <v>1</v>
      </c>
      <c r="G76" s="77">
        <f t="shared" ref="G76:G81" si="84">$D$60*($C$60+$G$60)/9.81/SIN($C$57)/(1-$C$60*$C$60)*(F76-1)</f>
        <v>0</v>
      </c>
      <c r="H76" s="130">
        <f t="shared" ref="H76:H81" si="85">-(-$H$57+$K$60*((POWER(TAN(A76/2),2*$C$60-1)/(2*$C$60-1))+(POWER(TAN(A76/2),2*$C$60+1)/(2*$C$60+1))-(POWER(TAN($E$60/2),2*$C$60-1)/(2*$C$60-1))-(POWER(TAN($E$60/2),2*$C$60+1)/(2*$C$60+1))))</f>
        <v>0.34699188404782344</v>
      </c>
      <c r="I76" s="130">
        <f t="shared" ref="I76:I81" si="86">-(-$I$57+0.5*$K$60*((POWER(TAN(A76/2),2*$C$60-2)/(2*$C$60-2))-(POWER(TAN(A76/2),2*$C$60+2)/(2*$C$60+2))-(POWER(TAN($E$60/2),2*$C$60-2)/(2*$C$60-2))+(POWER(TAN($E$60/2),2*$C$60+2)/(2*$C$60+2))))</f>
        <v>0.93001918678854079</v>
      </c>
      <c r="J76" s="77">
        <f t="shared" ref="J76:J81" si="87">-$D$60*SIN(A76)*($C$60+$G$60)/($C$60+B76)*F76</f>
        <v>-0.45155124328807056</v>
      </c>
      <c r="K76" s="77">
        <f t="shared" ref="K76:K81" si="88">-$D$60*COS(A76)*($C$60+$G$60)/($C$60+B76)*F76</f>
        <v>-0.3544469085189354</v>
      </c>
      <c r="L76" s="91">
        <f t="shared" ref="L76:L81" si="89">SQRT(J76*J76+K76*K76)</f>
        <v>0.57404802610376848</v>
      </c>
      <c r="M76" s="28"/>
      <c r="N76" s="28"/>
      <c r="O76" s="28"/>
      <c r="P76" s="31"/>
      <c r="Q76" s="165"/>
      <c r="R76" s="28"/>
      <c r="S76" s="28"/>
      <c r="T76" s="160">
        <f t="shared" ref="T76:U80" si="90">H347</f>
        <v>3.9835967398041905E-2</v>
      </c>
      <c r="U76" s="160">
        <f t="shared" si="90"/>
        <v>-0.38997057859341527</v>
      </c>
      <c r="AF76" s="176"/>
      <c r="AG76" s="176"/>
      <c r="AH76" s="176"/>
      <c r="AI76" s="176"/>
      <c r="AJ76" s="176"/>
      <c r="AK76" s="176"/>
      <c r="AL76" s="176"/>
      <c r="AM76" s="176"/>
      <c r="AN76" s="176"/>
      <c r="AR76" s="28"/>
      <c r="AS76" s="176"/>
      <c r="AT76" s="178"/>
      <c r="AU76" s="178"/>
      <c r="AV76" s="178"/>
      <c r="AW76" s="178"/>
      <c r="AX76" s="178"/>
      <c r="AY76" s="178"/>
      <c r="AZ76" s="176"/>
    </row>
    <row r="77" spans="1:52">
      <c r="A77" s="20">
        <f>A76-$F$60</f>
        <v>0.80535999142094372</v>
      </c>
      <c r="B77" s="26">
        <f t="shared" si="79"/>
        <v>0.69285169726854912</v>
      </c>
      <c r="C77" s="26">
        <f t="shared" si="80"/>
        <v>1.8699451848952386</v>
      </c>
      <c r="D77" s="26">
        <f t="shared" si="81"/>
        <v>0.3662077139386512</v>
      </c>
      <c r="E77" s="26">
        <f t="shared" si="82"/>
        <v>0.72108011038447795</v>
      </c>
      <c r="F77" s="77">
        <f t="shared" si="83"/>
        <v>0.97250729785729206</v>
      </c>
      <c r="G77" s="77">
        <f t="shared" si="84"/>
        <v>0.12613943224684643</v>
      </c>
      <c r="H77" s="130">
        <f t="shared" si="85"/>
        <v>0.29420701444789832</v>
      </c>
      <c r="I77" s="130">
        <f t="shared" si="86"/>
        <v>0.88418433822909559</v>
      </c>
      <c r="J77" s="77">
        <f t="shared" si="87"/>
        <v>-0.38632261069066565</v>
      </c>
      <c r="K77" s="77">
        <f t="shared" si="88"/>
        <v>-0.37119908406227814</v>
      </c>
      <c r="L77" s="91">
        <f t="shared" si="89"/>
        <v>0.53575546617792513</v>
      </c>
      <c r="M77" s="28"/>
      <c r="N77" s="28"/>
      <c r="O77" s="28"/>
      <c r="P77" s="31"/>
      <c r="Q77" s="165"/>
      <c r="R77" s="28"/>
      <c r="S77" s="28"/>
      <c r="T77" s="160">
        <f t="shared" si="90"/>
        <v>3.9257581628225874E-2</v>
      </c>
      <c r="U77" s="160">
        <f t="shared" si="90"/>
        <v>-0.41195940210728932</v>
      </c>
      <c r="AF77" s="176"/>
      <c r="AG77" s="176"/>
      <c r="AH77" s="176"/>
      <c r="AI77" s="176"/>
      <c r="AJ77" s="176"/>
      <c r="AK77" s="176"/>
      <c r="AL77" s="176"/>
      <c r="AM77" s="176"/>
      <c r="AN77" s="176"/>
      <c r="AR77" s="28"/>
      <c r="AS77" s="176"/>
      <c r="AT77" s="178"/>
      <c r="AU77" s="178"/>
      <c r="AV77" s="178"/>
      <c r="AW77" s="178"/>
      <c r="AX77" s="178"/>
      <c r="AY77" s="178"/>
      <c r="AZ77" s="176"/>
    </row>
    <row r="78" spans="1:52">
      <c r="A78" s="20">
        <f>A77-$F$60</f>
        <v>0.70542257457586499</v>
      </c>
      <c r="B78" s="26">
        <f t="shared" si="79"/>
        <v>0.76133764114934033</v>
      </c>
      <c r="C78" s="26">
        <f t="shared" si="80"/>
        <v>1.9384311287760299</v>
      </c>
      <c r="D78" s="26">
        <f t="shared" si="81"/>
        <v>0.30839468591325503</v>
      </c>
      <c r="E78" s="26">
        <f t="shared" si="82"/>
        <v>0.64835560934502479</v>
      </c>
      <c r="F78" s="77">
        <f t="shared" si="83"/>
        <v>0.9442000306942141</v>
      </c>
      <c r="G78" s="77">
        <f t="shared" si="84"/>
        <v>0.25601617516851383</v>
      </c>
      <c r="H78" s="130">
        <f t="shared" si="85"/>
        <v>0.24806331417752608</v>
      </c>
      <c r="I78" s="130">
        <f t="shared" si="86"/>
        <v>0.83520508114734771</v>
      </c>
      <c r="J78" s="77">
        <f t="shared" si="87"/>
        <v>-0.32533405400929222</v>
      </c>
      <c r="K78" s="77">
        <f t="shared" si="88"/>
        <v>-0.38202655717778783</v>
      </c>
      <c r="L78" s="91">
        <f t="shared" si="89"/>
        <v>0.50178335672602237</v>
      </c>
      <c r="M78" s="45"/>
      <c r="N78" s="28"/>
      <c r="O78" s="28"/>
      <c r="P78" s="31"/>
      <c r="Q78" s="165"/>
      <c r="R78" s="28"/>
      <c r="S78" s="28"/>
      <c r="T78" s="160">
        <f t="shared" si="90"/>
        <v>3.8674005544130724E-2</v>
      </c>
      <c r="U78" s="160">
        <f t="shared" si="90"/>
        <v>-0.43433685085083756</v>
      </c>
      <c r="AF78" s="176"/>
      <c r="AG78" s="176"/>
      <c r="AH78" s="176"/>
      <c r="AI78" s="176"/>
      <c r="AJ78" s="176"/>
      <c r="AK78" s="176"/>
      <c r="AL78" s="176"/>
      <c r="AM78" s="176"/>
      <c r="AN78" s="176"/>
      <c r="AR78" s="28"/>
      <c r="AS78" s="176"/>
      <c r="AT78" s="178"/>
      <c r="AU78" s="178"/>
      <c r="AV78" s="178"/>
      <c r="AW78" s="178"/>
      <c r="AX78" s="178"/>
      <c r="AY78" s="178"/>
      <c r="AZ78" s="176"/>
    </row>
    <row r="79" spans="1:52">
      <c r="A79" s="20">
        <f>A78-$F$60</f>
        <v>0.60548515773078626</v>
      </c>
      <c r="B79" s="26">
        <f t="shared" si="79"/>
        <v>0.82222606152547273</v>
      </c>
      <c r="C79" s="26">
        <f t="shared" si="80"/>
        <v>1.9993195491521623</v>
      </c>
      <c r="D79" s="26">
        <f t="shared" si="81"/>
        <v>0.25417667928417964</v>
      </c>
      <c r="E79" s="26">
        <f t="shared" si="82"/>
        <v>0.56916105255745453</v>
      </c>
      <c r="F79" s="77">
        <f t="shared" si="83"/>
        <v>0.91432956211890615</v>
      </c>
      <c r="G79" s="77">
        <f t="shared" si="84"/>
        <v>0.39306505190237034</v>
      </c>
      <c r="H79" s="130">
        <f t="shared" si="85"/>
        <v>0.207481010014613</v>
      </c>
      <c r="I79" s="130">
        <f t="shared" si="86"/>
        <v>0.78241798923557515</v>
      </c>
      <c r="J79" s="77">
        <f t="shared" si="87"/>
        <v>-0.26813798448330417</v>
      </c>
      <c r="K79" s="77">
        <f t="shared" si="88"/>
        <v>-0.387359672515241</v>
      </c>
      <c r="L79" s="91">
        <f t="shared" si="89"/>
        <v>0.47111091540515532</v>
      </c>
      <c r="M79" s="45"/>
      <c r="N79" s="28"/>
      <c r="O79" s="28"/>
      <c r="P79" s="31"/>
      <c r="Q79" s="165"/>
      <c r="R79" s="28"/>
      <c r="S79" s="28"/>
      <c r="T79" s="160">
        <f t="shared" si="90"/>
        <v>3.8085146984282524E-2</v>
      </c>
      <c r="U79" s="160">
        <f t="shared" si="90"/>
        <v>-0.45711324745300796</v>
      </c>
      <c r="AF79" s="176"/>
      <c r="AG79" s="176"/>
      <c r="AH79" s="176"/>
      <c r="AI79" s="176"/>
      <c r="AJ79" s="176"/>
      <c r="AK79" s="176"/>
      <c r="AL79" s="176"/>
      <c r="AM79" s="176"/>
      <c r="AN79" s="176"/>
      <c r="AR79" s="28"/>
      <c r="AS79" s="176"/>
      <c r="AT79" s="178"/>
      <c r="AU79" s="178"/>
      <c r="AV79" s="178"/>
      <c r="AW79" s="178"/>
      <c r="AX79" s="178"/>
      <c r="AY79" s="178"/>
      <c r="AZ79" s="176"/>
    </row>
    <row r="80" spans="1:52">
      <c r="A80" s="20">
        <f>A79-$F$60</f>
        <v>0.50554774088570753</v>
      </c>
      <c r="B80" s="26">
        <f t="shared" si="79"/>
        <v>0.87490934203862358</v>
      </c>
      <c r="C80" s="26">
        <f t="shared" si="80"/>
        <v>2.0520028296653132</v>
      </c>
      <c r="D80" s="26">
        <f t="shared" si="81"/>
        <v>0.20324178011452687</v>
      </c>
      <c r="E80" s="26">
        <f t="shared" si="82"/>
        <v>0.4842867365657898</v>
      </c>
      <c r="F80" s="77">
        <f t="shared" si="83"/>
        <v>0.88187776322162603</v>
      </c>
      <c r="G80" s="77">
        <f t="shared" si="84"/>
        <v>0.5419573458298147</v>
      </c>
      <c r="H80" s="130">
        <f t="shared" si="85"/>
        <v>0.1716650808193588</v>
      </c>
      <c r="I80" s="130">
        <f t="shared" si="86"/>
        <v>0.72467764104559884</v>
      </c>
      <c r="J80" s="77">
        <f t="shared" si="87"/>
        <v>-0.21440535550383241</v>
      </c>
      <c r="K80" s="77">
        <f t="shared" si="88"/>
        <v>-0.38734335332748043</v>
      </c>
      <c r="L80" s="91">
        <f t="shared" si="89"/>
        <v>0.44272398832195903</v>
      </c>
      <c r="M80" s="45"/>
      <c r="N80" s="28"/>
      <c r="O80" s="28"/>
      <c r="P80" s="89"/>
      <c r="Q80" s="165"/>
      <c r="R80" s="28"/>
      <c r="S80" s="28"/>
      <c r="T80" s="160">
        <f t="shared" si="90"/>
        <v>3.7490911328412126E-2</v>
      </c>
      <c r="U80" s="160">
        <f t="shared" si="90"/>
        <v>-0.48029928208743156</v>
      </c>
      <c r="AF80" s="176"/>
      <c r="AG80" s="176"/>
      <c r="AH80" s="176"/>
      <c r="AI80" s="176"/>
      <c r="AJ80" s="176"/>
      <c r="AK80" s="176"/>
      <c r="AL80" s="176"/>
      <c r="AM80" s="176"/>
      <c r="AN80" s="176"/>
      <c r="AR80" s="28"/>
      <c r="AS80" s="176"/>
      <c r="AT80" s="178"/>
      <c r="AU80" s="178"/>
      <c r="AV80" s="178"/>
      <c r="AW80" s="178"/>
      <c r="AX80" s="178"/>
      <c r="AY80" s="178"/>
      <c r="AZ80" s="176"/>
    </row>
    <row r="81" spans="1:52">
      <c r="A81" s="20">
        <f>A80-$F$60</f>
        <v>0.4056103240406288</v>
      </c>
      <c r="B81" s="26">
        <f t="shared" si="79"/>
        <v>0.91886174687807309</v>
      </c>
      <c r="C81" s="26">
        <f t="shared" si="80"/>
        <v>2.0959552345047623</v>
      </c>
      <c r="D81" s="26">
        <f t="shared" si="81"/>
        <v>0.15539744384283632</v>
      </c>
      <c r="E81" s="26">
        <f t="shared" si="82"/>
        <v>0.39457963723965261</v>
      </c>
      <c r="F81" s="77">
        <f t="shared" si="83"/>
        <v>0.84530069435411692</v>
      </c>
      <c r="G81" s="77">
        <f t="shared" si="84"/>
        <v>0.70977681574776719</v>
      </c>
      <c r="H81" s="130">
        <f t="shared" si="85"/>
        <v>0.14006322271544297</v>
      </c>
      <c r="I81" s="130">
        <f t="shared" si="86"/>
        <v>0.66007237131873908</v>
      </c>
      <c r="J81" s="77">
        <f t="shared" si="87"/>
        <v>-0.1639330465061633</v>
      </c>
      <c r="K81" s="77">
        <f t="shared" si="88"/>
        <v>-0.38175260775611086</v>
      </c>
      <c r="L81" s="91">
        <f t="shared" si="89"/>
        <v>0.41546251006003287</v>
      </c>
      <c r="M81" s="45"/>
      <c r="N81" s="28"/>
      <c r="O81" s="28"/>
      <c r="P81" s="28"/>
      <c r="Q81" s="165"/>
      <c r="R81" s="28"/>
      <c r="S81" s="28"/>
      <c r="T81" s="167">
        <f>H373</f>
        <v>3.7224710909028493E-2</v>
      </c>
      <c r="U81" s="167">
        <f>I373</f>
        <v>-0.49075210650337087</v>
      </c>
      <c r="AF81" s="176"/>
      <c r="AG81" s="176"/>
      <c r="AH81" s="176"/>
      <c r="AI81" s="176"/>
      <c r="AJ81" s="176"/>
      <c r="AK81" s="176"/>
      <c r="AL81" s="176"/>
      <c r="AM81" s="176"/>
      <c r="AN81" s="176"/>
      <c r="AR81" s="28"/>
      <c r="AS81" s="176"/>
      <c r="AT81" s="178"/>
      <c r="AU81" s="178"/>
      <c r="AV81" s="178"/>
      <c r="AW81" s="178"/>
      <c r="AX81" s="178"/>
      <c r="AY81" s="178"/>
      <c r="AZ81" s="176"/>
    </row>
    <row r="82" spans="1:52">
      <c r="A82" s="142"/>
      <c r="B82" s="142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R82" s="28"/>
      <c r="S82" s="28"/>
      <c r="T82" s="167">
        <f t="shared" ref="T82:U86" si="91">H374</f>
        <v>3.6469747795563043E-2</v>
      </c>
      <c r="U82" s="167">
        <f t="shared" si="91"/>
        <v>-0.52056782654868639</v>
      </c>
      <c r="AF82" s="176"/>
      <c r="AG82" s="176"/>
      <c r="AH82" s="176"/>
      <c r="AI82" s="176"/>
      <c r="AJ82" s="176"/>
      <c r="AK82" s="176"/>
      <c r="AL82" s="176"/>
      <c r="AM82" s="176"/>
      <c r="AN82" s="176"/>
      <c r="AR82" s="28"/>
      <c r="AS82" s="176"/>
      <c r="AT82" s="178"/>
      <c r="AU82" s="178"/>
      <c r="AV82" s="178"/>
      <c r="AW82" s="178"/>
      <c r="AX82" s="178"/>
      <c r="AY82" s="178"/>
      <c r="AZ82" s="176"/>
    </row>
    <row r="83" spans="1:52">
      <c r="A83" s="88" t="s">
        <v>73</v>
      </c>
      <c r="B83" s="88"/>
      <c r="C83" s="23" t="str">
        <f>CONCATENATE("m",Stufengrün!AH53)</f>
        <v>m5</v>
      </c>
      <c r="D83" s="23" t="s">
        <v>30</v>
      </c>
      <c r="E83" s="28"/>
      <c r="F83" s="28"/>
      <c r="G83" s="28"/>
      <c r="H83" s="36" t="s">
        <v>57</v>
      </c>
      <c r="I83" s="36" t="s">
        <v>51</v>
      </c>
      <c r="J83" s="36" t="s">
        <v>58</v>
      </c>
      <c r="K83" s="36" t="s">
        <v>59</v>
      </c>
      <c r="L83" s="28"/>
      <c r="M83" s="28"/>
      <c r="N83" s="28"/>
      <c r="O83" s="28"/>
      <c r="P83" s="28"/>
      <c r="R83" s="28"/>
      <c r="S83" s="28"/>
      <c r="T83" s="167">
        <f t="shared" si="91"/>
        <v>3.5711476672555323E-2</v>
      </c>
      <c r="U83" s="167">
        <f t="shared" si="91"/>
        <v>-0.55074230159125015</v>
      </c>
      <c r="AF83" s="176"/>
      <c r="AG83" s="176"/>
      <c r="AH83" s="176"/>
      <c r="AI83" s="176"/>
      <c r="AJ83" s="176"/>
      <c r="AK83" s="176"/>
      <c r="AL83" s="176"/>
      <c r="AM83" s="176"/>
      <c r="AN83" s="176"/>
      <c r="AR83" s="28"/>
      <c r="AS83" s="176"/>
      <c r="AT83" s="178"/>
      <c r="AU83" s="178"/>
      <c r="AV83" s="178"/>
      <c r="AW83" s="178"/>
      <c r="AX83" s="178"/>
      <c r="AY83" s="178"/>
      <c r="AZ83" s="176"/>
    </row>
    <row r="84" spans="1:52">
      <c r="A84" s="88" t="s">
        <v>69</v>
      </c>
      <c r="B84" s="88"/>
      <c r="C84" s="36">
        <f>Stufengrün!AI53</f>
        <v>9.8066350509976558E-2</v>
      </c>
      <c r="D84" s="26">
        <f>Stufengrün!AK52</f>
        <v>0.49075210650337253</v>
      </c>
      <c r="E84" s="28"/>
      <c r="F84" s="28"/>
      <c r="G84" s="28"/>
      <c r="H84" s="78">
        <f>H73</f>
        <v>0.14003358492961179</v>
      </c>
      <c r="I84" s="78">
        <f>I73</f>
        <v>0.66000334397619942</v>
      </c>
      <c r="J84" s="78">
        <f>J73</f>
        <v>-0.16388414428492629</v>
      </c>
      <c r="K84" s="78">
        <f>K73</f>
        <v>-0.38174401418416737</v>
      </c>
      <c r="L84" s="28"/>
      <c r="M84" s="28"/>
      <c r="N84" s="28"/>
      <c r="O84" s="28"/>
      <c r="P84" s="28"/>
      <c r="R84" s="28"/>
      <c r="S84" s="28"/>
      <c r="T84" s="167">
        <f t="shared" si="91"/>
        <v>3.4949857543959101E-2</v>
      </c>
      <c r="U84" s="167">
        <f t="shared" si="91"/>
        <v>-0.58128264069261748</v>
      </c>
      <c r="AF84" s="176"/>
      <c r="AG84" s="176"/>
      <c r="AH84" s="176"/>
      <c r="AI84" s="176"/>
      <c r="AJ84" s="176"/>
      <c r="AK84" s="176"/>
      <c r="AL84" s="176"/>
      <c r="AM84" s="176"/>
      <c r="AN84" s="176"/>
      <c r="AR84" s="28"/>
      <c r="AS84" s="176"/>
      <c r="AT84" s="178"/>
      <c r="AU84" s="178"/>
      <c r="AV84" s="178"/>
      <c r="AW84" s="178"/>
      <c r="AX84" s="178"/>
      <c r="AY84" s="178"/>
      <c r="AZ84" s="176"/>
    </row>
    <row r="85" spans="1:52">
      <c r="A85" s="95"/>
      <c r="B85" s="95"/>
      <c r="C85" s="28"/>
      <c r="D85" s="28"/>
      <c r="E85" s="28"/>
      <c r="F85" s="28"/>
      <c r="G85" s="28"/>
      <c r="H85" s="37" t="s">
        <v>8</v>
      </c>
      <c r="I85" s="37" t="s">
        <v>8</v>
      </c>
      <c r="J85" s="37" t="s">
        <v>9</v>
      </c>
      <c r="K85" s="37" t="s">
        <v>9</v>
      </c>
      <c r="L85" s="28"/>
      <c r="M85" s="28"/>
      <c r="N85" s="28"/>
      <c r="O85" s="28"/>
      <c r="P85" s="28"/>
      <c r="R85" s="28"/>
      <c r="S85" s="28"/>
      <c r="T85" s="167">
        <f t="shared" si="91"/>
        <v>3.418484961822621E-2</v>
      </c>
      <c r="U85" s="167">
        <f t="shared" si="91"/>
        <v>-0.61219614996592053</v>
      </c>
      <c r="AF85" s="176"/>
      <c r="AG85" s="176"/>
      <c r="AH85" s="176"/>
      <c r="AI85" s="176"/>
      <c r="AJ85" s="176"/>
      <c r="AK85" s="176"/>
      <c r="AL85" s="176"/>
      <c r="AM85" s="176"/>
      <c r="AN85" s="176"/>
      <c r="AR85" s="28"/>
      <c r="AS85" s="176"/>
      <c r="AT85" s="178"/>
      <c r="AU85" s="178"/>
      <c r="AV85" s="178"/>
      <c r="AW85" s="178"/>
      <c r="AX85" s="178"/>
      <c r="AY85" s="178"/>
      <c r="AZ85" s="176"/>
    </row>
    <row r="86" spans="1:52">
      <c r="A86" s="88" t="s">
        <v>68</v>
      </c>
      <c r="B86" s="88"/>
      <c r="C86" s="115" t="s">
        <v>15</v>
      </c>
      <c r="D86" s="115" t="s">
        <v>55</v>
      </c>
      <c r="E86" s="115" t="s">
        <v>12</v>
      </c>
      <c r="F86" s="115" t="s">
        <v>10</v>
      </c>
      <c r="G86" s="115" t="s">
        <v>14</v>
      </c>
      <c r="H86" s="115" t="s">
        <v>21</v>
      </c>
      <c r="I86" s="115" t="s">
        <v>16</v>
      </c>
      <c r="J86" s="115" t="s">
        <v>17</v>
      </c>
      <c r="K86" s="115" t="s">
        <v>23</v>
      </c>
      <c r="L86" s="28"/>
      <c r="M86" s="28"/>
      <c r="N86" s="28"/>
      <c r="O86" s="28"/>
      <c r="P86" s="28"/>
      <c r="R86" s="28"/>
      <c r="S86" s="28"/>
      <c r="T86" s="167">
        <f t="shared" si="91"/>
        <v>3.341641128617083E-2</v>
      </c>
      <c r="U86" s="167">
        <f t="shared" si="91"/>
        <v>-0.64349033961939872</v>
      </c>
      <c r="AF86" s="176"/>
      <c r="AG86" s="176"/>
      <c r="AH86" s="176"/>
      <c r="AI86" s="176"/>
      <c r="AJ86" s="176"/>
      <c r="AK86" s="176"/>
      <c r="AL86" s="176"/>
      <c r="AM86" s="176"/>
      <c r="AN86" s="176"/>
      <c r="AR86" s="28"/>
      <c r="AS86" s="176"/>
      <c r="AT86" s="178"/>
      <c r="AU86" s="178"/>
      <c r="AV86" s="178"/>
      <c r="AW86" s="178"/>
      <c r="AX86" s="178"/>
      <c r="AY86" s="178"/>
      <c r="AZ86" s="176"/>
    </row>
    <row r="87" spans="1:52">
      <c r="A87" s="28"/>
      <c r="B87" s="28"/>
      <c r="C87" s="23">
        <f>Mü/TAN($C84)</f>
        <v>0.71151275394402314</v>
      </c>
      <c r="D87" s="42">
        <f>SQRT($J84*$J84+$K84*$K84)</f>
        <v>0.41543532001196565</v>
      </c>
      <c r="E87" s="20">
        <f>ATAN($J84/$K84)</f>
        <v>0.4055103240406287</v>
      </c>
      <c r="F87" s="23">
        <f>($E87-A100-0.0001)/5</f>
        <v>4.4399959862394492E-2</v>
      </c>
      <c r="G87" s="23">
        <f>COS($E87)</f>
        <v>0.91890120024742261</v>
      </c>
      <c r="H87" s="23">
        <f>SIN($E87)</f>
        <v>0.39448774909221967</v>
      </c>
      <c r="I87" s="23">
        <f>$C87+$G87</f>
        <v>1.6304139541914457</v>
      </c>
      <c r="J87" s="23">
        <f>POWER(TAN($E87/2),$C87)</f>
        <v>0.32447194530143991</v>
      </c>
      <c r="K87" s="23">
        <f>-$D87*$D87*SIN($E87)*SIN($E87)/(2*9.81*SIN($C84)*POWER(TAN($E87/2),2*$C87))</f>
        <v>-0.13279963446231097</v>
      </c>
      <c r="L87" s="28"/>
      <c r="M87" s="28"/>
      <c r="N87" s="28"/>
      <c r="O87" s="28"/>
      <c r="P87" s="28"/>
      <c r="R87" s="28"/>
      <c r="S87" s="28"/>
      <c r="T87" s="166">
        <f>H400</f>
        <v>3.3013333642520674E-2</v>
      </c>
      <c r="U87" s="166">
        <f>I400</f>
        <v>-0.66000334397619964</v>
      </c>
      <c r="AF87" s="176"/>
      <c r="AG87" s="176"/>
      <c r="AH87" s="176"/>
      <c r="AI87" s="176"/>
      <c r="AJ87" s="176"/>
      <c r="AK87" s="176"/>
      <c r="AL87" s="176"/>
      <c r="AM87" s="176"/>
      <c r="AN87" s="176"/>
      <c r="AR87" s="28"/>
      <c r="AS87" s="176"/>
      <c r="AT87" s="178"/>
      <c r="AU87" s="178"/>
      <c r="AV87" s="178"/>
      <c r="AW87" s="178"/>
      <c r="AX87" s="178"/>
      <c r="AY87" s="178"/>
      <c r="AZ87" s="176"/>
    </row>
    <row r="88" spans="1:52">
      <c r="A88" s="88" t="s">
        <v>70</v>
      </c>
      <c r="B88" s="8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45"/>
      <c r="N88" s="28"/>
      <c r="O88" s="28"/>
      <c r="P88" s="28"/>
      <c r="R88" s="28"/>
      <c r="S88" s="28"/>
      <c r="T88" s="166">
        <f t="shared" ref="T88:U92" si="92">H401</f>
        <v>3.1849598659959587E-2</v>
      </c>
      <c r="U88" s="166">
        <f t="shared" si="92"/>
        <v>-0.70794875889665021</v>
      </c>
      <c r="AF88" s="176"/>
      <c r="AG88" s="176"/>
      <c r="AH88" s="176"/>
      <c r="AI88" s="176"/>
      <c r="AJ88" s="176"/>
      <c r="AK88" s="176"/>
      <c r="AL88" s="176"/>
      <c r="AM88" s="176"/>
      <c r="AN88" s="176"/>
      <c r="AR88" s="28"/>
      <c r="AS88" s="176"/>
      <c r="AT88" s="178"/>
      <c r="AU88" s="178"/>
      <c r="AV88" s="178"/>
      <c r="AW88" s="178"/>
      <c r="AX88" s="178"/>
      <c r="AY88" s="178"/>
      <c r="AZ88" s="176"/>
    </row>
    <row r="89" spans="1:52">
      <c r="A89" s="115" t="s">
        <v>11</v>
      </c>
      <c r="B89" s="115" t="s">
        <v>13</v>
      </c>
      <c r="C89" s="26" t="s">
        <v>22</v>
      </c>
      <c r="D89" s="26" t="s">
        <v>18</v>
      </c>
      <c r="E89" s="115" t="s">
        <v>19</v>
      </c>
      <c r="F89" s="26" t="s">
        <v>20</v>
      </c>
      <c r="G89" s="26" t="s">
        <v>2</v>
      </c>
      <c r="H89" s="26" t="s">
        <v>65</v>
      </c>
      <c r="I89" s="26" t="s">
        <v>66</v>
      </c>
      <c r="J89" s="76" t="s">
        <v>3</v>
      </c>
      <c r="K89" s="76" t="s">
        <v>4</v>
      </c>
      <c r="L89" s="116" t="s">
        <v>7</v>
      </c>
      <c r="M89" s="93"/>
      <c r="N89" s="26" t="s">
        <v>61</v>
      </c>
      <c r="O89" s="26" t="s">
        <v>62</v>
      </c>
      <c r="P89" s="115" t="s">
        <v>63</v>
      </c>
      <c r="R89" s="28"/>
      <c r="S89" s="28"/>
      <c r="T89" s="166">
        <f t="shared" si="92"/>
        <v>3.0688849342890349E-2</v>
      </c>
      <c r="U89" s="166">
        <f t="shared" si="92"/>
        <v>-0.75611880524229069</v>
      </c>
      <c r="AF89" s="176"/>
      <c r="AG89" s="176"/>
      <c r="AH89" s="176"/>
      <c r="AI89" s="176"/>
      <c r="AJ89" s="176"/>
      <c r="AK89" s="176"/>
      <c r="AL89" s="176"/>
      <c r="AM89" s="176"/>
      <c r="AN89" s="176"/>
      <c r="AR89" s="28"/>
      <c r="AS89" s="176"/>
      <c r="AT89" s="178"/>
      <c r="AU89" s="178"/>
      <c r="AV89" s="178"/>
      <c r="AW89" s="178"/>
      <c r="AX89" s="178"/>
      <c r="AY89" s="178"/>
      <c r="AZ89" s="176"/>
    </row>
    <row r="90" spans="1:52">
      <c r="A90" s="19">
        <f>$E87</f>
        <v>0.4055103240406287</v>
      </c>
      <c r="B90" s="26">
        <f>COS(A90)</f>
        <v>0.91890120024742261</v>
      </c>
      <c r="C90" s="26">
        <f>($C$87+B90)</f>
        <v>1.6304139541914457</v>
      </c>
      <c r="D90" s="26">
        <f>POWER(TAN(A90/2),$C$87)</f>
        <v>0.32447194530143991</v>
      </c>
      <c r="E90" s="26">
        <f>SIN(A90)</f>
        <v>0.39448774909221967</v>
      </c>
      <c r="F90" s="77">
        <f>(C90*$H$87*D90/E90/$I$87/$J$87)</f>
        <v>1</v>
      </c>
      <c r="G90" s="77">
        <f>$D$87*($C$87+$G$87)/9.81/SIN($C$84)/(1-$C$87*$C$84)*(F90-1)</f>
        <v>0</v>
      </c>
      <c r="H90" s="75">
        <f>-(-$H$84+$K$87*((POWER(TAN(A90/2),2*$C$87-1)/(2*$C$87-1))+(POWER(TAN(A90/2),2*$C$87+1)/(2*$C$87+1))-(POWER(TAN($E$87/2),2*$C$87-1)/(2*$C$87-1))-(POWER(TAN($E$87/2),2*$C$87+1)/(2*$C$87+1))))</f>
        <v>0.14003358492961179</v>
      </c>
      <c r="I90" s="75">
        <f>-(-$I$84+0.5*$K$87*((POWER(TAN(A90/2),2*$C$87-2)/(2*$C$87-2))-(POWER(TAN(A90/2),2*$C$87+2)/(2*$C$87+2))-(POWER(TAN($E$87/2),2*$C$87-2)/(2*$C$87-2))+(POWER(TAN($E$87/2),2*$C$87+2)/(2*$C$87+2))))</f>
        <v>0.66000334397619942</v>
      </c>
      <c r="J90" s="77">
        <f>-$D$87*SIN(A90)*($C$87+$G$87)/($C$87+B90)*F90</f>
        <v>-0.16388414428492629</v>
      </c>
      <c r="K90" s="77">
        <f>-$D$87*COS(A90)*($C$87+$G$87)/($C$87+B90)*F90</f>
        <v>-0.38174401418416731</v>
      </c>
      <c r="L90" s="91">
        <f>SQRT(J90*J90+K90*K90)</f>
        <v>0.41543532001196565</v>
      </c>
      <c r="M90" s="93"/>
      <c r="N90" s="75">
        <f>-(-$I$84+0.5*$K$87*((POWER(TAN(A90/2),2*$C$87-2)/(2*$C$87-2))-(POWER(TAN(A90/2),2*$C$87+2)/(2*$C$87+2))-(POWER(TAN($E$87/2),2*$C$87-2)/(2*$C$87-2))+(POWER(TAN($E$87/2),2*$C$87+2)/(2*$C$87+2))))-$D$84</f>
        <v>0.16925123747282689</v>
      </c>
      <c r="O90" s="75">
        <f>-(-$I$84+0.5*$K$87*((POWER(TAN((A90+$M$9)/2),2*$C$87-2)/(2*$C$87-2))-(POWER(TAN((A90+$M$9)/2),2*$C$87+2)/(2*$C$87+2))-(POWER(TAN($E$87/2),2*$C$87-2)/(2*$C$87-2))+(POWER(TAN($E$87/2),2*$C$87+2)/(2*$C$87+2))))-$D$84</f>
        <v>0.16966899381283096</v>
      </c>
      <c r="P90" s="75">
        <f>A90-N90/(O90-N90)*$M$9</f>
        <v>3.6689169636500152E-4</v>
      </c>
      <c r="R90" s="174"/>
      <c r="S90" s="28"/>
      <c r="T90" s="166">
        <f t="shared" si="92"/>
        <v>2.9531099646710718E-2</v>
      </c>
      <c r="U90" s="166">
        <f t="shared" si="92"/>
        <v>-0.80451618644133804</v>
      </c>
      <c r="AF90" s="176"/>
      <c r="AG90" s="176"/>
      <c r="AH90" s="176"/>
      <c r="AI90" s="176"/>
      <c r="AJ90" s="176"/>
      <c r="AK90" s="176"/>
      <c r="AL90" s="176"/>
      <c r="AM90" s="176"/>
      <c r="AN90" s="176"/>
      <c r="AR90" s="28"/>
      <c r="AS90" s="176"/>
      <c r="AT90" s="178"/>
      <c r="AU90" s="178"/>
      <c r="AV90" s="178"/>
      <c r="AW90" s="178"/>
      <c r="AX90" s="178"/>
      <c r="AY90" s="178"/>
      <c r="AZ90" s="176"/>
    </row>
    <row r="91" spans="1:52">
      <c r="A91" s="19">
        <f>$P90</f>
        <v>3.6689169636500152E-4</v>
      </c>
      <c r="B91" s="26">
        <f>COS(A91)</f>
        <v>0.99999993269524234</v>
      </c>
      <c r="C91" s="26">
        <f>($C$87+B91)</f>
        <v>1.7115126866392654</v>
      </c>
      <c r="D91" s="26">
        <f>POWER(TAN(A91/2),$C$87)</f>
        <v>2.1950186274197238E-3</v>
      </c>
      <c r="E91" s="26">
        <f>SIN(A91)</f>
        <v>3.6689168813381593E-4</v>
      </c>
      <c r="F91" s="77">
        <f>(C91*$H$87*D91/E91/$I$87/$J$87)</f>
        <v>7.6355257178926816</v>
      </c>
      <c r="G91" s="77">
        <f>$D$87*($C$87+$G$87)/9.81/SIN($C$84)/(1-$C$87*$C$84)*(F91-1)</f>
        <v>5.0303262115853942</v>
      </c>
      <c r="H91" s="75">
        <f>-(-$H$84+$K$87*((POWER(TAN(A91/2),2*$C$87-1)/(2*$C$87-1))+(POWER(TAN(A91/2),2*$C$87+1)/(2*$C$87+1))-(POWER(TAN($E$87/2),2*$C$87-1)/(2*$C$87-1))-(POWER(TAN($E$87/2),2*$C$87+1)/(2*$C$87+1))))</f>
        <v>-1.3677026596819103E-2</v>
      </c>
      <c r="I91" s="75">
        <f>-(-$I$84+0.5*$K$87*((POWER(TAN(A91/2),2*$C$87-2)/(2*$C$87-2))-(POWER(TAN(A91/2),2*$C$87+2)/(2*$C$87+2))-(POWER(TAN($E$87/2),2*$C$87-2)/(2*$C$87-2))+(POWER(TAN($E$87/2),2*$C$87+2)/(2*$C$87+2))))</f>
        <v>-15.529952310463475</v>
      </c>
      <c r="J91" s="77">
        <f>-$D$87*SIN(A91)*($C$87+$G$87)/($C$87+B91)*F91</f>
        <v>-1.1086590216912618E-3</v>
      </c>
      <c r="K91" s="77">
        <f>-$D$87*COS(A91)*($C$87+$G$87)/($C$87+B91)*F91</f>
        <v>-3.0217608709327726</v>
      </c>
      <c r="L91" s="91">
        <f>SQRT(J91*J91+K91*K91)</f>
        <v>3.0217610743116694</v>
      </c>
      <c r="M91" s="93"/>
      <c r="N91" s="75">
        <f>-(-$I$84+0.5*$K$87*((POWER(TAN(A91/2),2*$C$87-2)/(2*$C$87-2))-(POWER(TAN(A91/2),2*$C$87+2)/(2*$C$87+2))-(POWER(TAN($E$87/2),2*$C$87-2)/(2*$C$87-2))+(POWER(TAN($E$87/2),2*$C$87+2)/(2*$C$87+2))))-$D$84</f>
        <v>-16.020704416966847</v>
      </c>
      <c r="O91" s="75">
        <f t="shared" ref="O91:O100" si="93">-(-$I$84+0.5*$K$87*((POWER(TAN((A91+$M$9)/2),2*$C$87-2)/(2*$C$87-2))-(POWER(TAN((A91+$M$9)/2),2*$C$87+2)/(2*$C$87+2))-(POWER(TAN($E$87/2),2*$C$87-2)/(2*$C$87-2))+(POWER(TAN($E$87/2),2*$C$87+2)/(2*$C$87+2))))-$D$84</f>
        <v>-7.2584333760137953</v>
      </c>
      <c r="P91" s="75">
        <f t="shared" ref="P91:P100" si="94">A91-N91/(O91-N91)*$M$9</f>
        <v>2.1952652244251782E-3</v>
      </c>
      <c r="R91" s="174"/>
      <c r="S91" s="28"/>
      <c r="T91" s="166">
        <f t="shared" si="92"/>
        <v>2.8376363696221388E-2</v>
      </c>
      <c r="U91" s="166">
        <f t="shared" si="92"/>
        <v>-0.85314365859444252</v>
      </c>
      <c r="AF91" s="176"/>
      <c r="AG91" s="176"/>
      <c r="AH91" s="176"/>
      <c r="AI91" s="176"/>
      <c r="AJ91" s="176"/>
      <c r="AK91" s="176"/>
      <c r="AL91" s="176"/>
      <c r="AM91" s="176"/>
      <c r="AN91" s="176"/>
      <c r="AR91" s="28"/>
      <c r="AS91" s="176"/>
      <c r="AT91" s="178"/>
      <c r="AU91" s="178"/>
      <c r="AV91" s="178"/>
      <c r="AW91" s="178"/>
      <c r="AX91" s="178"/>
      <c r="AY91" s="178"/>
      <c r="AZ91" s="176"/>
    </row>
    <row r="92" spans="1:52">
      <c r="A92" s="19">
        <f t="shared" ref="A92:A100" si="95">$P91</f>
        <v>2.1952652244251782E-3</v>
      </c>
      <c r="B92" s="26">
        <f t="shared" ref="B92:B100" si="96">COS(A92)</f>
        <v>0.9999975904062649</v>
      </c>
      <c r="C92" s="26">
        <f t="shared" ref="C92:C100" si="97">($C$87+B92)</f>
        <v>1.7115103443502879</v>
      </c>
      <c r="D92" s="26">
        <f t="shared" ref="D92:D100" si="98">POWER(TAN(A92/2),$C$87)</f>
        <v>7.8387630213842593E-3</v>
      </c>
      <c r="E92" s="26">
        <f t="shared" ref="E92:E100" si="99">SIN(A92)</f>
        <v>2.1952634611924512E-3</v>
      </c>
      <c r="F92" s="77">
        <f t="shared" ref="F92:F100" si="100">(C92*$H$87*D92/E92/$I$87/$J$87)</f>
        <v>4.5572085040466188</v>
      </c>
      <c r="G92" s="77">
        <f t="shared" ref="G92:G100" si="101">$D$87*($C$87+$G$87)/9.81/SIN($C$84)/(1-$C$87*$C$84)*(F92-1)</f>
        <v>2.6966844736550803</v>
      </c>
      <c r="H92" s="75">
        <f t="shared" ref="H92:H100" si="102">-(-$H$84+$K$87*((POWER(TAN(A92/2),2*$C$87-1)/(2*$C$87-1))+(POWER(TAN(A92/2),2*$C$87+1)/(2*$C$87+1))-(POWER(TAN($E$87/2),2*$C$87-1)/(2*$C$87-1))-(POWER(TAN($E$87/2),2*$C$87+1)/(2*$C$87+1))))</f>
        <v>-4.3482757615321277E-3</v>
      </c>
      <c r="I92" s="75">
        <f t="shared" ref="I92:I100" si="103">-(-$I$84+0.5*$K$87*((POWER(TAN(A92/2),2*$C$87-2)/(2*$C$87-2))-(POWER(TAN(A92/2),2*$C$87+2)/(2*$C$87+2))-(POWER(TAN($E$87/2),2*$C$87-2)/(2*$C$87-2))+(POWER(TAN($E$87/2),2*$C$87+2)/(2*$C$87+2))))</f>
        <v>-4.9225900430323151</v>
      </c>
      <c r="J92" s="77">
        <f t="shared" ref="J92:J100" si="104">-$D$87*SIN(A92)*($C$87+$G$87)/($C$87+B92)*F92</f>
        <v>-3.9591989033702811E-3</v>
      </c>
      <c r="K92" s="77">
        <f t="shared" ref="K92:K100" si="105">-$D$87*COS(A92)*($C$87+$G$87)/($C$87+B92)*F92</f>
        <v>-1.803514445213243</v>
      </c>
      <c r="L92" s="91">
        <f t="shared" ref="L92:L100" si="106">SQRT(J92*J92+K92*K92)</f>
        <v>1.8035187909608228</v>
      </c>
      <c r="M92" s="93"/>
      <c r="N92" s="75">
        <f t="shared" ref="N92:N100" si="107">-(-$I$84+0.5*$K$87*((POWER(TAN(A92/2),2*$C$87-2)/(2*$C$87-2))-(POWER(TAN(A92/2),2*$C$87+2)/(2*$C$87+2))-(POWER(TAN($E$87/2),2*$C$87-2)/(2*$C$87-2))+(POWER(TAN($E$87/2),2*$C$87+2)/(2*$C$87+2))))-$D$84</f>
        <v>-5.4133421495356879</v>
      </c>
      <c r="O92" s="75">
        <f t="shared" si="93"/>
        <v>-4.270401424055561</v>
      </c>
      <c r="P92" s="75">
        <f t="shared" si="94"/>
        <v>6.9315932148917431E-3</v>
      </c>
      <c r="R92" s="174"/>
      <c r="S92" s="28"/>
      <c r="T92" s="166">
        <f t="shared" si="92"/>
        <v>2.722465578893556E-2</v>
      </c>
      <c r="U92" s="166">
        <f t="shared" si="92"/>
        <v>-0.9020040318993896</v>
      </c>
      <c r="AF92" s="176"/>
      <c r="AG92" s="176"/>
      <c r="AH92" s="176"/>
      <c r="AI92" s="176"/>
      <c r="AJ92" s="176"/>
      <c r="AK92" s="176"/>
      <c r="AL92" s="176"/>
      <c r="AM92" s="176"/>
      <c r="AN92" s="176"/>
      <c r="AR92" s="28"/>
      <c r="AS92" s="176"/>
      <c r="AT92" s="178"/>
      <c r="AU92" s="178"/>
      <c r="AV92" s="178"/>
      <c r="AW92" s="178"/>
      <c r="AX92" s="178"/>
      <c r="AY92" s="178"/>
      <c r="AZ92" s="176"/>
    </row>
    <row r="93" spans="1:52">
      <c r="A93" s="19">
        <f t="shared" si="95"/>
        <v>6.9315932148917431E-3</v>
      </c>
      <c r="B93" s="26">
        <f t="shared" si="96"/>
        <v>0.99997597660393955</v>
      </c>
      <c r="C93" s="26">
        <f t="shared" si="97"/>
        <v>1.7114887305479627</v>
      </c>
      <c r="D93" s="26">
        <f t="shared" si="98"/>
        <v>1.7763958337804815E-2</v>
      </c>
      <c r="E93" s="26">
        <f t="shared" si="99"/>
        <v>6.9315377079998009E-3</v>
      </c>
      <c r="F93" s="77">
        <f t="shared" si="100"/>
        <v>3.2707148596878586</v>
      </c>
      <c r="G93" s="77">
        <f t="shared" si="101"/>
        <v>1.7214064059647467</v>
      </c>
      <c r="H93" s="75">
        <f t="shared" si="102"/>
        <v>6.6606931859533869E-3</v>
      </c>
      <c r="I93" s="75">
        <f t="shared" si="103"/>
        <v>-2.0765191148811315</v>
      </c>
      <c r="J93" s="77">
        <f t="shared" si="104"/>
        <v>-8.9722120924804177E-3</v>
      </c>
      <c r="K93" s="77">
        <f t="shared" si="105"/>
        <v>-1.2943731863596519</v>
      </c>
      <c r="L93" s="91">
        <f t="shared" si="106"/>
        <v>1.2944042823463893</v>
      </c>
      <c r="M93" s="93"/>
      <c r="N93" s="75">
        <f t="shared" si="107"/>
        <v>-2.5672712213845039</v>
      </c>
      <c r="O93" s="75">
        <f t="shared" si="93"/>
        <v>-2.3410984859289292</v>
      </c>
      <c r="P93" s="75">
        <f t="shared" si="94"/>
        <v>1.8282524688631521E-2</v>
      </c>
      <c r="R93" s="174"/>
      <c r="S93" s="28"/>
      <c r="T93" s="164">
        <f>H427</f>
        <v>2.656815291105551E-2</v>
      </c>
      <c r="U93" s="164">
        <f>I427</f>
        <v>-0.93001918678854201</v>
      </c>
      <c r="AF93" s="176"/>
      <c r="AG93" s="176"/>
      <c r="AH93" s="176"/>
      <c r="AI93" s="176"/>
      <c r="AJ93" s="176"/>
      <c r="AK93" s="176"/>
      <c r="AL93" s="176"/>
      <c r="AM93" s="176"/>
      <c r="AN93" s="176"/>
      <c r="AR93" s="28"/>
      <c r="AS93" s="176"/>
      <c r="AT93" s="178"/>
      <c r="AU93" s="178"/>
      <c r="AV93" s="178"/>
      <c r="AW93" s="178"/>
      <c r="AX93" s="178"/>
      <c r="AY93" s="178"/>
      <c r="AZ93" s="176"/>
    </row>
    <row r="94" spans="1:52">
      <c r="A94" s="19">
        <f t="shared" si="95"/>
        <v>1.8282524688631521E-2</v>
      </c>
      <c r="B94" s="26">
        <f t="shared" si="96"/>
        <v>0.99983287930060027</v>
      </c>
      <c r="C94" s="26">
        <f t="shared" si="97"/>
        <v>1.7113456332446235</v>
      </c>
      <c r="D94" s="26">
        <f t="shared" si="98"/>
        <v>3.5419179315716635E-2</v>
      </c>
      <c r="E94" s="26">
        <f t="shared" si="99"/>
        <v>1.828150621451307E-2</v>
      </c>
      <c r="F94" s="77">
        <f t="shared" si="100"/>
        <v>2.472422773090277</v>
      </c>
      <c r="G94" s="77">
        <f t="shared" si="101"/>
        <v>1.1162290954639724</v>
      </c>
      <c r="H94" s="75">
        <f t="shared" si="102"/>
        <v>2.1159770400888608E-2</v>
      </c>
      <c r="I94" s="75">
        <f t="shared" si="103"/>
        <v>-0.7808567293742168</v>
      </c>
      <c r="J94" s="77">
        <f t="shared" si="104"/>
        <v>-1.7889503168102783E-2</v>
      </c>
      <c r="K94" s="77">
        <f t="shared" si="105"/>
        <v>-0.97839386164045472</v>
      </c>
      <c r="L94" s="91">
        <f t="shared" si="106"/>
        <v>0.97855739883735116</v>
      </c>
      <c r="M94" s="93"/>
      <c r="N94" s="75">
        <f t="shared" si="107"/>
        <v>-1.2716088358775894</v>
      </c>
      <c r="O94" s="75">
        <f t="shared" si="93"/>
        <v>-1.2193299711501266</v>
      </c>
      <c r="P94" s="75">
        <f t="shared" si="94"/>
        <v>4.2606098708585255E-2</v>
      </c>
      <c r="R94" s="174"/>
      <c r="S94" s="28"/>
      <c r="T94" s="164">
        <f t="shared" ref="T94:U98" si="108">H428</f>
        <v>2.4275132722761286E-2</v>
      </c>
      <c r="U94" s="164">
        <f t="shared" si="108"/>
        <v>-1.0284536010495808</v>
      </c>
      <c r="AF94" s="176"/>
      <c r="AG94" s="176"/>
      <c r="AH94" s="176"/>
      <c r="AI94" s="176"/>
      <c r="AJ94" s="176"/>
      <c r="AK94" s="176"/>
      <c r="AL94" s="176"/>
      <c r="AM94" s="176"/>
      <c r="AN94" s="176"/>
      <c r="AR94" s="28"/>
      <c r="AS94" s="176"/>
      <c r="AT94" s="178"/>
      <c r="AU94" s="178"/>
      <c r="AV94" s="178"/>
      <c r="AW94" s="178"/>
      <c r="AX94" s="178"/>
      <c r="AY94" s="178"/>
      <c r="AZ94" s="176"/>
    </row>
    <row r="95" spans="1:52">
      <c r="A95" s="19">
        <f t="shared" si="95"/>
        <v>4.2606098708585255E-2</v>
      </c>
      <c r="B95" s="26">
        <f t="shared" si="96"/>
        <v>0.99909249746978424</v>
      </c>
      <c r="C95" s="26">
        <f t="shared" si="97"/>
        <v>1.7106052514138073</v>
      </c>
      <c r="D95" s="26">
        <f t="shared" si="98"/>
        <v>6.4671323997609262E-2</v>
      </c>
      <c r="E95" s="26">
        <f t="shared" si="99"/>
        <v>4.2593209547873961E-2</v>
      </c>
      <c r="F95" s="77">
        <f t="shared" si="100"/>
        <v>1.9367772303911794</v>
      </c>
      <c r="G95" s="77">
        <f t="shared" si="101"/>
        <v>0.71016152401405452</v>
      </c>
      <c r="H95" s="75">
        <f t="shared" si="102"/>
        <v>3.9706200305904799E-2</v>
      </c>
      <c r="I95" s="75">
        <f t="shared" si="103"/>
        <v>-0.11350256543054682</v>
      </c>
      <c r="J95" s="77">
        <f t="shared" si="104"/>
        <v>-3.2664163255393716E-2</v>
      </c>
      <c r="K95" s="77">
        <f t="shared" si="105"/>
        <v>-0.76619068605082408</v>
      </c>
      <c r="L95" s="91">
        <f t="shared" si="106"/>
        <v>0.76688663761484821</v>
      </c>
      <c r="M95" s="93"/>
      <c r="N95" s="75">
        <f t="shared" si="107"/>
        <v>-0.60425467193391935</v>
      </c>
      <c r="O95" s="75">
        <f t="shared" si="93"/>
        <v>-0.59015249048914409</v>
      </c>
      <c r="P95" s="75">
        <f t="shared" si="94"/>
        <v>8.5454410815489143E-2</v>
      </c>
      <c r="R95" s="174"/>
      <c r="S95" s="28"/>
      <c r="T95" s="164">
        <f t="shared" si="108"/>
        <v>2.2028698708647688E-2</v>
      </c>
      <c r="U95" s="164">
        <f t="shared" si="108"/>
        <v>-1.1256317988982827</v>
      </c>
      <c r="AF95" s="176"/>
      <c r="AG95" s="176"/>
      <c r="AH95" s="176"/>
      <c r="AI95" s="176"/>
      <c r="AJ95" s="176"/>
      <c r="AK95" s="176"/>
      <c r="AL95" s="176"/>
      <c r="AM95" s="176"/>
      <c r="AN95" s="176"/>
      <c r="AR95" s="28"/>
      <c r="AS95" s="176"/>
      <c r="AT95" s="178"/>
      <c r="AU95" s="178"/>
      <c r="AV95" s="178"/>
      <c r="AW95" s="178"/>
      <c r="AX95" s="178"/>
      <c r="AY95" s="178"/>
      <c r="AZ95" s="176"/>
    </row>
    <row r="96" spans="1:52">
      <c r="A96" s="19">
        <f t="shared" si="95"/>
        <v>8.5454410815489143E-2</v>
      </c>
      <c r="B96" s="26">
        <f t="shared" si="96"/>
        <v>0.99635099320649645</v>
      </c>
      <c r="C96" s="26">
        <f t="shared" si="97"/>
        <v>1.7078637471505196</v>
      </c>
      <c r="D96" s="26">
        <f t="shared" si="98"/>
        <v>0.10614924309520629</v>
      </c>
      <c r="E96" s="26">
        <f t="shared" si="99"/>
        <v>8.5350444266142855E-2</v>
      </c>
      <c r="F96" s="77">
        <f t="shared" si="100"/>
        <v>1.5838819879941308</v>
      </c>
      <c r="G96" s="77">
        <f t="shared" si="101"/>
        <v>0.44263514204451582</v>
      </c>
      <c r="H96" s="75">
        <f t="shared" si="102"/>
        <v>6.0840357516812563E-2</v>
      </c>
      <c r="I96" s="75">
        <f t="shared" si="103"/>
        <v>0.23734810479278295</v>
      </c>
      <c r="J96" s="77">
        <f t="shared" si="104"/>
        <v>-5.3613811989166454E-2</v>
      </c>
      <c r="K96" s="77">
        <f t="shared" si="105"/>
        <v>-0.62586873781725005</v>
      </c>
      <c r="L96" s="91">
        <f t="shared" si="106"/>
        <v>0.62816090121319024</v>
      </c>
      <c r="M96" s="93"/>
      <c r="N96" s="75">
        <f t="shared" si="107"/>
        <v>-0.25340400171058958</v>
      </c>
      <c r="O96" s="75">
        <f t="shared" si="93"/>
        <v>-0.24865202339985526</v>
      </c>
      <c r="P96" s="75">
        <f t="shared" si="94"/>
        <v>0.13878041214385617</v>
      </c>
      <c r="R96" s="174"/>
      <c r="S96" s="28"/>
      <c r="T96" s="164">
        <f t="shared" si="108"/>
        <v>1.982825373290972E-2</v>
      </c>
      <c r="U96" s="164">
        <f t="shared" si="108"/>
        <v>-1.2215602817938127</v>
      </c>
      <c r="AF96" s="176"/>
      <c r="AG96" s="176"/>
      <c r="AH96" s="176"/>
      <c r="AI96" s="176"/>
      <c r="AJ96" s="176"/>
      <c r="AK96" s="176"/>
      <c r="AL96" s="176"/>
      <c r="AM96" s="176"/>
      <c r="AN96" s="176"/>
      <c r="AR96" s="28"/>
      <c r="AS96" s="176"/>
      <c r="AT96" s="178"/>
      <c r="AU96" s="178"/>
      <c r="AV96" s="178"/>
      <c r="AW96" s="178"/>
      <c r="AX96" s="178"/>
      <c r="AY96" s="178"/>
      <c r="AZ96" s="176"/>
    </row>
    <row r="97" spans="1:52">
      <c r="A97" s="19">
        <f>$P96</f>
        <v>0.13878041214385617</v>
      </c>
      <c r="B97" s="26">
        <f t="shared" si="96"/>
        <v>0.9903854448376358</v>
      </c>
      <c r="C97" s="26">
        <f t="shared" si="97"/>
        <v>1.701898198781659</v>
      </c>
      <c r="D97" s="26">
        <f t="shared" si="98"/>
        <v>0.14999106466897932</v>
      </c>
      <c r="E97" s="26">
        <f t="shared" si="99"/>
        <v>0.13833535576185238</v>
      </c>
      <c r="F97" s="77">
        <f t="shared" si="100"/>
        <v>1.3760184581493964</v>
      </c>
      <c r="G97" s="77">
        <f t="shared" si="101"/>
        <v>0.28505586241168812</v>
      </c>
      <c r="H97" s="75">
        <f t="shared" si="102"/>
        <v>7.9780216819936856E-2</v>
      </c>
      <c r="I97" s="75">
        <f t="shared" si="103"/>
        <v>0.41079053176104885</v>
      </c>
      <c r="J97" s="77">
        <f t="shared" si="104"/>
        <v>-7.5757419523048167E-2</v>
      </c>
      <c r="K97" s="77">
        <f t="shared" si="105"/>
        <v>-0.54237071369700851</v>
      </c>
      <c r="L97" s="91">
        <f t="shared" si="106"/>
        <v>0.54763599013303854</v>
      </c>
      <c r="M97" s="93"/>
      <c r="N97" s="75">
        <f t="shared" si="107"/>
        <v>-7.9961574742323682E-2</v>
      </c>
      <c r="O97" s="75">
        <f t="shared" si="93"/>
        <v>-7.7738725047766133E-2</v>
      </c>
      <c r="P97" s="75">
        <f t="shared" si="94"/>
        <v>0.17475296347654526</v>
      </c>
      <c r="R97" s="174"/>
      <c r="S97" s="28"/>
      <c r="T97" s="164">
        <f t="shared" si="108"/>
        <v>1.7673203771427469E-2</v>
      </c>
      <c r="U97" s="164">
        <f t="shared" si="108"/>
        <v>-1.3162455675265385</v>
      </c>
      <c r="AF97" s="176"/>
      <c r="AG97" s="176"/>
      <c r="AH97" s="176"/>
      <c r="AI97" s="176"/>
      <c r="AJ97" s="176"/>
      <c r="AK97" s="176"/>
      <c r="AL97" s="176"/>
      <c r="AM97" s="176"/>
      <c r="AN97" s="176"/>
      <c r="AR97" s="28"/>
      <c r="AS97" s="176"/>
      <c r="AT97" s="178"/>
      <c r="AU97" s="178"/>
      <c r="AV97" s="178"/>
      <c r="AW97" s="178"/>
      <c r="AX97" s="178"/>
      <c r="AY97" s="178"/>
      <c r="AZ97" s="176"/>
    </row>
    <row r="98" spans="1:52">
      <c r="A98" s="19">
        <f t="shared" si="95"/>
        <v>0.17475296347654526</v>
      </c>
      <c r="B98" s="26">
        <f t="shared" si="96"/>
        <v>0.98476951992603756</v>
      </c>
      <c r="C98" s="26">
        <f t="shared" si="97"/>
        <v>1.6962822738700607</v>
      </c>
      <c r="D98" s="26">
        <f t="shared" si="98"/>
        <v>0.1768383734907612</v>
      </c>
      <c r="E98" s="26">
        <f t="shared" si="99"/>
        <v>0.17386486886269309</v>
      </c>
      <c r="F98" s="77">
        <f t="shared" si="100"/>
        <v>1.2865340431123182</v>
      </c>
      <c r="G98" s="77">
        <f t="shared" si="101"/>
        <v>0.21721861520223038</v>
      </c>
      <c r="H98" s="75">
        <f t="shared" si="102"/>
        <v>9.0295949294908751E-2</v>
      </c>
      <c r="I98" s="75">
        <f t="shared" si="103"/>
        <v>0.47778264759876821</v>
      </c>
      <c r="J98" s="77">
        <f t="shared" si="104"/>
        <v>-8.9317446195071648E-2</v>
      </c>
      <c r="K98" s="77">
        <f t="shared" si="105"/>
        <v>-0.50589345154024801</v>
      </c>
      <c r="L98" s="91">
        <f t="shared" si="106"/>
        <v>0.51371761747687295</v>
      </c>
      <c r="M98" s="93"/>
      <c r="N98" s="75">
        <f t="shared" si="107"/>
        <v>-1.2969458904604325E-2</v>
      </c>
      <c r="O98" s="75">
        <f t="shared" si="93"/>
        <v>-1.142016662481421E-2</v>
      </c>
      <c r="P98" s="75">
        <f t="shared" si="94"/>
        <v>0.18312417856215926</v>
      </c>
      <c r="R98" s="174"/>
      <c r="S98" s="28"/>
      <c r="T98" s="164">
        <f t="shared" si="108"/>
        <v>1.556295791941702E-2</v>
      </c>
      <c r="U98" s="164">
        <f t="shared" si="108"/>
        <v>-1.4096941903896929</v>
      </c>
      <c r="AF98" s="176"/>
      <c r="AG98" s="176"/>
      <c r="AH98" s="176"/>
      <c r="AI98" s="176"/>
      <c r="AJ98" s="176"/>
      <c r="AK98" s="176"/>
      <c r="AL98" s="176"/>
      <c r="AM98" s="176"/>
      <c r="AN98" s="176"/>
      <c r="AR98" s="28"/>
      <c r="AS98" s="176"/>
      <c r="AT98" s="178"/>
      <c r="AU98" s="178"/>
      <c r="AV98" s="178"/>
      <c r="AW98" s="178"/>
      <c r="AX98" s="178"/>
      <c r="AY98" s="178"/>
      <c r="AZ98" s="176"/>
    </row>
    <row r="99" spans="1:52">
      <c r="A99" s="19">
        <f t="shared" si="95"/>
        <v>0.18312417856215926</v>
      </c>
      <c r="B99" s="26">
        <f t="shared" si="96"/>
        <v>0.98327957194751747</v>
      </c>
      <c r="C99" s="26">
        <f t="shared" si="97"/>
        <v>1.6947923258915405</v>
      </c>
      <c r="D99" s="26">
        <f t="shared" si="98"/>
        <v>0.18285746579686249</v>
      </c>
      <c r="E99" s="26">
        <f t="shared" si="99"/>
        <v>0.18210239809158713</v>
      </c>
      <c r="F99" s="77">
        <f t="shared" si="100"/>
        <v>1.2690303386965658</v>
      </c>
      <c r="G99" s="77">
        <f t="shared" si="101"/>
        <v>0.20394923054971104</v>
      </c>
      <c r="H99" s="75">
        <f t="shared" si="102"/>
        <v>9.2566550954563953E-2</v>
      </c>
      <c r="I99" s="75">
        <f t="shared" si="103"/>
        <v>0.49033980251353937</v>
      </c>
      <c r="J99" s="77">
        <f t="shared" si="104"/>
        <v>-9.2357566631496371E-2</v>
      </c>
      <c r="K99" s="77">
        <f t="shared" si="105"/>
        <v>-0.49869364453870696</v>
      </c>
      <c r="L99" s="91">
        <f t="shared" si="106"/>
        <v>0.50717380770046627</v>
      </c>
      <c r="M99" s="93"/>
      <c r="N99" s="75">
        <f t="shared" si="107"/>
        <v>-4.1230398983316263E-4</v>
      </c>
      <c r="O99" s="75">
        <f t="shared" si="93"/>
        <v>1.0275755618195381E-3</v>
      </c>
      <c r="P99" s="75">
        <f t="shared" si="94"/>
        <v>0.18341052472865627</v>
      </c>
      <c r="R99" s="174"/>
      <c r="S99" s="28"/>
      <c r="T99" s="91">
        <f>H443</f>
        <v>1.4397922171547829E-2</v>
      </c>
      <c r="U99" s="91">
        <f>I443</f>
        <v>-1.4616059968409465</v>
      </c>
      <c r="AF99" s="176"/>
      <c r="AG99" s="176"/>
      <c r="AH99" s="176"/>
      <c r="AI99" s="176"/>
      <c r="AJ99" s="176"/>
      <c r="AK99" s="176"/>
      <c r="AL99" s="176"/>
      <c r="AM99" s="176"/>
      <c r="AN99" s="176"/>
      <c r="AR99" s="28"/>
      <c r="AS99" s="176"/>
      <c r="AT99" s="178"/>
      <c r="AU99" s="178"/>
      <c r="AV99" s="178"/>
      <c r="AW99" s="178"/>
      <c r="AX99" s="178"/>
      <c r="AY99" s="178"/>
      <c r="AZ99" s="176"/>
    </row>
    <row r="100" spans="1:52">
      <c r="A100" s="19">
        <f t="shared" si="95"/>
        <v>0.18341052472865627</v>
      </c>
      <c r="B100" s="26">
        <f t="shared" si="96"/>
        <v>0.98322738731305181</v>
      </c>
      <c r="C100" s="26">
        <f t="shared" si="97"/>
        <v>1.6947401412570748</v>
      </c>
      <c r="D100" s="26">
        <f t="shared" si="98"/>
        <v>0.18306200584593088</v>
      </c>
      <c r="E100" s="26">
        <f t="shared" si="99"/>
        <v>0.1823839489580979</v>
      </c>
      <c r="F100" s="77">
        <f t="shared" si="100"/>
        <v>1.2684495612453426</v>
      </c>
      <c r="G100" s="77">
        <f t="shared" si="101"/>
        <v>0.20350894892619054</v>
      </c>
      <c r="H100" s="81">
        <f t="shared" si="102"/>
        <v>9.2643203545959008E-2</v>
      </c>
      <c r="I100" s="81">
        <f t="shared" si="103"/>
        <v>0.49075336506203115</v>
      </c>
      <c r="J100" s="80">
        <f t="shared" si="104"/>
        <v>-9.246087562754049E-2</v>
      </c>
      <c r="K100" s="80">
        <f t="shared" si="105"/>
        <v>-0.49845430856873235</v>
      </c>
      <c r="L100" s="91">
        <f t="shared" si="106"/>
        <v>0.50695730713004283</v>
      </c>
      <c r="M100" s="93"/>
      <c r="N100" s="75">
        <f t="shared" si="107"/>
        <v>1.2585586586233433E-6</v>
      </c>
      <c r="O100" s="75">
        <f t="shared" si="93"/>
        <v>1.4376216051915636E-3</v>
      </c>
      <c r="P100" s="75">
        <f t="shared" si="94"/>
        <v>0.1834096485165721</v>
      </c>
      <c r="R100" s="174"/>
      <c r="S100" s="28"/>
      <c r="T100" s="91">
        <f t="shared" ref="T100:U111" si="109">H444</f>
        <v>7.3251969411100501E-3</v>
      </c>
      <c r="U100" s="91">
        <f t="shared" si="109"/>
        <v>-1.7790109069630018</v>
      </c>
      <c r="AF100" s="176"/>
      <c r="AG100" s="176"/>
      <c r="AH100" s="176"/>
      <c r="AI100" s="176"/>
      <c r="AJ100" s="176"/>
      <c r="AK100" s="176"/>
      <c r="AL100" s="176"/>
      <c r="AM100" s="176"/>
      <c r="AN100" s="176"/>
      <c r="AR100" s="28"/>
      <c r="AS100" s="176"/>
      <c r="AT100" s="178"/>
      <c r="AU100" s="178"/>
      <c r="AV100" s="178"/>
      <c r="AW100" s="178"/>
      <c r="AX100" s="178"/>
      <c r="AY100" s="178"/>
      <c r="AZ100" s="176"/>
    </row>
    <row r="101" spans="1:52">
      <c r="A101" s="88" t="s">
        <v>60</v>
      </c>
      <c r="B101" s="8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R101" s="28"/>
      <c r="S101" s="28"/>
      <c r="T101" s="91">
        <f t="shared" si="109"/>
        <v>1.0287054056920767E-3</v>
      </c>
      <c r="U101" s="91">
        <f t="shared" si="109"/>
        <v>-2.0644366833764103</v>
      </c>
      <c r="AF101" s="176"/>
      <c r="AG101" s="176"/>
      <c r="AH101" s="176"/>
      <c r="AI101" s="176"/>
      <c r="AJ101" s="176"/>
      <c r="AK101" s="176"/>
      <c r="AL101" s="176"/>
      <c r="AM101" s="176"/>
      <c r="AN101" s="176"/>
      <c r="AR101" s="28"/>
      <c r="AS101" s="176"/>
      <c r="AT101" s="178"/>
      <c r="AU101" s="178"/>
      <c r="AV101" s="178"/>
      <c r="AW101" s="178"/>
      <c r="AX101" s="178"/>
      <c r="AY101" s="178"/>
      <c r="AZ101" s="176"/>
    </row>
    <row r="102" spans="1:52">
      <c r="A102" s="26" t="s">
        <v>11</v>
      </c>
      <c r="B102" s="26" t="s">
        <v>13</v>
      </c>
      <c r="C102" s="26" t="s">
        <v>22</v>
      </c>
      <c r="D102" s="26" t="s">
        <v>18</v>
      </c>
      <c r="E102" s="26" t="s">
        <v>19</v>
      </c>
      <c r="F102" s="26" t="s">
        <v>20</v>
      </c>
      <c r="G102" s="26" t="s">
        <v>2</v>
      </c>
      <c r="H102" s="26" t="s">
        <v>1</v>
      </c>
      <c r="I102" s="26" t="s">
        <v>0</v>
      </c>
      <c r="J102" s="76" t="s">
        <v>3</v>
      </c>
      <c r="K102" s="76" t="s">
        <v>4</v>
      </c>
      <c r="L102" s="44" t="s">
        <v>7</v>
      </c>
      <c r="M102" s="28"/>
      <c r="N102" s="28"/>
      <c r="O102" s="28"/>
      <c r="P102" s="31"/>
      <c r="R102" s="28"/>
      <c r="S102" s="28"/>
      <c r="T102" s="91">
        <f t="shared" si="109"/>
        <v>-4.5701317309539361E-3</v>
      </c>
      <c r="U102" s="91">
        <f t="shared" si="109"/>
        <v>-2.3208286631558352</v>
      </c>
      <c r="AF102" s="176"/>
      <c r="AG102" s="176"/>
      <c r="AH102" s="176"/>
      <c r="AI102" s="176"/>
      <c r="AJ102" s="176"/>
      <c r="AK102" s="176"/>
      <c r="AL102" s="176"/>
      <c r="AM102" s="176"/>
      <c r="AN102" s="176"/>
      <c r="AR102" s="28"/>
      <c r="AS102" s="176"/>
      <c r="AT102" s="178"/>
      <c r="AU102" s="178"/>
      <c r="AV102" s="178"/>
      <c r="AW102" s="178"/>
      <c r="AX102" s="178"/>
      <c r="AY102" s="178"/>
      <c r="AZ102" s="176"/>
    </row>
    <row r="103" spans="1:52">
      <c r="A103" s="19">
        <f>$E87</f>
        <v>0.4055103240406287</v>
      </c>
      <c r="B103" s="26">
        <f t="shared" ref="B103:B108" si="110">COS(A103)</f>
        <v>0.91890120024742261</v>
      </c>
      <c r="C103" s="26">
        <f t="shared" ref="C103:C108" si="111">($C$87+B103)</f>
        <v>1.6304139541914457</v>
      </c>
      <c r="D103" s="26">
        <f t="shared" ref="D103:D108" si="112">POWER(TAN(A103/2),$C$87)</f>
        <v>0.32447194530143991</v>
      </c>
      <c r="E103" s="26">
        <f t="shared" ref="E103:E108" si="113">SIN(A103)</f>
        <v>0.39448774909221967</v>
      </c>
      <c r="F103" s="77">
        <f t="shared" ref="F103:F108" si="114">(C103*$H$87*D103/E103/$I$87/$J$87)</f>
        <v>1</v>
      </c>
      <c r="G103" s="77">
        <f t="shared" ref="G103:G108" si="115">$D$87*($C$87+$G$87)/9.81/SIN($C$84)/(1-$C$87*$C$84)*(F103-1)</f>
        <v>0</v>
      </c>
      <c r="H103" s="132">
        <f t="shared" ref="H103:H108" si="116">-(-$H$84+$K$87*((POWER(TAN(A103/2),2*$C$87-1)/(2*$C$87-1))+(POWER(TAN(A103/2),2*$C$87+1)/(2*$C$87+1))-(POWER(TAN($E$87/2),2*$C$87-1)/(2*$C$87-1))-(POWER(TAN($E$87/2),2*$C$87+1)/(2*$C$87+1))))</f>
        <v>0.14003358492961179</v>
      </c>
      <c r="I103" s="132">
        <f t="shared" ref="I103:I108" si="117">-(-$I$84+0.5*$K$87*((POWER(TAN(A103/2),2*$C$87-2)/(2*$C$87-2))-(POWER(TAN(A103/2),2*$C$87+2)/(2*$C$87+2))-(POWER(TAN($E$87/2),2*$C$87-2)/(2*$C$87-2))+(POWER(TAN($E$87/2),2*$C$87+2)/(2*$C$87+2))))</f>
        <v>0.66000334397619942</v>
      </c>
      <c r="J103" s="77">
        <f t="shared" ref="J103:J108" si="118">-$D$87*SIN(A103)*($C$87+$G$87)/($C$87+B103)*F103</f>
        <v>-0.16388414428492629</v>
      </c>
      <c r="K103" s="77">
        <f t="shared" ref="K103:K108" si="119">-$D$87*COS(A103)*($C$87+$G$87)/($C$87+B103)*F103</f>
        <v>-0.38174401418416731</v>
      </c>
      <c r="L103" s="91">
        <f t="shared" ref="L103:L108" si="120">SQRT(J103*J103+K103*K103)</f>
        <v>0.41543532001196565</v>
      </c>
      <c r="M103" s="28"/>
      <c r="N103" s="28"/>
      <c r="O103" s="28"/>
      <c r="P103" s="31"/>
      <c r="R103" s="28"/>
      <c r="S103" s="28"/>
      <c r="T103" s="91">
        <f t="shared" si="109"/>
        <v>-9.5426215082695543E-3</v>
      </c>
      <c r="U103" s="91">
        <f t="shared" si="109"/>
        <v>-2.5508868882765245</v>
      </c>
      <c r="AF103" s="176"/>
      <c r="AG103" s="176"/>
      <c r="AH103" s="176"/>
      <c r="AI103" s="176"/>
      <c r="AJ103" s="176"/>
      <c r="AK103" s="176"/>
      <c r="AL103" s="176"/>
      <c r="AM103" s="176"/>
      <c r="AN103" s="176"/>
      <c r="AR103" s="28"/>
      <c r="AS103" s="176"/>
      <c r="AT103" s="178"/>
      <c r="AU103" s="178"/>
      <c r="AV103" s="178"/>
      <c r="AW103" s="178"/>
      <c r="AX103" s="178"/>
      <c r="AY103" s="178"/>
      <c r="AZ103" s="176"/>
    </row>
    <row r="104" spans="1:52">
      <c r="A104" s="20">
        <f>A103-$F$87</f>
        <v>0.36111036417823422</v>
      </c>
      <c r="B104" s="26">
        <f t="shared" si="110"/>
        <v>0.93550509413120131</v>
      </c>
      <c r="C104" s="26">
        <f t="shared" si="111"/>
        <v>1.6470178480752244</v>
      </c>
      <c r="D104" s="26">
        <f t="shared" si="112"/>
        <v>0.29816191313868279</v>
      </c>
      <c r="E104" s="26">
        <f t="shared" si="113"/>
        <v>0.35331320220814316</v>
      </c>
      <c r="F104" s="77">
        <f t="shared" si="114"/>
        <v>1.0364517528240709</v>
      </c>
      <c r="G104" s="77">
        <f t="shared" si="115"/>
        <v>2.763371215557411E-2</v>
      </c>
      <c r="H104" s="132">
        <f t="shared" si="116"/>
        <v>0.13185373146705415</v>
      </c>
      <c r="I104" s="132">
        <f t="shared" si="117"/>
        <v>0.6396838298476043</v>
      </c>
      <c r="J104" s="77">
        <f t="shared" si="118"/>
        <v>-0.15059548506634082</v>
      </c>
      <c r="K104" s="77">
        <f t="shared" si="119"/>
        <v>-0.39874774718926143</v>
      </c>
      <c r="L104" s="91">
        <f t="shared" si="120"/>
        <v>0.42623792183577192</v>
      </c>
      <c r="M104" s="28"/>
      <c r="N104" s="28"/>
      <c r="O104" s="28"/>
      <c r="P104" s="31"/>
      <c r="R104" s="28"/>
      <c r="S104" s="28"/>
      <c r="T104" s="91">
        <f t="shared" si="109"/>
        <v>-1.3953407333630296E-2</v>
      </c>
      <c r="U104" s="91">
        <f t="shared" si="109"/>
        <v>-2.7570843283683919</v>
      </c>
      <c r="AF104" s="176"/>
      <c r="AG104" s="176"/>
      <c r="AH104" s="176"/>
      <c r="AI104" s="176"/>
      <c r="AJ104" s="176"/>
      <c r="AK104" s="176"/>
      <c r="AL104" s="176"/>
      <c r="AM104" s="176"/>
      <c r="AN104" s="176"/>
      <c r="AR104" s="28"/>
      <c r="AS104" s="176"/>
      <c r="AT104" s="178"/>
      <c r="AU104" s="178"/>
      <c r="AV104" s="178"/>
      <c r="AW104" s="178"/>
      <c r="AX104" s="178"/>
      <c r="AY104" s="178"/>
      <c r="AZ104" s="176"/>
    </row>
    <row r="105" spans="1:52">
      <c r="A105" s="20">
        <f>A104-$F$87</f>
        <v>0.31671040431583974</v>
      </c>
      <c r="B105" s="26">
        <f t="shared" si="110"/>
        <v>0.95026507697397566</v>
      </c>
      <c r="C105" s="26">
        <f t="shared" si="111"/>
        <v>1.6617778309179987</v>
      </c>
      <c r="D105" s="26">
        <f t="shared" si="112"/>
        <v>0.27109801381518256</v>
      </c>
      <c r="E105" s="26">
        <f t="shared" si="113"/>
        <v>0.3114422634833689</v>
      </c>
      <c r="F105" s="77">
        <f t="shared" si="114"/>
        <v>1.078649220803912</v>
      </c>
      <c r="G105" s="77">
        <f t="shared" si="115"/>
        <v>5.9623193963948794E-2</v>
      </c>
      <c r="H105" s="132">
        <f t="shared" si="116"/>
        <v>0.12319818695663096</v>
      </c>
      <c r="I105" s="132">
        <f t="shared" si="117"/>
        <v>0.61507528582162674</v>
      </c>
      <c r="J105" s="77">
        <f t="shared" si="118"/>
        <v>-0.13692606296106538</v>
      </c>
      <c r="K105" s="77">
        <f t="shared" si="119"/>
        <v>-0.41778548069918087</v>
      </c>
      <c r="L105" s="91">
        <f t="shared" si="120"/>
        <v>0.43965151495367699</v>
      </c>
      <c r="M105" s="45"/>
      <c r="N105" s="28"/>
      <c r="O105" s="28"/>
      <c r="P105" s="31"/>
      <c r="R105" s="28"/>
      <c r="S105" s="28"/>
      <c r="T105" s="91">
        <f t="shared" si="109"/>
        <v>-1.7861032166836814E-2</v>
      </c>
      <c r="U105" s="91">
        <f t="shared" si="109"/>
        <v>-2.9416839168627709</v>
      </c>
      <c r="AF105" s="176"/>
      <c r="AG105" s="176"/>
      <c r="AH105" s="176"/>
      <c r="AI105" s="176"/>
      <c r="AJ105" s="176"/>
      <c r="AK105" s="176"/>
      <c r="AL105" s="176"/>
      <c r="AM105" s="176"/>
      <c r="AN105" s="176"/>
      <c r="AR105" s="28"/>
      <c r="AS105" s="176"/>
      <c r="AT105" s="178"/>
      <c r="AU105" s="178"/>
      <c r="AV105" s="178"/>
      <c r="AW105" s="178"/>
      <c r="AX105" s="178"/>
      <c r="AY105" s="178"/>
      <c r="AZ105" s="176"/>
    </row>
    <row r="106" spans="1:52">
      <c r="A106" s="20">
        <f>A105-$F$87</f>
        <v>0.27231044445344527</v>
      </c>
      <c r="B106" s="26">
        <f t="shared" si="110"/>
        <v>0.96315205636833978</v>
      </c>
      <c r="C106" s="26">
        <f t="shared" si="111"/>
        <v>1.6746648103123629</v>
      </c>
      <c r="D106" s="26">
        <f t="shared" si="112"/>
        <v>0.24309282572160495</v>
      </c>
      <c r="E106" s="26">
        <f t="shared" si="113"/>
        <v>0.26895746190325048</v>
      </c>
      <c r="F106" s="77">
        <f t="shared" si="114"/>
        <v>1.1286906391144904</v>
      </c>
      <c r="G106" s="77">
        <f t="shared" si="115"/>
        <v>9.755909669337938E-2</v>
      </c>
      <c r="H106" s="132">
        <f t="shared" si="116"/>
        <v>0.11392973687565293</v>
      </c>
      <c r="I106" s="132">
        <f t="shared" si="117"/>
        <v>0.58442923933588498</v>
      </c>
      <c r="J106" s="77">
        <f t="shared" si="118"/>
        <v>-0.12278121514690211</v>
      </c>
      <c r="K106" s="77">
        <f t="shared" si="119"/>
        <v>-0.43968655494927961</v>
      </c>
      <c r="L106" s="91">
        <f t="shared" si="120"/>
        <v>0.45650793355221742</v>
      </c>
      <c r="M106" s="45"/>
      <c r="N106" s="28"/>
      <c r="O106" s="28"/>
      <c r="P106" s="31"/>
      <c r="R106" s="28"/>
      <c r="S106" s="28"/>
      <c r="T106" s="91">
        <f t="shared" si="109"/>
        <v>-2.131845923841566E-2</v>
      </c>
      <c r="U106" s="91">
        <f t="shared" si="109"/>
        <v>-3.1067544666982023</v>
      </c>
      <c r="AF106" s="176"/>
      <c r="AG106" s="176"/>
      <c r="AH106" s="176"/>
      <c r="AI106" s="176"/>
      <c r="AJ106" s="176"/>
      <c r="AK106" s="176"/>
      <c r="AL106" s="176"/>
      <c r="AM106" s="176"/>
      <c r="AN106" s="176"/>
      <c r="AR106" s="28"/>
      <c r="AS106" s="176"/>
      <c r="AT106" s="178"/>
      <c r="AU106" s="178"/>
      <c r="AV106" s="178"/>
      <c r="AW106" s="178"/>
      <c r="AX106" s="178"/>
      <c r="AY106" s="178"/>
      <c r="AZ106" s="176"/>
    </row>
    <row r="107" spans="1:52">
      <c r="A107" s="20">
        <f>A106-$F$87</f>
        <v>0.22791048459105079</v>
      </c>
      <c r="B107" s="26">
        <f t="shared" si="110"/>
        <v>0.97414063165775044</v>
      </c>
      <c r="C107" s="26">
        <f t="shared" si="111"/>
        <v>1.6856533856017735</v>
      </c>
      <c r="D107" s="26">
        <f t="shared" si="112"/>
        <v>0.21389274865531585</v>
      </c>
      <c r="E107" s="26">
        <f t="shared" si="113"/>
        <v>0.22594253639684345</v>
      </c>
      <c r="F107" s="77">
        <f t="shared" si="114"/>
        <v>1.1899393415503405</v>
      </c>
      <c r="G107" s="77">
        <f t="shared" si="115"/>
        <v>0.14399113032379052</v>
      </c>
      <c r="H107" s="132">
        <f t="shared" si="116"/>
        <v>0.10385289467073733</v>
      </c>
      <c r="I107" s="132">
        <f t="shared" si="117"/>
        <v>0.54482033422274301</v>
      </c>
      <c r="J107" s="77">
        <f t="shared" si="118"/>
        <v>-0.1080328533474962</v>
      </c>
      <c r="K107" s="77">
        <f t="shared" si="119"/>
        <v>-0.46577857218915997</v>
      </c>
      <c r="L107" s="91">
        <f t="shared" si="120"/>
        <v>0.47814304942451491</v>
      </c>
      <c r="M107" s="45"/>
      <c r="N107" s="28"/>
      <c r="O107" s="28"/>
      <c r="P107" s="89"/>
      <c r="R107" s="28"/>
      <c r="S107" s="28"/>
      <c r="T107" s="91">
        <f t="shared" si="109"/>
        <v>-2.4373553109066311E-2</v>
      </c>
      <c r="U107" s="91">
        <f t="shared" si="109"/>
        <v>-3.2541855286934132</v>
      </c>
      <c r="AF107" s="176"/>
      <c r="AG107" s="176"/>
      <c r="AH107" s="176"/>
      <c r="AI107" s="176"/>
      <c r="AJ107" s="176"/>
      <c r="AK107" s="176"/>
      <c r="AL107" s="176"/>
      <c r="AM107" s="176"/>
      <c r="AN107" s="176"/>
      <c r="AR107" s="28"/>
      <c r="AS107" s="176"/>
      <c r="AT107" s="178"/>
      <c r="AU107" s="178"/>
      <c r="AV107" s="178"/>
      <c r="AW107" s="178"/>
      <c r="AX107" s="178"/>
      <c r="AY107" s="178"/>
      <c r="AZ107" s="176"/>
    </row>
    <row r="108" spans="1:52">
      <c r="A108" s="20">
        <f>A107-$F$87</f>
        <v>0.18351052472865631</v>
      </c>
      <c r="B108" s="26">
        <f t="shared" si="110"/>
        <v>0.9832091440020494</v>
      </c>
      <c r="C108" s="26">
        <f t="shared" si="111"/>
        <v>1.6947218979460725</v>
      </c>
      <c r="D108" s="26">
        <f t="shared" si="112"/>
        <v>0.18313341632516933</v>
      </c>
      <c r="E108" s="26">
        <f t="shared" si="113"/>
        <v>0.18248227078474563</v>
      </c>
      <c r="F108" s="77">
        <f t="shared" si="114"/>
        <v>1.2682470072322238</v>
      </c>
      <c r="G108" s="77">
        <f t="shared" si="115"/>
        <v>0.20335539473850867</v>
      </c>
      <c r="H108" s="132">
        <f t="shared" si="116"/>
        <v>9.2669957340827974E-2</v>
      </c>
      <c r="I108" s="132">
        <f t="shared" si="117"/>
        <v>0.49089755391476753</v>
      </c>
      <c r="J108" s="77">
        <f t="shared" si="118"/>
        <v>-9.2496943600295728E-2</v>
      </c>
      <c r="K108" s="77">
        <f t="shared" si="119"/>
        <v>-0.49837082993848258</v>
      </c>
      <c r="L108" s="91">
        <f t="shared" si="120"/>
        <v>0.50688180940823691</v>
      </c>
      <c r="M108" s="45"/>
      <c r="N108" s="28"/>
      <c r="O108" s="28"/>
      <c r="P108" s="28"/>
      <c r="R108" s="28"/>
      <c r="S108" s="28"/>
      <c r="T108" s="91">
        <f t="shared" si="109"/>
        <v>-2.7069523718640437E-2</v>
      </c>
      <c r="U108" s="91">
        <f t="shared" si="109"/>
        <v>-3.3857012527496138</v>
      </c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65"/>
      <c r="AP108" s="165"/>
      <c r="AQ108" s="165"/>
      <c r="AR108" s="92"/>
      <c r="AS108" s="176"/>
      <c r="AT108" s="178"/>
      <c r="AU108" s="178"/>
      <c r="AV108" s="178"/>
      <c r="AW108" s="178"/>
      <c r="AX108" s="178"/>
      <c r="AY108" s="178"/>
      <c r="AZ108" s="176"/>
    </row>
    <row r="109" spans="1:52" s="165" customFormat="1">
      <c r="A109" s="142"/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R109" s="92"/>
      <c r="S109" s="92"/>
      <c r="T109" s="91">
        <f t="shared" si="109"/>
        <v>-2.9445335921527926E-2</v>
      </c>
      <c r="U109" s="91">
        <f t="shared" si="109"/>
        <v>-3.502873309205635</v>
      </c>
      <c r="AF109" s="176"/>
      <c r="AG109" s="176"/>
      <c r="AH109" s="176"/>
      <c r="AI109" s="176"/>
      <c r="AJ109" s="176"/>
      <c r="AK109" s="176"/>
      <c r="AL109" s="176"/>
      <c r="AM109" s="176"/>
      <c r="AN109" s="176"/>
      <c r="AR109" s="92"/>
      <c r="AS109" s="176"/>
      <c r="AT109" s="178"/>
      <c r="AU109" s="178"/>
      <c r="AV109" s="178"/>
      <c r="AW109" s="178"/>
      <c r="AX109" s="178"/>
      <c r="AY109" s="178"/>
      <c r="AZ109" s="176"/>
    </row>
    <row r="110" spans="1:52" s="165" customFormat="1">
      <c r="A110" s="88" t="s">
        <v>73</v>
      </c>
      <c r="B110" s="88"/>
      <c r="C110" s="23" t="str">
        <f>CONCATENATE("m",Stufengrün!AH52)</f>
        <v>m4</v>
      </c>
      <c r="D110" s="23" t="s">
        <v>30</v>
      </c>
      <c r="E110" s="28"/>
      <c r="F110" s="28"/>
      <c r="G110" s="28"/>
      <c r="H110" s="36" t="s">
        <v>57</v>
      </c>
      <c r="I110" s="36" t="s">
        <v>51</v>
      </c>
      <c r="J110" s="36" t="s">
        <v>58</v>
      </c>
      <c r="K110" s="36" t="s">
        <v>59</v>
      </c>
      <c r="L110" s="28"/>
      <c r="M110" s="28"/>
      <c r="N110" s="28"/>
      <c r="O110" s="28"/>
      <c r="P110" s="28"/>
      <c r="R110" s="92"/>
      <c r="S110" s="92"/>
      <c r="T110" s="91">
        <f t="shared" si="109"/>
        <v>-3.15360868610257E-2</v>
      </c>
      <c r="U110" s="91">
        <f t="shared" si="109"/>
        <v>-3.6071329249381394</v>
      </c>
      <c r="AF110" s="176"/>
      <c r="AG110" s="176"/>
      <c r="AH110" s="176"/>
      <c r="AI110" s="176"/>
      <c r="AJ110" s="176"/>
      <c r="AK110" s="176"/>
      <c r="AL110" s="176"/>
      <c r="AM110" s="176"/>
      <c r="AN110" s="176"/>
      <c r="AR110" s="92"/>
      <c r="AS110" s="176"/>
      <c r="AT110" s="178"/>
      <c r="AU110" s="178"/>
      <c r="AV110" s="178"/>
      <c r="AW110" s="178"/>
      <c r="AX110" s="178"/>
      <c r="AY110" s="178"/>
      <c r="AZ110" s="176"/>
    </row>
    <row r="111" spans="1:52" s="165" customFormat="1">
      <c r="A111" s="88" t="s">
        <v>69</v>
      </c>
      <c r="B111" s="88"/>
      <c r="C111" s="36">
        <f>Stufengrün!AI52</f>
        <v>0.14505155745746634</v>
      </c>
      <c r="D111" s="26">
        <f>Stufengrün!AK51</f>
        <v>0.36836040959449939</v>
      </c>
      <c r="E111" s="28"/>
      <c r="F111" s="28"/>
      <c r="G111" s="28"/>
      <c r="H111" s="78">
        <f>H100</f>
        <v>9.2643203545959008E-2</v>
      </c>
      <c r="I111" s="78">
        <f>I100</f>
        <v>0.49075336506203115</v>
      </c>
      <c r="J111" s="78">
        <f>J100</f>
        <v>-9.246087562754049E-2</v>
      </c>
      <c r="K111" s="78">
        <f>K100</f>
        <v>-0.49845430856873235</v>
      </c>
      <c r="L111" s="28"/>
      <c r="M111" s="28"/>
      <c r="N111" s="28"/>
      <c r="O111" s="28"/>
      <c r="P111" s="28"/>
      <c r="R111" s="92"/>
      <c r="S111" s="92"/>
      <c r="T111" s="91">
        <f t="shared" si="109"/>
        <v>-3.3373353397855299E-2</v>
      </c>
      <c r="U111" s="91">
        <f t="shared" si="109"/>
        <v>-3.6997820861690234</v>
      </c>
      <c r="AF111" s="176"/>
      <c r="AG111" s="176"/>
      <c r="AH111" s="176"/>
      <c r="AI111" s="176"/>
      <c r="AJ111" s="176"/>
      <c r="AK111" s="176"/>
      <c r="AL111" s="176"/>
      <c r="AM111" s="176"/>
      <c r="AN111" s="176"/>
      <c r="AR111" s="92"/>
      <c r="AS111" s="176"/>
      <c r="AT111" s="178"/>
      <c r="AU111" s="178"/>
      <c r="AV111" s="178"/>
      <c r="AW111" s="178"/>
      <c r="AX111" s="178"/>
      <c r="AY111" s="178"/>
      <c r="AZ111" s="176"/>
    </row>
    <row r="112" spans="1:52" s="165" customFormat="1">
      <c r="A112" s="95"/>
      <c r="B112" s="95"/>
      <c r="C112" s="28"/>
      <c r="D112" s="28"/>
      <c r="E112" s="28"/>
      <c r="F112" s="28"/>
      <c r="G112" s="28"/>
      <c r="H112" s="37" t="s">
        <v>8</v>
      </c>
      <c r="I112" s="37" t="s">
        <v>8</v>
      </c>
      <c r="J112" s="37" t="s">
        <v>9</v>
      </c>
      <c r="K112" s="37" t="s">
        <v>9</v>
      </c>
      <c r="L112" s="28"/>
      <c r="M112" s="28"/>
      <c r="N112" s="28"/>
      <c r="O112" s="28"/>
      <c r="P112" s="28"/>
      <c r="R112" s="92"/>
      <c r="S112" s="92"/>
      <c r="T112" s="175">
        <f>H493</f>
        <v>-4.548575471868848E-2</v>
      </c>
      <c r="U112" s="175">
        <f>I493</f>
        <v>-4.3672526364269046</v>
      </c>
      <c r="AF112" s="176"/>
      <c r="AG112" s="176"/>
      <c r="AH112" s="176"/>
      <c r="AI112" s="176"/>
      <c r="AJ112" s="176"/>
      <c r="AK112" s="176"/>
      <c r="AL112" s="176"/>
      <c r="AM112" s="176"/>
      <c r="AN112" s="176"/>
      <c r="AR112" s="92"/>
      <c r="AS112" s="176"/>
      <c r="AT112" s="178"/>
      <c r="AU112" s="178"/>
      <c r="AV112" s="178"/>
      <c r="AW112" s="178"/>
      <c r="AX112" s="178"/>
      <c r="AY112" s="178"/>
      <c r="AZ112" s="176"/>
    </row>
    <row r="113" spans="1:52" s="165" customFormat="1">
      <c r="A113" s="88" t="s">
        <v>68</v>
      </c>
      <c r="B113" s="88"/>
      <c r="C113" s="115" t="s">
        <v>15</v>
      </c>
      <c r="D113" s="115" t="s">
        <v>55</v>
      </c>
      <c r="E113" s="115" t="s">
        <v>12</v>
      </c>
      <c r="F113" s="115" t="s">
        <v>10</v>
      </c>
      <c r="G113" s="115" t="s">
        <v>14</v>
      </c>
      <c r="H113" s="115" t="s">
        <v>21</v>
      </c>
      <c r="I113" s="115" t="s">
        <v>16</v>
      </c>
      <c r="J113" s="115" t="s">
        <v>17</v>
      </c>
      <c r="K113" s="115" t="s">
        <v>23</v>
      </c>
      <c r="L113" s="28"/>
      <c r="M113" s="28"/>
      <c r="N113" s="28"/>
      <c r="O113" s="28"/>
      <c r="P113" s="28"/>
      <c r="R113" s="92"/>
      <c r="S113" s="92"/>
      <c r="T113" s="92"/>
      <c r="U113" s="92"/>
      <c r="AF113" s="176"/>
      <c r="AG113" s="176"/>
      <c r="AH113" s="176"/>
      <c r="AI113" s="176"/>
      <c r="AJ113" s="176"/>
      <c r="AK113" s="176"/>
      <c r="AL113" s="176"/>
      <c r="AM113" s="176"/>
      <c r="AN113" s="176"/>
      <c r="AR113" s="92"/>
      <c r="AS113" s="176"/>
      <c r="AT113" s="178"/>
      <c r="AU113" s="178"/>
      <c r="AV113" s="178"/>
      <c r="AW113" s="178"/>
      <c r="AX113" s="178"/>
      <c r="AY113" s="178"/>
      <c r="AZ113" s="176"/>
    </row>
    <row r="114" spans="1:52" s="165" customFormat="1">
      <c r="A114" s="28"/>
      <c r="B114" s="28"/>
      <c r="C114" s="23">
        <f>Mü/TAN($C111)</f>
        <v>0.47919773462141801</v>
      </c>
      <c r="D114" s="42">
        <f>SQRT($J111*$J111+$K111*$K111)</f>
        <v>0.50695730713004283</v>
      </c>
      <c r="E114" s="20">
        <f>ATAN($J111/$K111)</f>
        <v>0.18341052472865627</v>
      </c>
      <c r="F114" s="23">
        <f>($E114-A127-0.0001)/5</f>
        <v>1.4771827667721357E-2</v>
      </c>
      <c r="G114" s="23">
        <f>COS($E114)</f>
        <v>0.98322738731305181</v>
      </c>
      <c r="H114" s="23">
        <f>SIN($E114)</f>
        <v>0.1823839489580979</v>
      </c>
      <c r="I114" s="23">
        <f>$C114+$G114</f>
        <v>1.4624251219344697</v>
      </c>
      <c r="J114" s="23">
        <f>POWER(TAN($E114/2),$C114)</f>
        <v>0.31868837832055746</v>
      </c>
      <c r="K114" s="23">
        <f>-$D114*$D114*SIN($E114)*SIN($E114)/(2*9.81*SIN($C111)*POWER(TAN($E114/2),2*$C114))</f>
        <v>-2.9681520464725313E-2</v>
      </c>
      <c r="L114" s="28"/>
      <c r="M114" s="28"/>
      <c r="N114" s="28"/>
      <c r="O114" s="28"/>
      <c r="P114" s="28"/>
      <c r="AF114" s="176"/>
      <c r="AG114" s="176"/>
      <c r="AH114" s="176"/>
      <c r="AI114" s="176"/>
      <c r="AJ114" s="176"/>
      <c r="AK114" s="176"/>
      <c r="AL114" s="176"/>
      <c r="AM114" s="176"/>
      <c r="AN114" s="176"/>
      <c r="AR114" s="92"/>
      <c r="AS114" s="176"/>
      <c r="AT114" s="178"/>
      <c r="AU114" s="178"/>
      <c r="AV114" s="178"/>
      <c r="AW114" s="178"/>
      <c r="AX114" s="178"/>
      <c r="AY114" s="178"/>
      <c r="AZ114" s="176"/>
    </row>
    <row r="115" spans="1:52" s="165" customFormat="1">
      <c r="A115" s="88" t="s">
        <v>70</v>
      </c>
      <c r="B115" s="8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45"/>
      <c r="N115" s="28"/>
      <c r="O115" s="28"/>
      <c r="P115" s="28"/>
      <c r="AF115" s="176"/>
      <c r="AG115" s="176"/>
      <c r="AH115" s="176"/>
      <c r="AI115" s="176"/>
      <c r="AJ115" s="176"/>
      <c r="AK115" s="176"/>
      <c r="AL115" s="176"/>
      <c r="AM115" s="176"/>
      <c r="AN115" s="176"/>
      <c r="AR115" s="92"/>
      <c r="AS115" s="176"/>
      <c r="AT115" s="178"/>
      <c r="AU115" s="178"/>
      <c r="AV115" s="178"/>
      <c r="AW115" s="178"/>
      <c r="AX115" s="178"/>
      <c r="AY115" s="178"/>
      <c r="AZ115" s="176"/>
    </row>
    <row r="116" spans="1:52" s="165" customFormat="1">
      <c r="A116" s="115" t="s">
        <v>11</v>
      </c>
      <c r="B116" s="115" t="s">
        <v>13</v>
      </c>
      <c r="C116" s="105" t="s">
        <v>22</v>
      </c>
      <c r="D116" s="105" t="s">
        <v>18</v>
      </c>
      <c r="E116" s="115" t="s">
        <v>19</v>
      </c>
      <c r="F116" s="105" t="s">
        <v>20</v>
      </c>
      <c r="G116" s="105" t="s">
        <v>2</v>
      </c>
      <c r="H116" s="105" t="s">
        <v>65</v>
      </c>
      <c r="I116" s="105" t="s">
        <v>66</v>
      </c>
      <c r="J116" s="106" t="s">
        <v>3</v>
      </c>
      <c r="K116" s="106" t="s">
        <v>4</v>
      </c>
      <c r="L116" s="116" t="s">
        <v>7</v>
      </c>
      <c r="M116" s="93"/>
      <c r="N116" s="105" t="s">
        <v>61</v>
      </c>
      <c r="O116" s="105" t="s">
        <v>62</v>
      </c>
      <c r="P116" s="115" t="s">
        <v>63</v>
      </c>
      <c r="AF116" s="176"/>
      <c r="AG116" s="176"/>
      <c r="AH116" s="176"/>
      <c r="AI116" s="176"/>
      <c r="AJ116" s="176"/>
      <c r="AK116" s="176"/>
      <c r="AL116" s="176"/>
      <c r="AM116" s="176"/>
      <c r="AN116" s="176"/>
      <c r="AR116" s="92"/>
      <c r="AS116" s="176"/>
      <c r="AT116" s="178"/>
      <c r="AU116" s="178"/>
      <c r="AV116" s="178"/>
      <c r="AW116" s="178"/>
      <c r="AX116" s="178"/>
      <c r="AY116" s="178"/>
      <c r="AZ116" s="176"/>
    </row>
    <row r="117" spans="1:52" s="165" customFormat="1">
      <c r="A117" s="19">
        <f>$E114</f>
        <v>0.18341052472865627</v>
      </c>
      <c r="B117" s="26">
        <f>COS(A117)</f>
        <v>0.98322738731305181</v>
      </c>
      <c r="C117" s="26">
        <f>($C$114+B117)</f>
        <v>1.4624251219344697</v>
      </c>
      <c r="D117" s="26">
        <f>POWER(TAN(A117/2),$C$114)</f>
        <v>0.31868837832055746</v>
      </c>
      <c r="E117" s="26">
        <f>SIN(A117)</f>
        <v>0.1823839489580979</v>
      </c>
      <c r="F117" s="77">
        <f>(C117*$H$114*D117/E117/$I$114/$J$114)</f>
        <v>1</v>
      </c>
      <c r="G117" s="77">
        <f>$D$114*($C$114+$G$114)/9.81/SIN($C$111)/(1-$C$114*$C$111)*(F117-1)</f>
        <v>0</v>
      </c>
      <c r="H117" s="75">
        <f>-(-$H$111+$K$114*((POWER(TAN(A117/2),2*$C$114-1)/(2*$C$114-1))+(POWER(TAN(A117/2),2*$C$114+1)/(2*$C$114+1))-(POWER(TAN($E$114/2),2*$C$114-1)/(2*$C$114-1))-(POWER(TAN($E$114/2),2*$C$114+1)/(2*$C$114+1))))</f>
        <v>9.2643203545959008E-2</v>
      </c>
      <c r="I117" s="75">
        <f>-(-$I$111+0.5*$K$114*((POWER(TAN(A117/2),2*$C$114-2)/(2*$C$114-2))-(POWER(TAN(A117/2),2*$C$114+2)/(2*$C$114+2))-(POWER(TAN($E$114/2),2*$C$114-2)/(2*$C$114-2))+(POWER(TAN($E$114/2),2*$C$114+2)/(2*$C$114+2))))</f>
        <v>0.49075336506203115</v>
      </c>
      <c r="J117" s="77">
        <f>-$D$114*SIN(A117)*($C$114+$G$114)/($C$114+B117)*F117</f>
        <v>-9.246087562754049E-2</v>
      </c>
      <c r="K117" s="77">
        <f>-$D$114*COS(A117)*($C$114+$G$114)/($C$114+B117)*F117</f>
        <v>-0.49845430856873246</v>
      </c>
      <c r="L117" s="91">
        <f>SQRT(J117*J117+K117*K117)</f>
        <v>0.50695730713004294</v>
      </c>
      <c r="M117" s="93"/>
      <c r="N117" s="75">
        <f>-(-$I$111+0.5*$K$114*((POWER(TAN(A117/2),2*$C$114-2)/(2*$C$114-2))-(POWER(TAN(A117/2),2*$C$114+2)/(2*$C$114+2))-(POWER(TAN($E$114/2),2*$C$114-2)/(2*$C$114-2))+(POWER(TAN($E$114/2),2*$C$114+2)/(2*$C$114+2))))-$D$111</f>
        <v>0.12239295546753176</v>
      </c>
      <c r="O117" s="75">
        <f>-(-$I$111+0.5*$K$114*((POWER(TAN((A117+$M$9)/2),2*$C$114-2)/(2*$C$114-2))-(POWER(TAN((A117+$M$9)/2),2*$C$114+2)/(2*$C$114+2))-(POWER(TAN($E$114/2),2*$C$114-2)/(2*$C$114-2))+(POWER(TAN($E$114/2),2*$C$114+2)/(2*$C$114+2))))-$D$111</f>
        <v>0.12336466890658287</v>
      </c>
      <c r="P117" s="75">
        <f>A117-N117/(O117-N117)*$M$9</f>
        <v>5.7454712501700256E-2</v>
      </c>
      <c r="AF117" s="176"/>
      <c r="AG117" s="176"/>
      <c r="AH117" s="176"/>
      <c r="AI117" s="176"/>
      <c r="AJ117" s="176"/>
      <c r="AK117" s="176"/>
      <c r="AL117" s="176"/>
      <c r="AM117" s="176"/>
      <c r="AN117" s="176"/>
      <c r="AR117" s="92"/>
      <c r="AS117" s="176"/>
      <c r="AT117" s="178"/>
      <c r="AU117" s="178"/>
      <c r="AV117" s="178"/>
      <c r="AW117" s="178"/>
      <c r="AX117" s="178"/>
      <c r="AY117" s="178"/>
      <c r="AZ117" s="176"/>
    </row>
    <row r="118" spans="1:52" s="165" customFormat="1">
      <c r="A118" s="19">
        <f>$P117</f>
        <v>5.7454712501700256E-2</v>
      </c>
      <c r="B118" s="26">
        <f>COS(A118)</f>
        <v>0.99834993199285882</v>
      </c>
      <c r="C118" s="26">
        <f>($C$114+B118)</f>
        <v>1.4775476666142768</v>
      </c>
      <c r="D118" s="26">
        <f>POWER(TAN(A118/2),$C$114)</f>
        <v>0.18250553200358896</v>
      </c>
      <c r="E118" s="26">
        <f>SIN(A118)</f>
        <v>5.7423107629717654E-2</v>
      </c>
      <c r="F118" s="77">
        <f>(C118*$H$114*D118/E118/$I$114/$J$114)</f>
        <v>1.8377125919781299</v>
      </c>
      <c r="G118" s="77">
        <f>$D$114*($C$114+$G$114)/9.81/SIN($C$111)/(1-$C$114*$C$111)*(F118-1)</f>
        <v>0.47071733347448635</v>
      </c>
      <c r="H118" s="75">
        <f>-(-$H$111+$K$114*((POWER(TAN(A118/2),2*$C$114-1)/(2*$C$114-1))+(POWER(TAN(A118/2),2*$C$114+1)/(2*$C$114+1))-(POWER(TAN($E$114/2),2*$C$114-1)/(2*$C$114-1))-(POWER(TAN($E$114/2),2*$C$114+1)/(2*$C$114+1))))</f>
        <v>5.3446973029870171E-2</v>
      </c>
      <c r="I118" s="75">
        <f>-(-$I$111+0.5*$K$114*((POWER(TAN(A118/2),2*$C$114-2)/(2*$C$114-2))-(POWER(TAN(A118/2),2*$C$114+2)/(2*$C$114+2))-(POWER(TAN($E$114/2),2*$C$114-2)/(2*$C$114-2))+(POWER(TAN($E$114/2),2*$C$114+2)/(2*$C$114+2))))</f>
        <v>8.7115700300095134E-2</v>
      </c>
      <c r="J118" s="77">
        <f>-$D$114*SIN(A118)*($C$114+$G$114)/($C$114+B118)*F118</f>
        <v>-5.2950224871232549E-2</v>
      </c>
      <c r="K118" s="77">
        <f>-$D$114*COS(A118)*($C$114+$G$114)/($C$114+B118)*F118</f>
        <v>-0.92058503242419387</v>
      </c>
      <c r="L118" s="91">
        <f>SQRT(J118*J118+K118*K118)</f>
        <v>0.92210657097613624</v>
      </c>
      <c r="M118" s="93"/>
      <c r="N118" s="75">
        <f>-(-$I$111+0.5*$K$114*((POWER(TAN(A118/2),2*$C$114-2)/(2*$C$114-2))-(POWER(TAN(A118/2),2*$C$114+2)/(2*$C$114+2))-(POWER(TAN($E$114/2),2*$C$114-2)/(2*$C$114-2))+(POWER(TAN($E$114/2),2*$C$114+2)/(2*$C$114+2))))-$D$111</f>
        <v>-0.28124470929440426</v>
      </c>
      <c r="O118" s="75">
        <f t="shared" ref="O118:O127" si="121">-(-$I$111+0.5*$K$114*((POWER(TAN((A118+$M$9)/2),2*$C$114-2)/(2*$C$114-2))-(POWER(TAN((A118+$M$9)/2),2*$C$114+2)/(2*$C$114+2))-(POWER(TAN($E$114/2),2*$C$114-2)/(2*$C$114-2))+(POWER(TAN($E$114/2),2*$C$114+2)/(2*$C$114+2))))-$D$111</f>
        <v>-0.27100132183883885</v>
      </c>
      <c r="P118" s="75">
        <f t="shared" ref="P118:P127" si="122">A118-N118/(O118-N118)*$M$9</f>
        <v>8.4910933455404305E-2</v>
      </c>
      <c r="AF118" s="176"/>
      <c r="AG118" s="176"/>
      <c r="AH118" s="176"/>
      <c r="AI118" s="176"/>
      <c r="AJ118" s="176"/>
      <c r="AK118" s="176"/>
      <c r="AL118" s="176"/>
      <c r="AM118" s="176"/>
      <c r="AN118" s="176"/>
      <c r="AR118" s="92"/>
      <c r="AS118" s="176"/>
      <c r="AT118" s="178"/>
      <c r="AU118" s="178"/>
      <c r="AV118" s="178"/>
      <c r="AW118" s="178"/>
      <c r="AX118" s="178"/>
      <c r="AY118" s="178"/>
      <c r="AZ118" s="176"/>
    </row>
    <row r="119" spans="1:52" s="165" customFormat="1">
      <c r="A119" s="19">
        <f t="shared" ref="A119:A127" si="123">$P118</f>
        <v>8.4910933455404305E-2</v>
      </c>
      <c r="B119" s="26">
        <f t="shared" ref="B119:B127" si="124">COS(A119)</f>
        <v>0.99639723209342723</v>
      </c>
      <c r="C119" s="26">
        <f t="shared" ref="C119:C127" si="125">($C$114+B119)</f>
        <v>1.4755949667148451</v>
      </c>
      <c r="D119" s="26">
        <f t="shared" ref="D119:D127" si="126">POWER(TAN(A119/2),$C$114)</f>
        <v>0.22010706879054109</v>
      </c>
      <c r="E119" s="26">
        <f t="shared" ref="E119:E127" si="127">SIN(A119)</f>
        <v>8.4808937480414348E-2</v>
      </c>
      <c r="F119" s="77">
        <f t="shared" ref="F119:F127" si="128">(C119*$H$114*D119/E119/$I$114/$J$114)</f>
        <v>1.4986709283676873</v>
      </c>
      <c r="G119" s="77">
        <f t="shared" ref="G119:G127" si="129">$D$114*($C$114+$G$114)/9.81/SIN($C$111)/(1-$C$114*$C$111)*(F119-1)</f>
        <v>0.28020714016987408</v>
      </c>
      <c r="H119" s="75">
        <f t="shared" ref="H119:H127" si="130">-(-$H$111+$K$114*((POWER(TAN(A119/2),2*$C$114-1)/(2*$C$114-1))+(POWER(TAN(A119/2),2*$C$114+1)/(2*$C$114+1))-(POWER(TAN($E$114/2),2*$C$114-1)/(2*$C$114-1))-(POWER(TAN($E$114/2),2*$C$114+1)/(2*$C$114+1))))</f>
        <v>6.6804924346812733E-2</v>
      </c>
      <c r="I119" s="75">
        <f t="shared" ref="I119:I127" si="131">-(-$I$111+0.5*$K$114*((POWER(TAN(A119/2),2*$C$114-2)/(2*$C$114-2))-(POWER(TAN(A119/2),2*$C$114+2)/(2*$C$114+2))-(POWER(TAN($E$114/2),2*$C$114-2)/(2*$C$114-2))+(POWER(TAN($E$114/2),2*$C$114+2)/(2*$C$114+2))))</f>
        <v>0.27935975659984891</v>
      </c>
      <c r="J119" s="77">
        <f t="shared" ref="J119:J127" si="132">-$D$114*SIN(A119)*($C$114+$G$114)/($C$114+B119)*F119</f>
        <v>-6.3859537079554468E-2</v>
      </c>
      <c r="K119" s="77">
        <f t="shared" ref="K119:K127" si="133">-$D$114*COS(A119)*($C$114+$G$114)/($C$114+B119)*F119</f>
        <v>-0.75026840188311683</v>
      </c>
      <c r="L119" s="91">
        <f t="shared" ref="L119:L127" si="134">SQRT(J119*J119+K119*K119)</f>
        <v>0.7529812184512048</v>
      </c>
      <c r="M119" s="93"/>
      <c r="N119" s="75">
        <f t="shared" ref="N119:N127" si="135">-(-$I$111+0.5*$K$114*((POWER(TAN(A119/2),2*$C$114-2)/(2*$C$114-2))-(POWER(TAN(A119/2),2*$C$114+2)/(2*$C$114+2))-(POWER(TAN($E$114/2),2*$C$114-2)/(2*$C$114-2))+(POWER(TAN($E$114/2),2*$C$114+2)/(2*$C$114+2))))-$D$111</f>
        <v>-8.9000652994650487E-2</v>
      </c>
      <c r="O119" s="75">
        <f t="shared" si="121"/>
        <v>-8.4358662037305077E-2</v>
      </c>
      <c r="P119" s="75">
        <f t="shared" si="122"/>
        <v>0.10408388183304329</v>
      </c>
      <c r="AF119" s="176"/>
      <c r="AG119" s="176"/>
      <c r="AH119" s="176"/>
      <c r="AI119" s="176"/>
      <c r="AJ119" s="176"/>
      <c r="AK119" s="176"/>
      <c r="AL119" s="176"/>
      <c r="AM119" s="176"/>
      <c r="AN119" s="176"/>
      <c r="AR119" s="92"/>
      <c r="AS119" s="176"/>
      <c r="AT119" s="178"/>
      <c r="AU119" s="178"/>
      <c r="AV119" s="178"/>
      <c r="AW119" s="178"/>
      <c r="AX119" s="178"/>
      <c r="AY119" s="178"/>
      <c r="AZ119" s="176"/>
    </row>
    <row r="120" spans="1:52" s="165" customFormat="1">
      <c r="A120" s="19">
        <f t="shared" si="123"/>
        <v>0.10408388183304329</v>
      </c>
      <c r="B120" s="26">
        <f t="shared" si="124"/>
        <v>0.99458816116135984</v>
      </c>
      <c r="C120" s="26">
        <f t="shared" si="125"/>
        <v>1.4737858957827779</v>
      </c>
      <c r="D120" s="26">
        <f t="shared" si="126"/>
        <v>0.2426987272098638</v>
      </c>
      <c r="E120" s="26">
        <f t="shared" si="127"/>
        <v>0.10389605227180096</v>
      </c>
      <c r="F120" s="77">
        <f t="shared" si="128"/>
        <v>1.3472543619158306</v>
      </c>
      <c r="G120" s="77">
        <f t="shared" si="129"/>
        <v>0.19512497346186652</v>
      </c>
      <c r="H120" s="75">
        <f t="shared" si="130"/>
        <v>7.3692952211557389E-2</v>
      </c>
      <c r="I120" s="75">
        <f t="shared" si="131"/>
        <v>0.35254790869703767</v>
      </c>
      <c r="J120" s="77">
        <f t="shared" si="132"/>
        <v>-7.0414041923241535E-2</v>
      </c>
      <c r="K120" s="77">
        <f t="shared" si="133"/>
        <v>-0.67406769501851183</v>
      </c>
      <c r="L120" s="91">
        <f t="shared" si="134"/>
        <v>0.67773549026706392</v>
      </c>
      <c r="M120" s="93"/>
      <c r="N120" s="75">
        <f>-(-$I$111+0.5*$K$114*((POWER(TAN(A120/2),2*$C$114-2)/(2*$C$114-2))-(POWER(TAN(A120/2),2*$C$114+2)/(2*$C$114+2))-(POWER(TAN($E$114/2),2*$C$114-2)/(2*$C$114-2))+(POWER(TAN($E$114/2),2*$C$114+2)/(2*$C$114+2))))-$D$111</f>
        <v>-1.5812500897461723E-2</v>
      </c>
      <c r="O120" s="75">
        <f t="shared" si="121"/>
        <v>-1.2741627137808409E-2</v>
      </c>
      <c r="P120" s="75">
        <f t="shared" si="122"/>
        <v>0.10923306806961684</v>
      </c>
      <c r="AF120" s="176"/>
      <c r="AG120" s="176"/>
      <c r="AH120" s="176"/>
      <c r="AI120" s="176"/>
      <c r="AJ120" s="176"/>
      <c r="AK120" s="176"/>
      <c r="AL120" s="176"/>
      <c r="AM120" s="176"/>
      <c r="AN120" s="176"/>
      <c r="AR120" s="92"/>
      <c r="AS120" s="176"/>
      <c r="AT120" s="178"/>
      <c r="AU120" s="178"/>
      <c r="AV120" s="178"/>
      <c r="AW120" s="178"/>
      <c r="AX120" s="178"/>
      <c r="AY120" s="178"/>
      <c r="AZ120" s="176"/>
    </row>
    <row r="121" spans="1:52" s="165" customFormat="1">
      <c r="A121" s="19">
        <f t="shared" si="123"/>
        <v>0.10923306806961684</v>
      </c>
      <c r="B121" s="26">
        <f t="shared" si="124"/>
        <v>0.99403999811780508</v>
      </c>
      <c r="C121" s="26">
        <f t="shared" si="125"/>
        <v>1.4732377327392232</v>
      </c>
      <c r="D121" s="26">
        <f t="shared" si="126"/>
        <v>0.24839088908251514</v>
      </c>
      <c r="E121" s="26">
        <f t="shared" si="127"/>
        <v>0.10901597195803067</v>
      </c>
      <c r="F121" s="77">
        <f t="shared" si="128"/>
        <v>1.3136059712530217</v>
      </c>
      <c r="G121" s="77">
        <f t="shared" si="129"/>
        <v>0.17621767651995937</v>
      </c>
      <c r="H121" s="75">
        <f t="shared" si="130"/>
        <v>7.5319717837994446E-2</v>
      </c>
      <c r="I121" s="75">
        <f t="shared" si="131"/>
        <v>0.36774816246694675</v>
      </c>
      <c r="J121" s="77">
        <f t="shared" si="132"/>
        <v>-7.20655055684883E-2</v>
      </c>
      <c r="K121" s="77">
        <f t="shared" si="133"/>
        <v>-0.65711467533617407</v>
      </c>
      <c r="L121" s="91">
        <f t="shared" si="134"/>
        <v>0.66105456176854815</v>
      </c>
      <c r="M121" s="93"/>
      <c r="N121" s="75">
        <f t="shared" si="135"/>
        <v>-6.1224712755264532E-4</v>
      </c>
      <c r="O121" s="75">
        <f t="shared" si="121"/>
        <v>2.1718519207039044E-3</v>
      </c>
      <c r="P121" s="75">
        <f t="shared" si="122"/>
        <v>0.1094529765990695</v>
      </c>
      <c r="AF121" s="176"/>
      <c r="AG121" s="176"/>
      <c r="AH121" s="176"/>
      <c r="AI121" s="176"/>
      <c r="AJ121" s="176"/>
      <c r="AK121" s="176"/>
      <c r="AL121" s="176"/>
      <c r="AM121" s="176"/>
      <c r="AN121" s="176"/>
      <c r="AR121" s="92"/>
      <c r="AS121" s="176"/>
      <c r="AT121" s="178"/>
      <c r="AU121" s="178"/>
      <c r="AV121" s="178"/>
      <c r="AW121" s="178"/>
      <c r="AX121" s="178"/>
      <c r="AY121" s="178"/>
      <c r="AZ121" s="176"/>
    </row>
    <row r="122" spans="1:52" s="165" customFormat="1">
      <c r="A122" s="19">
        <f t="shared" si="123"/>
        <v>0.1094529765990695</v>
      </c>
      <c r="B122" s="26">
        <f t="shared" si="124"/>
        <v>0.99401600054014971</v>
      </c>
      <c r="C122" s="26">
        <f t="shared" si="125"/>
        <v>1.4732137351615677</v>
      </c>
      <c r="D122" s="26">
        <f t="shared" si="126"/>
        <v>0.24863087017021482</v>
      </c>
      <c r="E122" s="26">
        <f t="shared" si="127"/>
        <v>0.1092345671944788</v>
      </c>
      <c r="F122" s="77">
        <f t="shared" si="128"/>
        <v>1.3122224590389671</v>
      </c>
      <c r="G122" s="77">
        <f t="shared" si="129"/>
        <v>0.17544027006043442</v>
      </c>
      <c r="H122" s="75">
        <f t="shared" si="130"/>
        <v>7.538741939033626E-2</v>
      </c>
      <c r="I122" s="75">
        <f t="shared" si="131"/>
        <v>0.36836486000412155</v>
      </c>
      <c r="J122" s="77">
        <f t="shared" si="132"/>
        <v>-7.2135131143225922E-2</v>
      </c>
      <c r="K122" s="77">
        <f t="shared" si="133"/>
        <v>-0.65641743633926186</v>
      </c>
      <c r="L122" s="91">
        <f t="shared" si="134"/>
        <v>0.66036908458471866</v>
      </c>
      <c r="M122" s="93"/>
      <c r="N122" s="75">
        <f t="shared" si="135"/>
        <v>4.4504096221587019E-6</v>
      </c>
      <c r="O122" s="75">
        <f t="shared" si="121"/>
        <v>2.777203365848635E-3</v>
      </c>
      <c r="P122" s="75">
        <f t="shared" si="122"/>
        <v>0.10945137154817156</v>
      </c>
      <c r="AF122" s="176"/>
      <c r="AG122" s="176"/>
      <c r="AH122" s="176"/>
      <c r="AI122" s="176"/>
      <c r="AJ122" s="176"/>
      <c r="AK122" s="176"/>
      <c r="AL122" s="176"/>
      <c r="AM122" s="176"/>
      <c r="AN122" s="176"/>
      <c r="AR122" s="92"/>
      <c r="AS122" s="176"/>
      <c r="AT122" s="178"/>
      <c r="AU122" s="178"/>
      <c r="AV122" s="178"/>
      <c r="AW122" s="178"/>
      <c r="AX122" s="178"/>
      <c r="AY122" s="178"/>
      <c r="AZ122" s="176"/>
    </row>
    <row r="123" spans="1:52" s="165" customFormat="1">
      <c r="A123" s="19">
        <f t="shared" si="123"/>
        <v>0.10945137154817156</v>
      </c>
      <c r="B123" s="26">
        <f t="shared" si="124"/>
        <v>0.99401617586590951</v>
      </c>
      <c r="C123" s="26">
        <f t="shared" si="125"/>
        <v>1.4732139104873276</v>
      </c>
      <c r="D123" s="26">
        <f t="shared" si="126"/>
        <v>0.24862911951683933</v>
      </c>
      <c r="E123" s="26">
        <f t="shared" si="127"/>
        <v>0.10923297174806386</v>
      </c>
      <c r="F123" s="77">
        <f t="shared" si="128"/>
        <v>1.3122325416807052</v>
      </c>
      <c r="G123" s="77">
        <f t="shared" si="129"/>
        <v>0.17544593557660168</v>
      </c>
      <c r="H123" s="75">
        <f t="shared" si="130"/>
        <v>7.5386925764196394E-2</v>
      </c>
      <c r="I123" s="75">
        <f t="shared" si="131"/>
        <v>0.36836036805692551</v>
      </c>
      <c r="J123" s="77">
        <f t="shared" si="132"/>
        <v>-7.2134623227170513E-2</v>
      </c>
      <c r="K123" s="77">
        <f t="shared" si="133"/>
        <v>-0.65642251767329729</v>
      </c>
      <c r="L123" s="91">
        <f t="shared" si="134"/>
        <v>0.66037408003091413</v>
      </c>
      <c r="M123" s="93"/>
      <c r="N123" s="75">
        <f t="shared" si="135"/>
        <v>-4.1537573880479073E-8</v>
      </c>
      <c r="O123" s="75">
        <f t="shared" si="121"/>
        <v>2.7727939806426183E-3</v>
      </c>
      <c r="P123" s="75">
        <f t="shared" si="122"/>
        <v>0.10945138652835108</v>
      </c>
      <c r="T123" s="92"/>
      <c r="U123" s="92"/>
      <c r="AF123" s="176"/>
      <c r="AG123" s="176"/>
      <c r="AH123" s="176"/>
      <c r="AI123" s="176"/>
      <c r="AJ123" s="176"/>
      <c r="AK123" s="176"/>
      <c r="AL123" s="176"/>
      <c r="AM123" s="176"/>
      <c r="AN123" s="176"/>
      <c r="AR123" s="92"/>
      <c r="AS123" s="176"/>
      <c r="AT123" s="178"/>
      <c r="AU123" s="178"/>
      <c r="AV123" s="178"/>
      <c r="AW123" s="178"/>
      <c r="AX123" s="178"/>
      <c r="AY123" s="178"/>
      <c r="AZ123" s="176"/>
    </row>
    <row r="124" spans="1:52" s="165" customFormat="1">
      <c r="A124" s="19">
        <f>$P123</f>
        <v>0.10945138652835108</v>
      </c>
      <c r="B124" s="26">
        <f t="shared" si="124"/>
        <v>0.99401617422957989</v>
      </c>
      <c r="C124" s="26">
        <f t="shared" si="125"/>
        <v>1.4732139088509979</v>
      </c>
      <c r="D124" s="26">
        <f t="shared" si="126"/>
        <v>0.24862913585600974</v>
      </c>
      <c r="E124" s="26">
        <f t="shared" si="127"/>
        <v>0.10923298663860462</v>
      </c>
      <c r="F124" s="77">
        <f t="shared" si="128"/>
        <v>1.3122324475768716</v>
      </c>
      <c r="G124" s="77">
        <f t="shared" si="129"/>
        <v>0.17544588269891304</v>
      </c>
      <c r="H124" s="75">
        <f t="shared" si="130"/>
        <v>7.5386930371317301E-2</v>
      </c>
      <c r="I124" s="75">
        <f t="shared" si="131"/>
        <v>0.36836040998156</v>
      </c>
      <c r="J124" s="77">
        <f t="shared" si="132"/>
        <v>-7.2134627967644568E-2</v>
      </c>
      <c r="K124" s="77">
        <f t="shared" si="133"/>
        <v>-0.65642247024793132</v>
      </c>
      <c r="L124" s="91">
        <f t="shared" si="134"/>
        <v>0.66037403340714929</v>
      </c>
      <c r="M124" s="93"/>
      <c r="N124" s="75">
        <f t="shared" si="135"/>
        <v>3.8706060578874713E-10</v>
      </c>
      <c r="O124" s="75">
        <f t="shared" si="121"/>
        <v>2.7728351346968383E-3</v>
      </c>
      <c r="P124" s="75">
        <f t="shared" si="122"/>
        <v>0.10945138638876087</v>
      </c>
      <c r="AF124" s="176"/>
      <c r="AG124" s="176"/>
      <c r="AH124" s="176"/>
      <c r="AI124" s="176"/>
      <c r="AJ124" s="176"/>
      <c r="AK124" s="176"/>
      <c r="AL124" s="176"/>
      <c r="AM124" s="176"/>
      <c r="AN124" s="176"/>
      <c r="AR124" s="92"/>
      <c r="AS124" s="176"/>
      <c r="AT124" s="178"/>
      <c r="AU124" s="178"/>
      <c r="AV124" s="178"/>
      <c r="AW124" s="178"/>
      <c r="AX124" s="178"/>
      <c r="AY124" s="178"/>
      <c r="AZ124" s="176"/>
    </row>
    <row r="125" spans="1:52" s="165" customFormat="1">
      <c r="A125" s="19">
        <f t="shared" si="123"/>
        <v>0.10945138638876087</v>
      </c>
      <c r="B125" s="26">
        <f t="shared" si="124"/>
        <v>0.99401617424482769</v>
      </c>
      <c r="C125" s="26">
        <f t="shared" si="125"/>
        <v>1.4732139088662457</v>
      </c>
      <c r="D125" s="26">
        <f t="shared" si="126"/>
        <v>0.248629135703756</v>
      </c>
      <c r="E125" s="26">
        <f t="shared" si="127"/>
        <v>0.10923298649984969</v>
      </c>
      <c r="F125" s="77">
        <f t="shared" si="128"/>
        <v>1.3122324484537617</v>
      </c>
      <c r="G125" s="77">
        <f t="shared" si="129"/>
        <v>0.17544588319164453</v>
      </c>
      <c r="H125" s="75">
        <f t="shared" si="130"/>
        <v>7.5386930328386628E-2</v>
      </c>
      <c r="I125" s="75">
        <f t="shared" si="131"/>
        <v>0.36836040959089267</v>
      </c>
      <c r="J125" s="77">
        <f t="shared" si="132"/>
        <v>-7.2134627923471292E-2</v>
      </c>
      <c r="K125" s="77">
        <f t="shared" si="133"/>
        <v>-0.65642247068985637</v>
      </c>
      <c r="L125" s="91">
        <f t="shared" si="134"/>
        <v>0.66037403384160476</v>
      </c>
      <c r="M125" s="93"/>
      <c r="N125" s="75">
        <f t="shared" si="135"/>
        <v>-3.6067260289485148E-12</v>
      </c>
      <c r="O125" s="75">
        <f t="shared" si="121"/>
        <v>2.7728347512099294E-3</v>
      </c>
      <c r="P125" s="75">
        <f t="shared" si="122"/>
        <v>0.10945138639006161</v>
      </c>
      <c r="AF125" s="176"/>
      <c r="AG125" s="176"/>
      <c r="AH125" s="176"/>
      <c r="AI125" s="176"/>
      <c r="AJ125" s="176"/>
      <c r="AK125" s="176"/>
      <c r="AL125" s="176"/>
      <c r="AM125" s="176"/>
      <c r="AN125" s="176"/>
      <c r="AR125" s="92"/>
      <c r="AS125" s="176"/>
      <c r="AT125" s="178"/>
      <c r="AU125" s="178"/>
      <c r="AV125" s="178"/>
      <c r="AW125" s="178"/>
      <c r="AX125" s="178"/>
      <c r="AY125" s="178"/>
      <c r="AZ125" s="176"/>
    </row>
    <row r="126" spans="1:52" s="165" customFormat="1">
      <c r="A126" s="19">
        <f t="shared" si="123"/>
        <v>0.10945138639006161</v>
      </c>
      <c r="B126" s="26">
        <f t="shared" si="124"/>
        <v>0.99401617424468558</v>
      </c>
      <c r="C126" s="26">
        <f t="shared" si="125"/>
        <v>1.4732139088661036</v>
      </c>
      <c r="D126" s="26">
        <f t="shared" si="126"/>
        <v>0.2486291357051747</v>
      </c>
      <c r="E126" s="26">
        <f t="shared" si="127"/>
        <v>0.10923298650114265</v>
      </c>
      <c r="F126" s="77">
        <f t="shared" si="128"/>
        <v>1.3122324484455907</v>
      </c>
      <c r="G126" s="77">
        <f t="shared" si="129"/>
        <v>0.17544588318705315</v>
      </c>
      <c r="H126" s="75">
        <f t="shared" si="130"/>
        <v>7.5386930328786697E-2</v>
      </c>
      <c r="I126" s="75">
        <f t="shared" si="131"/>
        <v>0.36836040959453303</v>
      </c>
      <c r="J126" s="77">
        <f t="shared" si="132"/>
        <v>-7.2134627923882907E-2</v>
      </c>
      <c r="K126" s="77">
        <f t="shared" si="133"/>
        <v>-0.65642247068573834</v>
      </c>
      <c r="L126" s="91">
        <f t="shared" si="134"/>
        <v>0.66037403383755633</v>
      </c>
      <c r="M126" s="93"/>
      <c r="N126" s="75">
        <f t="shared" si="135"/>
        <v>3.3639757646142243E-14</v>
      </c>
      <c r="O126" s="75">
        <f t="shared" si="121"/>
        <v>2.7728347547834042E-3</v>
      </c>
      <c r="P126" s="75">
        <f t="shared" si="122"/>
        <v>0.10945138639004948</v>
      </c>
      <c r="AF126" s="176"/>
      <c r="AG126" s="176"/>
      <c r="AH126" s="176"/>
      <c r="AI126" s="176"/>
      <c r="AJ126" s="176"/>
      <c r="AK126" s="176"/>
      <c r="AL126" s="176"/>
      <c r="AM126" s="176"/>
      <c r="AN126" s="176"/>
      <c r="AR126" s="92"/>
      <c r="AS126" s="176"/>
      <c r="AT126" s="178"/>
      <c r="AU126" s="178"/>
      <c r="AV126" s="178"/>
      <c r="AW126" s="178"/>
      <c r="AX126" s="178"/>
      <c r="AY126" s="178"/>
      <c r="AZ126" s="176"/>
    </row>
    <row r="127" spans="1:52" s="165" customFormat="1">
      <c r="A127" s="19">
        <f t="shared" si="123"/>
        <v>0.10945138639004948</v>
      </c>
      <c r="B127" s="26">
        <f t="shared" si="124"/>
        <v>0.99401617424468691</v>
      </c>
      <c r="C127" s="26">
        <f t="shared" si="125"/>
        <v>1.4732139088661049</v>
      </c>
      <c r="D127" s="26">
        <f t="shared" si="126"/>
        <v>0.24862913570516151</v>
      </c>
      <c r="E127" s="26">
        <f t="shared" si="127"/>
        <v>0.10923298650113059</v>
      </c>
      <c r="F127" s="77">
        <f t="shared" si="128"/>
        <v>1.3122324484456671</v>
      </c>
      <c r="G127" s="77">
        <f t="shared" si="129"/>
        <v>0.17544588318709609</v>
      </c>
      <c r="H127" s="81">
        <f t="shared" si="130"/>
        <v>7.5386930328783117E-2</v>
      </c>
      <c r="I127" s="81">
        <f t="shared" si="131"/>
        <v>0.36836040959449901</v>
      </c>
      <c r="J127" s="80">
        <f t="shared" si="132"/>
        <v>-7.2134627923879091E-2</v>
      </c>
      <c r="K127" s="80">
        <f t="shared" si="133"/>
        <v>-0.65642247068577686</v>
      </c>
      <c r="L127" s="91">
        <f t="shared" si="134"/>
        <v>0.66037403383759419</v>
      </c>
      <c r="M127" s="93"/>
      <c r="N127" s="75">
        <f t="shared" si="135"/>
        <v>0</v>
      </c>
      <c r="O127" s="75">
        <f t="shared" si="121"/>
        <v>2.7728347547501531E-3</v>
      </c>
      <c r="P127" s="75">
        <f t="shared" si="122"/>
        <v>0.10945138639004948</v>
      </c>
      <c r="AF127" s="176"/>
      <c r="AG127" s="176"/>
      <c r="AH127" s="176"/>
      <c r="AI127" s="176"/>
      <c r="AJ127" s="176"/>
      <c r="AK127" s="176"/>
      <c r="AL127" s="176"/>
      <c r="AM127" s="176"/>
      <c r="AN127" s="176"/>
      <c r="AR127" s="92"/>
      <c r="AS127" s="176"/>
      <c r="AT127" s="178"/>
      <c r="AU127" s="178"/>
      <c r="AV127" s="178"/>
      <c r="AW127" s="178"/>
      <c r="AX127" s="178"/>
      <c r="AY127" s="178"/>
      <c r="AZ127" s="176"/>
    </row>
    <row r="128" spans="1:52" s="165" customFormat="1">
      <c r="A128" s="88" t="s">
        <v>60</v>
      </c>
      <c r="B128" s="8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AF128" s="176"/>
      <c r="AG128" s="176"/>
      <c r="AH128" s="176"/>
      <c r="AI128" s="176"/>
      <c r="AJ128" s="176"/>
      <c r="AK128" s="176"/>
      <c r="AL128" s="176"/>
      <c r="AM128" s="176"/>
      <c r="AN128" s="176"/>
      <c r="AR128" s="92"/>
      <c r="AS128" s="176"/>
      <c r="AT128" s="178"/>
      <c r="AU128" s="178"/>
      <c r="AV128" s="178"/>
      <c r="AW128" s="178"/>
      <c r="AX128" s="178"/>
      <c r="AY128" s="178"/>
      <c r="AZ128" s="176"/>
    </row>
    <row r="129" spans="1:52" s="165" customFormat="1">
      <c r="A129" s="26" t="s">
        <v>11</v>
      </c>
      <c r="B129" s="26" t="s">
        <v>13</v>
      </c>
      <c r="C129" s="26" t="s">
        <v>22</v>
      </c>
      <c r="D129" s="26" t="s">
        <v>18</v>
      </c>
      <c r="E129" s="26" t="s">
        <v>19</v>
      </c>
      <c r="F129" s="26" t="s">
        <v>20</v>
      </c>
      <c r="G129" s="26" t="s">
        <v>2</v>
      </c>
      <c r="H129" s="26" t="s">
        <v>1</v>
      </c>
      <c r="I129" s="26" t="s">
        <v>0</v>
      </c>
      <c r="J129" s="76" t="s">
        <v>3</v>
      </c>
      <c r="K129" s="76" t="s">
        <v>4</v>
      </c>
      <c r="L129" s="44" t="s">
        <v>7</v>
      </c>
      <c r="M129" s="28"/>
      <c r="N129" s="28"/>
      <c r="O129" s="28"/>
      <c r="P129" s="31"/>
      <c r="AF129" s="176"/>
      <c r="AG129" s="176"/>
      <c r="AH129" s="176"/>
      <c r="AI129" s="176"/>
      <c r="AJ129" s="176"/>
      <c r="AK129" s="176"/>
      <c r="AL129" s="176"/>
      <c r="AM129" s="176"/>
      <c r="AN129" s="176"/>
      <c r="AR129" s="92"/>
      <c r="AS129" s="176"/>
      <c r="AT129" s="178"/>
      <c r="AU129" s="178"/>
      <c r="AV129" s="178"/>
      <c r="AW129" s="178"/>
      <c r="AX129" s="178"/>
      <c r="AY129" s="178"/>
      <c r="AZ129" s="176"/>
    </row>
    <row r="130" spans="1:52" s="165" customFormat="1">
      <c r="A130" s="19">
        <f>$E114</f>
        <v>0.18341052472865627</v>
      </c>
      <c r="B130" s="26">
        <f t="shared" ref="B130:B135" si="136">COS(A130)</f>
        <v>0.98322738731305181</v>
      </c>
      <c r="C130" s="26">
        <f t="shared" ref="C130:C135" si="137">($C$114+B130)</f>
        <v>1.4624251219344697</v>
      </c>
      <c r="D130" s="26">
        <f t="shared" ref="D130:D135" si="138">POWER(TAN(A130/2),$C$114)</f>
        <v>0.31868837832055746</v>
      </c>
      <c r="E130" s="26">
        <f t="shared" ref="E130:E135" si="139">SIN(A130)</f>
        <v>0.1823839489580979</v>
      </c>
      <c r="F130" s="77">
        <f t="shared" ref="F130:F135" si="140">(C130*$H$114*D130/E130/$I$114/$J$114)</f>
        <v>1</v>
      </c>
      <c r="G130" s="77">
        <f t="shared" ref="G130:G135" si="141">$D$114*($C$114+$G$114)/9.81/SIN($C$111)/(1-$C$114*$C$111)*(F130-1)</f>
        <v>0</v>
      </c>
      <c r="H130" s="99">
        <f t="shared" ref="H130:H135" si="142">-(-$H$111+$K$114*((POWER(TAN(A130/2),2*$C$114-1)/(2*$C$114-1))+(POWER(TAN(A130/2),2*$C$114+1)/(2*$C$114+1))-(POWER(TAN($E$114/2),2*$C$114-1)/(2*$C$114-1))-(POWER(TAN($E$114/2),2*$C$114+1)/(2*$C$114+1))))</f>
        <v>9.2643203545959008E-2</v>
      </c>
      <c r="I130" s="99">
        <f t="shared" ref="I130:I135" si="143">-(-$I$111+0.5*$K$114*((POWER(TAN(A130/2),2*$C$114-2)/(2*$C$114-2))-(POWER(TAN(A130/2),2*$C$114+2)/(2*$C$114+2))-(POWER(TAN($E$114/2),2*$C$114-2)/(2*$C$114-2))+(POWER(TAN($E$114/2),2*$C$114+2)/(2*$C$114+2))))</f>
        <v>0.49075336506203115</v>
      </c>
      <c r="J130" s="77">
        <f t="shared" ref="J130:J135" si="144">-$D$114*SIN(A130)*($C$114+$G$114)/($C$114+B130)*F130</f>
        <v>-9.246087562754049E-2</v>
      </c>
      <c r="K130" s="77">
        <f t="shared" ref="K130:K135" si="145">-$D$114*COS(A130)*($C$114+$G$114)/($C$114+B130)*F130</f>
        <v>-0.49845430856873246</v>
      </c>
      <c r="L130" s="91">
        <f t="shared" ref="L130:L135" si="146">SQRT(J130*J130+K130*K130)</f>
        <v>0.50695730713004294</v>
      </c>
      <c r="M130" s="28"/>
      <c r="N130" s="28"/>
      <c r="O130" s="28"/>
      <c r="P130" s="31"/>
      <c r="AF130" s="176"/>
      <c r="AG130" s="176"/>
      <c r="AH130" s="176"/>
      <c r="AI130" s="176"/>
      <c r="AJ130" s="176"/>
      <c r="AK130" s="176"/>
      <c r="AL130" s="176"/>
      <c r="AM130" s="176"/>
      <c r="AN130" s="176"/>
      <c r="AR130" s="92"/>
      <c r="AS130" s="176"/>
      <c r="AT130" s="178"/>
      <c r="AU130" s="178"/>
      <c r="AV130" s="178"/>
      <c r="AW130" s="178"/>
      <c r="AX130" s="178"/>
      <c r="AY130" s="178"/>
      <c r="AZ130" s="176"/>
    </row>
    <row r="131" spans="1:52" s="165" customFormat="1">
      <c r="A131" s="20">
        <f>A130-$F$114</f>
        <v>0.1686386970609349</v>
      </c>
      <c r="B131" s="26">
        <f t="shared" si="136"/>
        <v>0.98581416205150962</v>
      </c>
      <c r="C131" s="26">
        <f t="shared" si="137"/>
        <v>1.4650118966729275</v>
      </c>
      <c r="D131" s="26">
        <f t="shared" si="138"/>
        <v>0.30605592962893641</v>
      </c>
      <c r="E131" s="26">
        <f t="shared" si="139"/>
        <v>0.16784051328174565</v>
      </c>
      <c r="F131" s="77">
        <f t="shared" si="140"/>
        <v>1.0454226377322065</v>
      </c>
      <c r="G131" s="77">
        <f t="shared" si="141"/>
        <v>2.5523339528887027E-2</v>
      </c>
      <c r="H131" s="99">
        <f t="shared" si="142"/>
        <v>8.9850059583148678E-2</v>
      </c>
      <c r="I131" s="99">
        <f t="shared" si="143"/>
        <v>0.4750307746458895</v>
      </c>
      <c r="J131" s="77">
        <f t="shared" si="144"/>
        <v>-8.8795830565331163E-2</v>
      </c>
      <c r="K131" s="77">
        <f t="shared" si="145"/>
        <v>-0.52154384892452654</v>
      </c>
      <c r="L131" s="91">
        <f t="shared" si="146"/>
        <v>0.52904885018001546</v>
      </c>
      <c r="M131" s="28"/>
      <c r="N131" s="28"/>
      <c r="O131" s="28"/>
      <c r="P131" s="31"/>
      <c r="AF131" s="176"/>
      <c r="AG131" s="176"/>
      <c r="AH131" s="176"/>
      <c r="AI131" s="176"/>
      <c r="AJ131" s="176"/>
      <c r="AK131" s="176"/>
      <c r="AL131" s="176"/>
      <c r="AM131" s="176"/>
      <c r="AN131" s="176"/>
      <c r="AR131" s="92"/>
      <c r="AS131" s="176"/>
      <c r="AT131" s="178"/>
      <c r="AU131" s="178"/>
      <c r="AV131" s="178"/>
      <c r="AW131" s="178"/>
      <c r="AX131" s="178"/>
      <c r="AY131" s="178"/>
      <c r="AZ131" s="176"/>
    </row>
    <row r="132" spans="1:52" s="165" customFormat="1">
      <c r="A132" s="20">
        <f>A131-$F$114</f>
        <v>0.15386686939321353</v>
      </c>
      <c r="B132" s="26">
        <f t="shared" si="136"/>
        <v>0.98818582925647924</v>
      </c>
      <c r="C132" s="26">
        <f t="shared" si="137"/>
        <v>1.4673835638778971</v>
      </c>
      <c r="D132" s="26">
        <f t="shared" si="138"/>
        <v>0.29284650650906602</v>
      </c>
      <c r="E132" s="26">
        <f t="shared" si="139"/>
        <v>0.15326045431449209</v>
      </c>
      <c r="F132" s="77">
        <f t="shared" si="140"/>
        <v>1.0972367340401139</v>
      </c>
      <c r="G132" s="77">
        <f t="shared" si="141"/>
        <v>5.4638090201138072E-2</v>
      </c>
      <c r="H132" s="99">
        <f t="shared" si="142"/>
        <v>8.679584737198788E-2</v>
      </c>
      <c r="I132" s="99">
        <f t="shared" si="143"/>
        <v>0.45622777941411935</v>
      </c>
      <c r="J132" s="77">
        <f t="shared" si="144"/>
        <v>-8.4963388244609375E-2</v>
      </c>
      <c r="K132" s="77">
        <f t="shared" si="145"/>
        <v>-0.54782309399040086</v>
      </c>
      <c r="L132" s="91">
        <f t="shared" si="146"/>
        <v>0.55437254590322183</v>
      </c>
      <c r="M132" s="45"/>
      <c r="N132" s="28"/>
      <c r="O132" s="28"/>
      <c r="P132" s="31"/>
      <c r="AF132" s="176"/>
      <c r="AG132" s="176"/>
      <c r="AH132" s="176"/>
      <c r="AI132" s="176"/>
      <c r="AJ132" s="176"/>
      <c r="AK132" s="176"/>
      <c r="AL132" s="176"/>
      <c r="AM132" s="176"/>
      <c r="AN132" s="176"/>
      <c r="AR132" s="92"/>
      <c r="AS132" s="176"/>
      <c r="AT132" s="178"/>
      <c r="AU132" s="178"/>
      <c r="AV132" s="178"/>
      <c r="AW132" s="178"/>
      <c r="AX132" s="178"/>
      <c r="AY132" s="178"/>
      <c r="AZ132" s="176"/>
    </row>
    <row r="133" spans="1:52" s="165" customFormat="1">
      <c r="A133" s="20">
        <f>A132-$F$114</f>
        <v>0.13909504172549217</v>
      </c>
      <c r="B133" s="26">
        <f t="shared" si="136"/>
        <v>0.99034187142323959</v>
      </c>
      <c r="C133" s="26">
        <f t="shared" si="137"/>
        <v>1.4695396060446577</v>
      </c>
      <c r="D133" s="26">
        <f t="shared" si="138"/>
        <v>0.27897154506693345</v>
      </c>
      <c r="E133" s="26">
        <f t="shared" si="139"/>
        <v>0.13864695346784792</v>
      </c>
      <c r="F133" s="77">
        <f t="shared" si="140"/>
        <v>1.1571179258359734</v>
      </c>
      <c r="G133" s="77">
        <f t="shared" si="141"/>
        <v>8.8285805655506158E-2</v>
      </c>
      <c r="H133" s="99">
        <f t="shared" si="142"/>
        <v>8.3425981832102439E-2</v>
      </c>
      <c r="I133" s="99">
        <f t="shared" si="143"/>
        <v>0.43334738086688895</v>
      </c>
      <c r="J133" s="77">
        <f t="shared" si="144"/>
        <v>-8.093785367382085E-2</v>
      </c>
      <c r="K133" s="77">
        <f t="shared" si="145"/>
        <v>-0.57813131461918621</v>
      </c>
      <c r="L133" s="91">
        <f t="shared" si="146"/>
        <v>0.5837694348804443</v>
      </c>
      <c r="M133" s="45"/>
      <c r="N133" s="28"/>
      <c r="O133" s="28"/>
      <c r="P133" s="31"/>
      <c r="AF133" s="176"/>
      <c r="AG133" s="176"/>
      <c r="AH133" s="176"/>
      <c r="AI133" s="176"/>
      <c r="AJ133" s="176"/>
      <c r="AK133" s="176"/>
      <c r="AL133" s="176"/>
      <c r="AM133" s="176"/>
      <c r="AN133" s="176"/>
      <c r="AR133" s="92"/>
      <c r="AS133" s="176"/>
      <c r="AT133" s="178"/>
      <c r="AU133" s="178"/>
      <c r="AV133" s="178"/>
      <c r="AW133" s="178"/>
      <c r="AX133" s="178"/>
      <c r="AY133" s="178"/>
      <c r="AZ133" s="176"/>
    </row>
    <row r="134" spans="1:52" s="165" customFormat="1">
      <c r="A134" s="20">
        <f>A133-$F$114</f>
        <v>0.12432321405777082</v>
      </c>
      <c r="B134" s="26">
        <f t="shared" si="136"/>
        <v>0.99228181809708393</v>
      </c>
      <c r="C134" s="26">
        <f t="shared" si="137"/>
        <v>1.4714795527185021</v>
      </c>
      <c r="D134" s="26">
        <f t="shared" si="138"/>
        <v>0.26431808755608815</v>
      </c>
      <c r="E134" s="26">
        <f t="shared" si="139"/>
        <v>0.12400319945043972</v>
      </c>
      <c r="F134" s="77">
        <f t="shared" si="140"/>
        <v>1.2274250262001147</v>
      </c>
      <c r="G134" s="77">
        <f t="shared" si="141"/>
        <v>0.1277919216249265</v>
      </c>
      <c r="H134" s="99">
        <f t="shared" si="142"/>
        <v>7.9667149554644129E-2</v>
      </c>
      <c r="I134" s="99">
        <f t="shared" si="143"/>
        <v>0.40491271513804772</v>
      </c>
      <c r="J134" s="77">
        <f t="shared" si="144"/>
        <v>-7.6686454487055106E-2</v>
      </c>
      <c r="K134" s="77">
        <f t="shared" si="145"/>
        <v>-0.6136500898289079</v>
      </c>
      <c r="L134" s="91">
        <f t="shared" si="146"/>
        <v>0.61842319252177302</v>
      </c>
      <c r="M134" s="45"/>
      <c r="N134" s="28"/>
      <c r="O134" s="28"/>
      <c r="P134" s="89"/>
      <c r="AF134" s="176"/>
      <c r="AG134" s="176"/>
      <c r="AH134" s="176"/>
      <c r="AI134" s="176"/>
      <c r="AJ134" s="176"/>
      <c r="AK134" s="176"/>
      <c r="AL134" s="176"/>
      <c r="AM134" s="176"/>
      <c r="AN134" s="176"/>
      <c r="AR134" s="92"/>
      <c r="AS134" s="176"/>
      <c r="AT134" s="178"/>
      <c r="AU134" s="178"/>
      <c r="AV134" s="178"/>
      <c r="AW134" s="178"/>
      <c r="AX134" s="178"/>
      <c r="AY134" s="178"/>
      <c r="AZ134" s="176"/>
    </row>
    <row r="135" spans="1:52" s="165" customFormat="1">
      <c r="A135" s="20">
        <f>A134-$F$114</f>
        <v>0.10955138639004947</v>
      </c>
      <c r="B135" s="26">
        <f t="shared" si="136"/>
        <v>0.99400524597597417</v>
      </c>
      <c r="C135" s="26">
        <f t="shared" si="137"/>
        <v>1.4732029805973923</v>
      </c>
      <c r="D135" s="26">
        <f t="shared" si="138"/>
        <v>0.2487381819368959</v>
      </c>
      <c r="E135" s="26">
        <f t="shared" si="139"/>
        <v>0.10933238757222444</v>
      </c>
      <c r="F135" s="77">
        <f t="shared" si="140"/>
        <v>1.3116046930796992</v>
      </c>
      <c r="G135" s="77">
        <f t="shared" si="141"/>
        <v>0.17509314248011332</v>
      </c>
      <c r="H135" s="99">
        <f t="shared" si="142"/>
        <v>7.5417670618788291E-2</v>
      </c>
      <c r="I135" s="99">
        <f t="shared" si="143"/>
        <v>0.36864001638919297</v>
      </c>
      <c r="J135" s="77">
        <f t="shared" si="144"/>
        <v>-7.2166265444278094E-2</v>
      </c>
      <c r="K135" s="77">
        <f t="shared" si="145"/>
        <v>-0.65610610018664595</v>
      </c>
      <c r="L135" s="91">
        <f t="shared" si="146"/>
        <v>0.66006301560555802</v>
      </c>
      <c r="M135" s="45"/>
      <c r="N135" s="28"/>
      <c r="O135" s="28"/>
      <c r="P135" s="28"/>
      <c r="AF135" s="176"/>
      <c r="AG135" s="176"/>
      <c r="AH135" s="176"/>
      <c r="AI135" s="176"/>
      <c r="AJ135" s="176"/>
      <c r="AK135" s="176"/>
      <c r="AL135" s="176"/>
      <c r="AM135" s="176"/>
      <c r="AN135" s="176"/>
      <c r="AR135" s="92"/>
      <c r="AS135" s="176"/>
      <c r="AT135" s="178"/>
      <c r="AU135" s="178"/>
      <c r="AV135" s="178"/>
      <c r="AW135" s="178"/>
      <c r="AX135" s="178"/>
      <c r="AY135" s="178"/>
      <c r="AZ135" s="176"/>
    </row>
    <row r="136" spans="1:52" s="165" customFormat="1">
      <c r="A136" s="142"/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AF136" s="176"/>
      <c r="AG136" s="176"/>
      <c r="AH136" s="176"/>
      <c r="AI136" s="176"/>
      <c r="AJ136" s="176"/>
      <c r="AK136" s="176"/>
      <c r="AL136" s="176"/>
      <c r="AM136" s="176"/>
      <c r="AN136" s="176"/>
      <c r="AR136" s="92"/>
      <c r="AS136" s="176"/>
      <c r="AT136" s="178"/>
      <c r="AU136" s="178"/>
      <c r="AV136" s="178"/>
      <c r="AW136" s="178"/>
      <c r="AX136" s="178"/>
      <c r="AY136" s="178"/>
      <c r="AZ136" s="176"/>
    </row>
    <row r="137" spans="1:52" s="165" customFormat="1">
      <c r="A137" s="88" t="s">
        <v>73</v>
      </c>
      <c r="B137" s="88"/>
      <c r="C137" s="23" t="str">
        <f>CONCATENATE("m",Stufengrün!AH51)</f>
        <v>m3</v>
      </c>
      <c r="D137" s="23" t="s">
        <v>30</v>
      </c>
      <c r="E137" s="28"/>
      <c r="F137" s="28"/>
      <c r="G137" s="28"/>
      <c r="H137" s="36" t="s">
        <v>57</v>
      </c>
      <c r="I137" s="36" t="s">
        <v>51</v>
      </c>
      <c r="J137" s="36" t="s">
        <v>58</v>
      </c>
      <c r="K137" s="36" t="s">
        <v>59</v>
      </c>
      <c r="L137" s="28"/>
      <c r="M137" s="28"/>
      <c r="N137" s="28"/>
      <c r="O137" s="28"/>
      <c r="P137" s="28"/>
      <c r="AF137" s="176"/>
      <c r="AG137" s="176"/>
      <c r="AH137" s="176"/>
      <c r="AI137" s="176"/>
      <c r="AJ137" s="176"/>
      <c r="AK137" s="176"/>
      <c r="AL137" s="176"/>
      <c r="AM137" s="176"/>
      <c r="AN137" s="176"/>
      <c r="AR137" s="92"/>
      <c r="AS137" s="176"/>
      <c r="AT137" s="178"/>
      <c r="AU137" s="178"/>
      <c r="AV137" s="178"/>
      <c r="AW137" s="178"/>
      <c r="AX137" s="178"/>
      <c r="AY137" s="178"/>
      <c r="AZ137" s="176"/>
    </row>
    <row r="138" spans="1:52" s="165" customFormat="1">
      <c r="A138" s="88" t="s">
        <v>69</v>
      </c>
      <c r="B138" s="88"/>
      <c r="C138" s="36">
        <f>Stufengrün!AI51</f>
        <v>0.20050769073300986</v>
      </c>
      <c r="D138" s="26">
        <f>Stufengrün!AK50</f>
        <v>0.27035186996590777</v>
      </c>
      <c r="E138" s="28"/>
      <c r="F138" s="28"/>
      <c r="G138" s="28"/>
      <c r="H138" s="78">
        <f>H127</f>
        <v>7.5386930328783117E-2</v>
      </c>
      <c r="I138" s="78">
        <f>I127</f>
        <v>0.36836040959449901</v>
      </c>
      <c r="J138" s="78">
        <f>J127</f>
        <v>-7.2134627923879091E-2</v>
      </c>
      <c r="K138" s="78">
        <f>K127</f>
        <v>-0.65642247068577686</v>
      </c>
      <c r="L138" s="28"/>
      <c r="M138" s="28"/>
      <c r="N138" s="28"/>
      <c r="O138" s="28"/>
      <c r="P138" s="28"/>
      <c r="AF138" s="176"/>
      <c r="AG138" s="176"/>
      <c r="AH138" s="176"/>
      <c r="AI138" s="176"/>
      <c r="AJ138" s="176"/>
      <c r="AK138" s="176"/>
      <c r="AL138" s="176"/>
      <c r="AM138" s="176"/>
      <c r="AN138" s="176"/>
      <c r="AR138" s="92"/>
      <c r="AS138" s="176"/>
      <c r="AT138" s="178"/>
      <c r="AU138" s="178"/>
      <c r="AV138" s="178"/>
      <c r="AW138" s="178"/>
      <c r="AX138" s="178"/>
      <c r="AY138" s="178"/>
      <c r="AZ138" s="176"/>
    </row>
    <row r="139" spans="1:52" s="165" customFormat="1">
      <c r="A139" s="95"/>
      <c r="B139" s="95"/>
      <c r="C139" s="28"/>
      <c r="D139" s="28"/>
      <c r="E139" s="28"/>
      <c r="F139" s="28"/>
      <c r="G139" s="28"/>
      <c r="H139" s="37" t="s">
        <v>8</v>
      </c>
      <c r="I139" s="37" t="s">
        <v>8</v>
      </c>
      <c r="J139" s="37" t="s">
        <v>9</v>
      </c>
      <c r="K139" s="37" t="s">
        <v>9</v>
      </c>
      <c r="L139" s="28"/>
      <c r="M139" s="28"/>
      <c r="N139" s="28"/>
      <c r="O139" s="28"/>
      <c r="P139" s="28"/>
      <c r="AF139" s="176"/>
      <c r="AG139" s="176"/>
      <c r="AH139" s="176"/>
      <c r="AI139" s="176"/>
      <c r="AJ139" s="176"/>
      <c r="AK139" s="176"/>
      <c r="AL139" s="176"/>
      <c r="AM139" s="176"/>
      <c r="AN139" s="176"/>
      <c r="AR139" s="92"/>
      <c r="AS139" s="176"/>
      <c r="AT139" s="178"/>
      <c r="AU139" s="178"/>
      <c r="AV139" s="178"/>
      <c r="AW139" s="178"/>
      <c r="AX139" s="178"/>
      <c r="AY139" s="178"/>
      <c r="AZ139" s="176"/>
    </row>
    <row r="140" spans="1:52" s="165" customFormat="1">
      <c r="A140" s="88" t="s">
        <v>68</v>
      </c>
      <c r="B140" s="88"/>
      <c r="C140" s="115" t="s">
        <v>15</v>
      </c>
      <c r="D140" s="115" t="s">
        <v>55</v>
      </c>
      <c r="E140" s="115" t="s">
        <v>12</v>
      </c>
      <c r="F140" s="115" t="s">
        <v>10</v>
      </c>
      <c r="G140" s="115" t="s">
        <v>14</v>
      </c>
      <c r="H140" s="115" t="s">
        <v>21</v>
      </c>
      <c r="I140" s="115" t="s">
        <v>16</v>
      </c>
      <c r="J140" s="115" t="s">
        <v>17</v>
      </c>
      <c r="K140" s="115" t="s">
        <v>23</v>
      </c>
      <c r="L140" s="28"/>
      <c r="M140" s="28"/>
      <c r="N140" s="28"/>
      <c r="O140" s="28"/>
      <c r="P140" s="28"/>
      <c r="AF140" s="176"/>
      <c r="AG140" s="176"/>
      <c r="AH140" s="176"/>
      <c r="AI140" s="176"/>
      <c r="AJ140" s="176"/>
      <c r="AK140" s="176"/>
      <c r="AL140" s="176"/>
      <c r="AM140" s="176"/>
      <c r="AN140" s="176"/>
      <c r="AR140" s="92"/>
      <c r="AS140" s="176"/>
      <c r="AT140" s="178"/>
      <c r="AU140" s="178"/>
      <c r="AV140" s="178"/>
      <c r="AW140" s="178"/>
      <c r="AX140" s="178"/>
      <c r="AY140" s="178"/>
      <c r="AZ140" s="176"/>
    </row>
    <row r="141" spans="1:52" s="165" customFormat="1">
      <c r="A141" s="28"/>
      <c r="B141" s="28"/>
      <c r="C141" s="23">
        <f>Mü/TAN($C138)</f>
        <v>0.3444226903742672</v>
      </c>
      <c r="D141" s="42">
        <f>SQRT($J138*$J138+$K138*$K138)</f>
        <v>0.66037403383759419</v>
      </c>
      <c r="E141" s="20">
        <f>ATAN($J138/$K138)</f>
        <v>0.10945138639004949</v>
      </c>
      <c r="F141" s="23">
        <f>($E141-A154-0.0001)/5</f>
        <v>6.4133370117816753E-3</v>
      </c>
      <c r="G141" s="23">
        <f>COS($E141)</f>
        <v>0.99401617424468691</v>
      </c>
      <c r="H141" s="23">
        <f>SIN($E141)</f>
        <v>0.1092329865011306</v>
      </c>
      <c r="I141" s="23">
        <f>$C141+$G141</f>
        <v>1.3384388646189542</v>
      </c>
      <c r="J141" s="23">
        <f>POWER(TAN($E141/2),$C141)</f>
        <v>0.36775100990407411</v>
      </c>
      <c r="K141" s="23">
        <f>-$D141*$D141*SIN($E141)*SIN($E141)/(2*9.81*SIN($C138)*POWER(TAN($E141/2),2*$C141))</f>
        <v>-9.8460883803648449E-3</v>
      </c>
      <c r="L141" s="28"/>
      <c r="M141" s="28"/>
      <c r="N141" s="28"/>
      <c r="O141" s="28"/>
      <c r="P141" s="28"/>
      <c r="AF141" s="176"/>
      <c r="AG141" s="176"/>
      <c r="AH141" s="176"/>
      <c r="AI141" s="176"/>
      <c r="AJ141" s="176"/>
      <c r="AK141" s="176"/>
      <c r="AL141" s="176"/>
      <c r="AM141" s="176"/>
      <c r="AN141" s="176"/>
      <c r="AR141" s="92"/>
      <c r="AS141" s="176"/>
      <c r="AT141" s="178"/>
      <c r="AU141" s="178"/>
      <c r="AV141" s="178"/>
      <c r="AW141" s="178"/>
      <c r="AX141" s="178"/>
      <c r="AY141" s="178"/>
      <c r="AZ141" s="176"/>
    </row>
    <row r="142" spans="1:52" s="165" customFormat="1">
      <c r="A142" s="88" t="s">
        <v>70</v>
      </c>
      <c r="B142" s="8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45"/>
      <c r="N142" s="28"/>
      <c r="O142" s="28"/>
      <c r="P142" s="28"/>
      <c r="AF142" s="176"/>
      <c r="AG142" s="176"/>
      <c r="AH142" s="176"/>
      <c r="AI142" s="176"/>
      <c r="AJ142" s="176"/>
      <c r="AK142" s="176"/>
      <c r="AL142" s="176"/>
      <c r="AM142" s="176"/>
      <c r="AN142" s="176"/>
      <c r="AR142" s="92"/>
      <c r="AS142" s="176"/>
      <c r="AT142" s="178"/>
      <c r="AU142" s="178"/>
      <c r="AV142" s="178"/>
      <c r="AW142" s="178"/>
      <c r="AX142" s="178"/>
      <c r="AY142" s="178"/>
      <c r="AZ142" s="176"/>
    </row>
    <row r="143" spans="1:52" s="165" customFormat="1">
      <c r="A143" s="115" t="s">
        <v>11</v>
      </c>
      <c r="B143" s="115" t="s">
        <v>13</v>
      </c>
      <c r="C143" s="26" t="s">
        <v>22</v>
      </c>
      <c r="D143" s="26" t="s">
        <v>18</v>
      </c>
      <c r="E143" s="115" t="s">
        <v>19</v>
      </c>
      <c r="F143" s="26" t="s">
        <v>20</v>
      </c>
      <c r="G143" s="26" t="s">
        <v>2</v>
      </c>
      <c r="H143" s="26" t="s">
        <v>65</v>
      </c>
      <c r="I143" s="26" t="s">
        <v>66</v>
      </c>
      <c r="J143" s="76" t="s">
        <v>3</v>
      </c>
      <c r="K143" s="76" t="s">
        <v>4</v>
      </c>
      <c r="L143" s="116" t="s">
        <v>7</v>
      </c>
      <c r="M143" s="93"/>
      <c r="N143" s="26" t="s">
        <v>61</v>
      </c>
      <c r="O143" s="26" t="s">
        <v>62</v>
      </c>
      <c r="P143" s="115" t="s">
        <v>63</v>
      </c>
      <c r="AF143" s="176"/>
      <c r="AG143" s="176"/>
      <c r="AH143" s="176"/>
      <c r="AI143" s="176"/>
      <c r="AJ143" s="176"/>
      <c r="AK143" s="176"/>
      <c r="AL143" s="176"/>
      <c r="AM143" s="176"/>
      <c r="AN143" s="176"/>
      <c r="AR143" s="92"/>
      <c r="AS143" s="176"/>
      <c r="AT143" s="178"/>
      <c r="AU143" s="178"/>
      <c r="AV143" s="178"/>
      <c r="AW143" s="178"/>
      <c r="AX143" s="178"/>
      <c r="AY143" s="178"/>
      <c r="AZ143" s="176"/>
    </row>
    <row r="144" spans="1:52" s="165" customFormat="1">
      <c r="A144" s="19">
        <f>$E141</f>
        <v>0.10945138639004949</v>
      </c>
      <c r="B144" s="26">
        <f>COS(A144)</f>
        <v>0.99401617424468691</v>
      </c>
      <c r="C144" s="26">
        <f>($C$141+B144)</f>
        <v>1.3384388646189542</v>
      </c>
      <c r="D144" s="26">
        <f>POWER(TAN(A144/2),$C$141)</f>
        <v>0.36775100990407411</v>
      </c>
      <c r="E144" s="26">
        <f>SIN(A144)</f>
        <v>0.1092329865011306</v>
      </c>
      <c r="F144" s="77">
        <f>(C144*$H$141*D144/E144/$I$141/$J$141)</f>
        <v>1.0000000000000002</v>
      </c>
      <c r="G144" s="77">
        <f>$D$141*($C$141+$G$141)/9.81/SIN($C$138)/(1-$C$141*$C$138)*(F144-1)</f>
        <v>1.0789980560600598E-16</v>
      </c>
      <c r="H144" s="75">
        <f>-(-$H$138+$K$141*((POWER(TAN(A144/2),2*$C$141-1)/(2*$C$141-1))+(POWER(TAN(A144/2),2*$C$141+1)/(2*$C$141+1))-(POWER(TAN($E$141/2),2*$C$141-1)/(2*$C$141-1))-(POWER(TAN($E$141/2),2*$C$141+1)/(2*$C$141+1))))</f>
        <v>7.5386930328783117E-2</v>
      </c>
      <c r="I144" s="75">
        <f>-(-$I$138+0.5*$K$141*((POWER(TAN(A144/2),2*$C$141-2)/(2*$C$141-2))-(POWER(TAN(A144/2),2*$C$141+2)/(2*$C$141+2))-(POWER(TAN($E$141/2),2*$C$141-2)/(2*$C$141-2))+(POWER(TAN($E$141/2),2*$C$141+2)/(2*$C$141+2))))</f>
        <v>0.36836040959449901</v>
      </c>
      <c r="J144" s="77">
        <f>-$D$141*SIN(A144)*($C$141+$G$141)/($C$141+B144)*F144</f>
        <v>-7.2134627923879105E-2</v>
      </c>
      <c r="K144" s="77">
        <f>-$D$141*COS(A144)*($C$141+$G$141)/($C$141+B144)*F144</f>
        <v>-0.65642247068577686</v>
      </c>
      <c r="L144" s="91">
        <f>SQRT(J144*J144+K144*K144)</f>
        <v>0.66037403383759419</v>
      </c>
      <c r="M144" s="93"/>
      <c r="N144" s="75">
        <f>-(-$I$138+0.5*$K$141*((POWER(TAN(A144/2),2*$C$141-2)/(2*$C$141-2))-(POWER(TAN(A144/2),2*$C$141+2)/(2*$C$141+2))-(POWER(TAN($E$141/2),2*$C$141-2)/(2*$C$141-2))+(POWER(TAN($E$141/2),2*$C$141+2)/(2*$C$141+2))))-$D$138</f>
        <v>9.800853962859124E-2</v>
      </c>
      <c r="O144" s="75">
        <f>-(-$I$138+0.5*$K$141*((POWER(TAN((A144+$M$9)/2),2*$C$141-2)/(2*$C$141-2))-(POWER(TAN((A144+$M$9)/2),2*$C$141+2)/(2*$C$141+2))-(POWER(TAN($E$141/2),2*$C$141-2)/(2*$C$141-2))+(POWER(TAN($E$141/2),2*$C$141+2)/(2*$C$141+2))))-$D$138</f>
        <v>0.10001843204856881</v>
      </c>
      <c r="P144" s="75">
        <f>A144-N144/(O144-N144)*$M$9</f>
        <v>6.0688308996242911E-2</v>
      </c>
      <c r="AF144" s="176"/>
      <c r="AG144" s="176"/>
      <c r="AH144" s="176"/>
      <c r="AI144" s="176"/>
      <c r="AJ144" s="176"/>
      <c r="AK144" s="176"/>
      <c r="AL144" s="176"/>
      <c r="AM144" s="176"/>
      <c r="AN144" s="176"/>
      <c r="AR144" s="92"/>
      <c r="AS144" s="176"/>
      <c r="AT144" s="178"/>
      <c r="AU144" s="178"/>
      <c r="AV144" s="178"/>
      <c r="AW144" s="178"/>
      <c r="AX144" s="178"/>
      <c r="AY144" s="178"/>
      <c r="AZ144" s="176"/>
    </row>
    <row r="145" spans="1:52" s="165" customFormat="1">
      <c r="A145" s="19">
        <f>$P144</f>
        <v>6.0688308996242911E-2</v>
      </c>
      <c r="B145" s="26">
        <f t="shared" ref="B145:B154" si="147">COS(A145)</f>
        <v>0.99815902971498927</v>
      </c>
      <c r="C145" s="26">
        <f t="shared" ref="C145:C154" si="148">($C$141+B145)</f>
        <v>1.3425817200892565</v>
      </c>
      <c r="D145" s="26">
        <f t="shared" ref="D145:D154" si="149">POWER(TAN(A145/2),$C$141)</f>
        <v>0.30008073952005199</v>
      </c>
      <c r="E145" s="26">
        <f t="shared" ref="E145:E154" si="150">SIN(A145)</f>
        <v>6.0651062632333032E-2</v>
      </c>
      <c r="F145" s="77">
        <f t="shared" ref="F145:F154" si="151">(C145*$H$141*D145/E145/$I$141/$J$141)</f>
        <v>1.4741505258060723</v>
      </c>
      <c r="G145" s="77">
        <f t="shared" ref="G145:G154" si="152">$D$141*($C$141+$G$141)/9.81/SIN($C$138)/(1-$C$141*$C$138)*(F145-1)</f>
        <v>0.23040753266549338</v>
      </c>
      <c r="H145" s="75">
        <f t="shared" ref="H145:H154" si="153">-(-$H$138+$K$141*((POWER(TAN(A145/2),2*$C$141-1)/(2*$C$141-1))+(POWER(TAN(A145/2),2*$C$141+1)/(2*$C$141+1))-(POWER(TAN($E$141/2),2*$C$141-1)/(2*$C$141-1))-(POWER(TAN($E$141/2),2*$C$141+1)/(2*$C$141+1))))</f>
        <v>5.9604918552306305E-2</v>
      </c>
      <c r="I145" s="75">
        <f t="shared" ref="I145:I154" si="154">-(-$I$138+0.5*$K$141*((POWER(TAN(A145/2),2*$C$141-2)/(2*$C$141-2))-(POWER(TAN(A145/2),2*$C$141+2)/(2*$C$141+2))-(POWER(TAN($E$141/2),2*$C$141-2)/(2*$C$141-2))+(POWER(TAN($E$141/2),2*$C$141+2)/(2*$C$141+2))))</f>
        <v>0.17059798135812956</v>
      </c>
      <c r="J145" s="77">
        <f t="shared" ref="J145:J154" si="155">-$D$141*SIN(A145)*($C$141+$G$141)/($C$141+B145)*F145</f>
        <v>-5.8861055196144076E-2</v>
      </c>
      <c r="K145" s="77">
        <f t="shared" ref="K145:K154" si="156">-$D$141*COS(A145)*($C$141+$G$141)/($C$141+B145)*F145</f>
        <v>-0.96870015450088065</v>
      </c>
      <c r="L145" s="91">
        <f t="shared" ref="L145:L154" si="157">SQRT(J145*J145+K145*K145)</f>
        <v>0.97048679184666575</v>
      </c>
      <c r="M145" s="93"/>
      <c r="N145" s="75">
        <f t="shared" ref="N145:N154" si="158">-(-$I$138+0.5*$K$141*((POWER(TAN(A145/2),2*$C$141-2)/(2*$C$141-2))-(POWER(TAN(A145/2),2*$C$141+2)/(2*$C$141+2))-(POWER(TAN($E$141/2),2*$C$141-2)/(2*$C$141-2))+(POWER(TAN($E$141/2),2*$C$141+2)/(2*$C$141+2))))-$D$138</f>
        <v>-9.9753888607778202E-2</v>
      </c>
      <c r="O145" s="75">
        <f t="shared" ref="O145:O154" si="159">-(-$I$138+0.5*$K$141*((POWER(TAN((A145+$M$9)/2),2*$C$141-2)/(2*$C$141-2))-(POWER(TAN((A145+$M$9)/2),2*$C$141+2)/(2*$C$141+2))-(POWER(TAN($E$141/2),2*$C$141-2)/(2*$C$141-2))+(POWER(TAN($E$141/2),2*$C$141+2)/(2*$C$141+2))))-$D$138</f>
        <v>-9.1968911311967799E-2</v>
      </c>
      <c r="P145" s="75">
        <f t="shared" ref="P145:P154" si="160">A145-N145/(O145-N145)*$M$9</f>
        <v>7.3501947985461571E-2</v>
      </c>
      <c r="AF145" s="176"/>
      <c r="AG145" s="176"/>
      <c r="AH145" s="176"/>
      <c r="AI145" s="176"/>
      <c r="AJ145" s="176"/>
      <c r="AK145" s="176"/>
      <c r="AL145" s="176"/>
      <c r="AM145" s="176"/>
      <c r="AN145" s="176"/>
      <c r="AR145" s="92"/>
      <c r="AS145" s="176"/>
      <c r="AT145" s="178"/>
      <c r="AU145" s="178"/>
      <c r="AV145" s="178"/>
      <c r="AW145" s="178"/>
      <c r="AX145" s="178"/>
      <c r="AY145" s="178"/>
      <c r="AZ145" s="176"/>
    </row>
    <row r="146" spans="1:52" s="165" customFormat="1">
      <c r="A146" s="19">
        <f t="shared" ref="A146:A154" si="161">$P145</f>
        <v>7.3501947985461571E-2</v>
      </c>
      <c r="B146" s="26">
        <f t="shared" si="147"/>
        <v>0.99729994774381303</v>
      </c>
      <c r="C146" s="26">
        <f t="shared" si="148"/>
        <v>1.3417226381180802</v>
      </c>
      <c r="D146" s="26">
        <f t="shared" si="149"/>
        <v>0.32056300663011095</v>
      </c>
      <c r="E146" s="26">
        <f t="shared" si="150"/>
        <v>7.3435783036526162E-2</v>
      </c>
      <c r="F146" s="77">
        <f t="shared" si="151"/>
        <v>1.2997798948541921</v>
      </c>
      <c r="G146" s="77">
        <f t="shared" si="152"/>
        <v>0.14567429994652314</v>
      </c>
      <c r="H146" s="75">
        <f t="shared" si="153"/>
        <v>6.5046953354471332E-2</v>
      </c>
      <c r="I146" s="75">
        <f t="shared" si="154"/>
        <v>0.2521596659633909</v>
      </c>
      <c r="J146" s="77">
        <f t="shared" si="155"/>
        <v>-6.287866677906534E-2</v>
      </c>
      <c r="K146" s="77">
        <f t="shared" si="156"/>
        <v>-0.8539282690261748</v>
      </c>
      <c r="L146" s="91">
        <f t="shared" si="157"/>
        <v>0.85624016220798238</v>
      </c>
      <c r="M146" s="93"/>
      <c r="N146" s="75">
        <f t="shared" si="158"/>
        <v>-1.8192204002516865E-2</v>
      </c>
      <c r="O146" s="75">
        <f t="shared" si="159"/>
        <v>-1.3175187905969665E-2</v>
      </c>
      <c r="P146" s="75">
        <f t="shared" si="160"/>
        <v>7.7128048371114519E-2</v>
      </c>
      <c r="AF146" s="176"/>
      <c r="AG146" s="176"/>
      <c r="AH146" s="176"/>
      <c r="AI146" s="176"/>
      <c r="AJ146" s="176"/>
      <c r="AK146" s="176"/>
      <c r="AL146" s="176"/>
      <c r="AM146" s="176"/>
      <c r="AN146" s="176"/>
      <c r="AR146" s="92"/>
      <c r="AS146" s="176"/>
      <c r="AT146" s="178"/>
      <c r="AU146" s="178"/>
      <c r="AV146" s="178"/>
      <c r="AW146" s="178"/>
      <c r="AX146" s="178"/>
      <c r="AY146" s="178"/>
      <c r="AZ146" s="176"/>
    </row>
    <row r="147" spans="1:52" s="165" customFormat="1">
      <c r="A147" s="19">
        <f t="shared" si="161"/>
        <v>7.7128048371114519E-2</v>
      </c>
      <c r="B147" s="26">
        <f t="shared" si="147"/>
        <v>0.99702710626231006</v>
      </c>
      <c r="C147" s="26">
        <f t="shared" si="148"/>
        <v>1.3414497966365773</v>
      </c>
      <c r="D147" s="26">
        <f t="shared" si="149"/>
        <v>0.32592921997462077</v>
      </c>
      <c r="E147" s="26">
        <f t="shared" si="150"/>
        <v>7.7051602048266249E-2</v>
      </c>
      <c r="F147" s="77">
        <f t="shared" si="151"/>
        <v>1.259265899846127</v>
      </c>
      <c r="G147" s="77">
        <f t="shared" si="152"/>
        <v>0.12598702951196858</v>
      </c>
      <c r="H147" s="75">
        <f t="shared" si="153"/>
        <v>6.6365337851465769E-2</v>
      </c>
      <c r="I147" s="75">
        <f t="shared" si="154"/>
        <v>0.26963930750517984</v>
      </c>
      <c r="J147" s="77">
        <f t="shared" si="155"/>
        <v>-6.3931253427480919E-2</v>
      </c>
      <c r="K147" s="77">
        <f t="shared" si="156"/>
        <v>-0.82725330700580724</v>
      </c>
      <c r="L147" s="91">
        <f t="shared" si="157"/>
        <v>0.82971997632746741</v>
      </c>
      <c r="M147" s="93"/>
      <c r="N147" s="75">
        <f t="shared" si="158"/>
        <v>-7.1256246072792795E-4</v>
      </c>
      <c r="O147" s="75">
        <f t="shared" si="159"/>
        <v>3.7794534994914364E-3</v>
      </c>
      <c r="P147" s="75">
        <f t="shared" si="160"/>
        <v>7.7286677028500936E-2</v>
      </c>
      <c r="AF147" s="176"/>
      <c r="AG147" s="176"/>
      <c r="AH147" s="176"/>
      <c r="AI147" s="176"/>
      <c r="AJ147" s="176"/>
      <c r="AK147" s="176"/>
      <c r="AL147" s="176"/>
      <c r="AM147" s="176"/>
      <c r="AN147" s="176"/>
      <c r="AR147" s="92"/>
      <c r="AS147" s="176"/>
      <c r="AT147" s="178"/>
      <c r="AU147" s="178"/>
      <c r="AV147" s="178"/>
      <c r="AW147" s="178"/>
      <c r="AX147" s="178"/>
      <c r="AY147" s="178"/>
      <c r="AZ147" s="176"/>
    </row>
    <row r="148" spans="1:52" s="165" customFormat="1">
      <c r="A148" s="19">
        <f t="shared" si="161"/>
        <v>7.7286677028500936E-2</v>
      </c>
      <c r="B148" s="26">
        <f t="shared" si="147"/>
        <v>0.99701487112605702</v>
      </c>
      <c r="C148" s="26">
        <f t="shared" si="148"/>
        <v>1.3414375615003242</v>
      </c>
      <c r="D148" s="26">
        <f t="shared" si="149"/>
        <v>0.32616017292560862</v>
      </c>
      <c r="E148" s="26">
        <f t="shared" si="150"/>
        <v>7.7209758149420521E-2</v>
      </c>
      <c r="F148" s="77">
        <f t="shared" si="151"/>
        <v>1.2575654415191462</v>
      </c>
      <c r="G148" s="77">
        <f t="shared" si="152"/>
        <v>0.12516071300234521</v>
      </c>
      <c r="H148" s="75">
        <f t="shared" si="153"/>
        <v>6.6421156030479961E-2</v>
      </c>
      <c r="I148" s="75">
        <f t="shared" si="154"/>
        <v>0.27036083545296274</v>
      </c>
      <c r="J148" s="77">
        <f t="shared" si="155"/>
        <v>-6.3976555016705031E-2</v>
      </c>
      <c r="K148" s="77">
        <f t="shared" si="156"/>
        <v>-0.82613361683672104</v>
      </c>
      <c r="L148" s="91">
        <f t="shared" si="157"/>
        <v>0.82860711586343971</v>
      </c>
      <c r="M148" s="93"/>
      <c r="N148" s="75">
        <f t="shared" si="158"/>
        <v>8.9654870549793486E-6</v>
      </c>
      <c r="O148" s="75">
        <f t="shared" si="159"/>
        <v>4.4798437631735077E-3</v>
      </c>
      <c r="P148" s="75">
        <f t="shared" si="160"/>
        <v>7.7284671720706521E-2</v>
      </c>
      <c r="AF148" s="176"/>
      <c r="AG148" s="176"/>
      <c r="AH148" s="176"/>
      <c r="AI148" s="176"/>
      <c r="AJ148" s="176"/>
      <c r="AK148" s="176"/>
      <c r="AL148" s="176"/>
      <c r="AM148" s="176"/>
      <c r="AN148" s="176"/>
      <c r="AR148" s="92"/>
      <c r="AS148" s="176"/>
      <c r="AT148" s="178"/>
      <c r="AU148" s="178"/>
      <c r="AV148" s="178"/>
      <c r="AW148" s="178"/>
      <c r="AX148" s="178"/>
      <c r="AY148" s="178"/>
      <c r="AZ148" s="176"/>
    </row>
    <row r="149" spans="1:52" s="165" customFormat="1">
      <c r="A149" s="19">
        <f t="shared" si="161"/>
        <v>7.7284671720706521E-2</v>
      </c>
      <c r="B149" s="26">
        <f t="shared" si="147"/>
        <v>0.99701502595338221</v>
      </c>
      <c r="C149" s="26">
        <f t="shared" si="148"/>
        <v>1.3414377163276494</v>
      </c>
      <c r="D149" s="26">
        <f t="shared" si="149"/>
        <v>0.32615725526203182</v>
      </c>
      <c r="E149" s="26">
        <f t="shared" si="150"/>
        <v>7.7207758827573067E-2</v>
      </c>
      <c r="F149" s="77">
        <f t="shared" si="151"/>
        <v>1.2575869019299952</v>
      </c>
      <c r="G149" s="77">
        <f t="shared" si="152"/>
        <v>0.12517114142126412</v>
      </c>
      <c r="H149" s="75">
        <f t="shared" si="153"/>
        <v>6.6420451338057421E-2</v>
      </c>
      <c r="I149" s="75">
        <f t="shared" si="154"/>
        <v>0.27035173559313852</v>
      </c>
      <c r="J149" s="77">
        <f t="shared" si="155"/>
        <v>-6.3975982714873494E-2</v>
      </c>
      <c r="K149" s="77">
        <f t="shared" si="156"/>
        <v>-0.82614774778416844</v>
      </c>
      <c r="L149" s="91">
        <f t="shared" si="157"/>
        <v>0.82862116044256784</v>
      </c>
      <c r="M149" s="93"/>
      <c r="N149" s="75">
        <f t="shared" si="158"/>
        <v>-1.3437276924488373E-7</v>
      </c>
      <c r="O149" s="75">
        <f t="shared" si="159"/>
        <v>4.4710102254502671E-3</v>
      </c>
      <c r="P149" s="75">
        <f t="shared" si="160"/>
        <v>7.7284701774033196E-2</v>
      </c>
      <c r="AF149" s="176"/>
      <c r="AG149" s="176"/>
      <c r="AH149" s="176"/>
      <c r="AI149" s="176"/>
      <c r="AJ149" s="176"/>
      <c r="AK149" s="176"/>
      <c r="AL149" s="176"/>
      <c r="AM149" s="176"/>
      <c r="AN149" s="176"/>
      <c r="AR149" s="92"/>
      <c r="AS149" s="176"/>
      <c r="AT149" s="178"/>
      <c r="AU149" s="178"/>
      <c r="AV149" s="178"/>
      <c r="AW149" s="178"/>
      <c r="AX149" s="178"/>
      <c r="AY149" s="178"/>
      <c r="AZ149" s="176"/>
    </row>
    <row r="150" spans="1:52" s="165" customFormat="1">
      <c r="A150" s="19">
        <f t="shared" si="161"/>
        <v>7.7284701774033196E-2</v>
      </c>
      <c r="B150" s="26">
        <f t="shared" si="147"/>
        <v>0.99701502363303174</v>
      </c>
      <c r="C150" s="26">
        <f t="shared" si="148"/>
        <v>1.3414377140072991</v>
      </c>
      <c r="D150" s="26">
        <f t="shared" si="149"/>
        <v>0.32615729898909895</v>
      </c>
      <c r="E150" s="26">
        <f t="shared" si="150"/>
        <v>7.7207788791191306E-2</v>
      </c>
      <c r="F150" s="77">
        <f t="shared" si="151"/>
        <v>1.257586580298399</v>
      </c>
      <c r="G150" s="77">
        <f t="shared" si="152"/>
        <v>0.1251709851284025</v>
      </c>
      <c r="H150" s="75">
        <f t="shared" si="153"/>
        <v>6.6420461899381361E-2</v>
      </c>
      <c r="I150" s="75">
        <f t="shared" si="154"/>
        <v>0.27035187197576038</v>
      </c>
      <c r="J150" s="77">
        <f t="shared" si="155"/>
        <v>-6.3975991291969514E-2</v>
      </c>
      <c r="K150" s="77">
        <f t="shared" si="156"/>
        <v>-0.82614753600075774</v>
      </c>
      <c r="L150" s="91">
        <f t="shared" si="157"/>
        <v>0.82862094995354385</v>
      </c>
      <c r="M150" s="93"/>
      <c r="N150" s="75">
        <f t="shared" si="158"/>
        <v>2.009852617668173E-9</v>
      </c>
      <c r="O150" s="75">
        <f t="shared" si="159"/>
        <v>4.4711426165643942E-3</v>
      </c>
      <c r="P150" s="75">
        <f t="shared" si="160"/>
        <v>7.7284701324516439E-2</v>
      </c>
      <c r="AF150" s="176"/>
      <c r="AG150" s="176"/>
      <c r="AH150" s="176"/>
      <c r="AI150" s="176"/>
      <c r="AJ150" s="176"/>
      <c r="AK150" s="176"/>
      <c r="AL150" s="176"/>
      <c r="AM150" s="176"/>
      <c r="AN150" s="176"/>
      <c r="AR150" s="92"/>
      <c r="AS150" s="176"/>
      <c r="AT150" s="178"/>
      <c r="AU150" s="178"/>
      <c r="AV150" s="178"/>
      <c r="AW150" s="178"/>
      <c r="AX150" s="178"/>
      <c r="AY150" s="178"/>
      <c r="AZ150" s="176"/>
    </row>
    <row r="151" spans="1:52" s="165" customFormat="1">
      <c r="A151" s="19">
        <f t="shared" si="161"/>
        <v>7.7284701324516439E-2</v>
      </c>
      <c r="B151" s="26">
        <f t="shared" si="147"/>
        <v>0.99701502366773787</v>
      </c>
      <c r="C151" s="26">
        <f t="shared" si="148"/>
        <v>1.3414377140420051</v>
      </c>
      <c r="D151" s="26">
        <f t="shared" si="149"/>
        <v>0.32615729833505996</v>
      </c>
      <c r="E151" s="26">
        <f t="shared" si="150"/>
        <v>7.7207788343016351E-2</v>
      </c>
      <c r="F151" s="77">
        <f t="shared" si="151"/>
        <v>1.2575865851091388</v>
      </c>
      <c r="G151" s="77">
        <f t="shared" si="152"/>
        <v>0.12517098746612149</v>
      </c>
      <c r="H151" s="75">
        <f t="shared" si="153"/>
        <v>6.6420461741412459E-2</v>
      </c>
      <c r="I151" s="75">
        <f t="shared" si="154"/>
        <v>0.2703518699358447</v>
      </c>
      <c r="J151" s="77">
        <f t="shared" si="155"/>
        <v>-6.3975991163679274E-2</v>
      </c>
      <c r="K151" s="77">
        <f t="shared" si="156"/>
        <v>-0.82614753916846551</v>
      </c>
      <c r="L151" s="91">
        <f t="shared" si="157"/>
        <v>0.8286209531018911</v>
      </c>
      <c r="M151" s="93"/>
      <c r="N151" s="75">
        <f t="shared" si="158"/>
        <v>-3.0063063150009839E-11</v>
      </c>
      <c r="O151" s="75">
        <f t="shared" si="159"/>
        <v>4.4711406363509565E-3</v>
      </c>
      <c r="P151" s="75">
        <f t="shared" si="160"/>
        <v>7.7284701331240241E-2</v>
      </c>
      <c r="AF151" s="176"/>
      <c r="AG151" s="176"/>
      <c r="AH151" s="176"/>
      <c r="AI151" s="176"/>
      <c r="AJ151" s="176"/>
      <c r="AK151" s="176"/>
      <c r="AL151" s="176"/>
      <c r="AM151" s="176"/>
      <c r="AN151" s="176"/>
      <c r="AR151" s="92"/>
      <c r="AS151" s="176"/>
      <c r="AT151" s="178"/>
      <c r="AU151" s="178"/>
      <c r="AV151" s="178"/>
      <c r="AW151" s="178"/>
      <c r="AX151" s="178"/>
      <c r="AY151" s="178"/>
      <c r="AZ151" s="176"/>
    </row>
    <row r="152" spans="1:52" s="165" customFormat="1">
      <c r="A152" s="19">
        <f>$P151</f>
        <v>7.7284701331240241E-2</v>
      </c>
      <c r="B152" s="26">
        <f t="shared" si="147"/>
        <v>0.99701502366721884</v>
      </c>
      <c r="C152" s="26">
        <f t="shared" si="148"/>
        <v>1.3414377140414859</v>
      </c>
      <c r="D152" s="26">
        <f t="shared" si="149"/>
        <v>0.32615729834484303</v>
      </c>
      <c r="E152" s="26">
        <f t="shared" si="150"/>
        <v>7.7207788349720086E-2</v>
      </c>
      <c r="F152" s="77">
        <f t="shared" si="151"/>
        <v>1.2575865850371806</v>
      </c>
      <c r="G152" s="77">
        <f t="shared" si="152"/>
        <v>0.12517098743115429</v>
      </c>
      <c r="H152" s="75">
        <f t="shared" si="153"/>
        <v>6.6420461743775333E-2</v>
      </c>
      <c r="I152" s="75">
        <f t="shared" si="154"/>
        <v>0.27035186996635757</v>
      </c>
      <c r="J152" s="77">
        <f t="shared" si="155"/>
        <v>-6.3975991165598226E-2</v>
      </c>
      <c r="K152" s="77">
        <f t="shared" si="156"/>
        <v>-0.82614753912108352</v>
      </c>
      <c r="L152" s="91">
        <f t="shared" si="157"/>
        <v>0.82862095305479866</v>
      </c>
      <c r="M152" s="93"/>
      <c r="N152" s="75">
        <f t="shared" si="158"/>
        <v>4.4980685842688217E-13</v>
      </c>
      <c r="O152" s="75">
        <f t="shared" si="159"/>
        <v>4.4711406659707631E-3</v>
      </c>
      <c r="P152" s="75">
        <f t="shared" si="160"/>
        <v>7.7284701331139641E-2</v>
      </c>
      <c r="AF152" s="176"/>
      <c r="AG152" s="176"/>
      <c r="AH152" s="176"/>
      <c r="AI152" s="176"/>
      <c r="AJ152" s="176"/>
      <c r="AK152" s="176"/>
      <c r="AL152" s="176"/>
      <c r="AM152" s="176"/>
      <c r="AN152" s="176"/>
      <c r="AR152" s="92"/>
      <c r="AS152" s="176"/>
      <c r="AT152" s="178"/>
      <c r="AU152" s="178"/>
      <c r="AV152" s="178"/>
      <c r="AW152" s="178"/>
      <c r="AX152" s="178"/>
      <c r="AY152" s="178"/>
      <c r="AZ152" s="176"/>
    </row>
    <row r="153" spans="1:52" s="165" customFormat="1">
      <c r="A153" s="19">
        <f t="shared" si="161"/>
        <v>7.7284701331139641E-2</v>
      </c>
      <c r="B153" s="26">
        <f t="shared" si="147"/>
        <v>0.9970150236672265</v>
      </c>
      <c r="C153" s="26">
        <f t="shared" si="148"/>
        <v>1.3414377140414937</v>
      </c>
      <c r="D153" s="26">
        <f t="shared" si="149"/>
        <v>0.32615729834469664</v>
      </c>
      <c r="E153" s="26">
        <f t="shared" si="150"/>
        <v>7.7207788349619777E-2</v>
      </c>
      <c r="F153" s="77">
        <f t="shared" si="151"/>
        <v>1.2575865850382575</v>
      </c>
      <c r="G153" s="77">
        <f t="shared" si="152"/>
        <v>0.12517098743167759</v>
      </c>
      <c r="H153" s="75">
        <f t="shared" si="153"/>
        <v>6.6420461743739972E-2</v>
      </c>
      <c r="I153" s="75">
        <f t="shared" si="154"/>
        <v>0.27035186996590121</v>
      </c>
      <c r="J153" s="77">
        <f t="shared" si="155"/>
        <v>-6.3975991165569526E-2</v>
      </c>
      <c r="K153" s="77">
        <f t="shared" si="156"/>
        <v>-0.82614753912179251</v>
      </c>
      <c r="L153" s="91">
        <f t="shared" si="157"/>
        <v>0.82862095305550343</v>
      </c>
      <c r="M153" s="93"/>
      <c r="N153" s="75">
        <f t="shared" si="158"/>
        <v>-6.5503158452884236E-15</v>
      </c>
      <c r="O153" s="75">
        <f t="shared" si="159"/>
        <v>4.4711406655275621E-3</v>
      </c>
      <c r="P153" s="75">
        <f t="shared" si="160"/>
        <v>7.7284701331141112E-2</v>
      </c>
      <c r="AF153" s="176"/>
      <c r="AG153" s="176"/>
      <c r="AH153" s="176"/>
      <c r="AI153" s="176"/>
      <c r="AJ153" s="176"/>
      <c r="AK153" s="176"/>
      <c r="AL153" s="176"/>
      <c r="AM153" s="176"/>
      <c r="AN153" s="176"/>
      <c r="AR153" s="92"/>
      <c r="AS153" s="176"/>
      <c r="AT153" s="178"/>
      <c r="AU153" s="178"/>
      <c r="AV153" s="178"/>
      <c r="AW153" s="178"/>
      <c r="AX153" s="178"/>
      <c r="AY153" s="178"/>
      <c r="AZ153" s="176"/>
    </row>
    <row r="154" spans="1:52" s="165" customFormat="1">
      <c r="A154" s="19">
        <f t="shared" si="161"/>
        <v>7.7284701331141112E-2</v>
      </c>
      <c r="B154" s="26">
        <f t="shared" si="147"/>
        <v>0.99701502366722639</v>
      </c>
      <c r="C154" s="26">
        <f t="shared" si="148"/>
        <v>1.3414377140414935</v>
      </c>
      <c r="D154" s="26">
        <f t="shared" si="149"/>
        <v>0.32615729834469875</v>
      </c>
      <c r="E154" s="26">
        <f t="shared" si="150"/>
        <v>7.7207788349621248E-2</v>
      </c>
      <c r="F154" s="77">
        <f t="shared" si="151"/>
        <v>1.2575865850382415</v>
      </c>
      <c r="G154" s="77">
        <f t="shared" si="152"/>
        <v>0.12517098743166982</v>
      </c>
      <c r="H154" s="81">
        <f t="shared" si="153"/>
        <v>6.6420461743740486E-2</v>
      </c>
      <c r="I154" s="81">
        <f t="shared" si="154"/>
        <v>0.27035186996590782</v>
      </c>
      <c r="J154" s="80">
        <f t="shared" si="155"/>
        <v>-6.3975991165569943E-2</v>
      </c>
      <c r="K154" s="80">
        <f t="shared" si="156"/>
        <v>-0.82614753912178207</v>
      </c>
      <c r="L154" s="91">
        <f t="shared" si="157"/>
        <v>0.82862095305549299</v>
      </c>
      <c r="M154" s="93"/>
      <c r="N154" s="75">
        <f t="shared" si="158"/>
        <v>0</v>
      </c>
      <c r="O154" s="75">
        <f t="shared" si="159"/>
        <v>4.4711406655341679E-3</v>
      </c>
      <c r="P154" s="75">
        <f t="shared" si="160"/>
        <v>7.7284701331141112E-2</v>
      </c>
      <c r="AF154" s="176"/>
      <c r="AG154" s="176"/>
      <c r="AH154" s="176"/>
      <c r="AI154" s="176"/>
      <c r="AJ154" s="176"/>
      <c r="AK154" s="176"/>
      <c r="AL154" s="176"/>
      <c r="AM154" s="176"/>
      <c r="AN154" s="176"/>
      <c r="AR154" s="92"/>
      <c r="AS154" s="176"/>
      <c r="AT154" s="178"/>
      <c r="AU154" s="178"/>
      <c r="AV154" s="178"/>
      <c r="AW154" s="178"/>
      <c r="AX154" s="178"/>
      <c r="AY154" s="178"/>
      <c r="AZ154" s="176"/>
    </row>
    <row r="155" spans="1:52" s="165" customFormat="1">
      <c r="A155" s="88" t="s">
        <v>60</v>
      </c>
      <c r="B155" s="8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AF155" s="176"/>
      <c r="AG155" s="176"/>
      <c r="AH155" s="176"/>
      <c r="AI155" s="176"/>
      <c r="AJ155" s="176"/>
      <c r="AK155" s="176"/>
      <c r="AL155" s="176"/>
      <c r="AM155" s="176"/>
      <c r="AN155" s="176"/>
      <c r="AR155" s="92"/>
      <c r="AS155" s="176"/>
      <c r="AT155" s="178"/>
      <c r="AU155" s="178"/>
      <c r="AV155" s="178"/>
      <c r="AW155" s="178"/>
      <c r="AX155" s="178"/>
      <c r="AY155" s="178"/>
      <c r="AZ155" s="176"/>
    </row>
    <row r="156" spans="1:52" s="165" customFormat="1">
      <c r="A156" s="26" t="s">
        <v>11</v>
      </c>
      <c r="B156" s="26" t="s">
        <v>13</v>
      </c>
      <c r="C156" s="26" t="s">
        <v>22</v>
      </c>
      <c r="D156" s="26" t="s">
        <v>18</v>
      </c>
      <c r="E156" s="26" t="s">
        <v>19</v>
      </c>
      <c r="F156" s="26" t="s">
        <v>20</v>
      </c>
      <c r="G156" s="26" t="s">
        <v>2</v>
      </c>
      <c r="H156" s="26" t="s">
        <v>1</v>
      </c>
      <c r="I156" s="26" t="s">
        <v>0</v>
      </c>
      <c r="J156" s="76" t="s">
        <v>3</v>
      </c>
      <c r="K156" s="76" t="s">
        <v>4</v>
      </c>
      <c r="L156" s="44" t="s">
        <v>7</v>
      </c>
      <c r="M156" s="28"/>
      <c r="N156" s="28"/>
      <c r="O156" s="28"/>
      <c r="P156" s="31"/>
      <c r="AF156" s="176"/>
      <c r="AG156" s="176"/>
      <c r="AH156" s="176"/>
      <c r="AI156" s="176"/>
      <c r="AJ156" s="176"/>
      <c r="AK156" s="176"/>
      <c r="AL156" s="176"/>
      <c r="AM156" s="176"/>
      <c r="AN156" s="176"/>
      <c r="AR156" s="92"/>
      <c r="AS156" s="176"/>
      <c r="AT156" s="178"/>
      <c r="AU156" s="178"/>
      <c r="AV156" s="178"/>
      <c r="AW156" s="178"/>
      <c r="AX156" s="178"/>
      <c r="AY156" s="178"/>
      <c r="AZ156" s="176"/>
    </row>
    <row r="157" spans="1:52" s="165" customFormat="1">
      <c r="A157" s="19">
        <f>$E141</f>
        <v>0.10945138639004949</v>
      </c>
      <c r="B157" s="26">
        <f t="shared" ref="B157:B162" si="162">COS(A157)</f>
        <v>0.99401617424468691</v>
      </c>
      <c r="C157" s="26">
        <f t="shared" ref="C157:C162" si="163">($C$141+B157)</f>
        <v>1.3384388646189542</v>
      </c>
      <c r="D157" s="26">
        <f t="shared" ref="D157:D162" si="164">POWER(TAN(A157/2),$C$141)</f>
        <v>0.36775100990407411</v>
      </c>
      <c r="E157" s="26">
        <f t="shared" ref="E157:E162" si="165">SIN(A157)</f>
        <v>0.1092329865011306</v>
      </c>
      <c r="F157" s="77">
        <f t="shared" ref="F157:F162" si="166">(C157*$H$141*D157/E157/$I$141/$J$141)</f>
        <v>1.0000000000000002</v>
      </c>
      <c r="G157" s="77">
        <f t="shared" ref="G157:G162" si="167">$D$141*($C$141+$G$141)/9.81/SIN($C$138)/(1-$C$141*$C$138)*(F157-1)</f>
        <v>1.0789980560600598E-16</v>
      </c>
      <c r="H157" s="135">
        <f t="shared" ref="H157:H162" si="168">-(-$H$138+$K$141*((POWER(TAN(A157/2),2*$C$141-1)/(2*$C$141-1))+(POWER(TAN(A157/2),2*$C$141+1)/(2*$C$141+1))-(POWER(TAN($E$141/2),2*$C$141-1)/(2*$C$141-1))-(POWER(TAN($E$141/2),2*$C$141+1)/(2*$C$141+1))))</f>
        <v>7.5386930328783117E-2</v>
      </c>
      <c r="I157" s="135">
        <f t="shared" ref="I157:I162" si="169">-(-$I$138+0.5*$K$141*((POWER(TAN(A157/2),2*$C$141-2)/(2*$C$141-2))-(POWER(TAN(A157/2),2*$C$141+2)/(2*$C$141+2))-(POWER(TAN($E$141/2),2*$C$141-2)/(2*$C$141-2))+(POWER(TAN($E$141/2),2*$C$141+2)/(2*$C$141+2))))</f>
        <v>0.36836040959449901</v>
      </c>
      <c r="J157" s="77">
        <f t="shared" ref="J157:J162" si="170">-$D$141*SIN(A157)*($C$141+$G$141)/($C$141+B157)*F157</f>
        <v>-7.2134627923879105E-2</v>
      </c>
      <c r="K157" s="77">
        <f t="shared" ref="K157:K162" si="171">-$D$141*COS(A157)*($C$141+$G$141)/($C$141+B157)*F157</f>
        <v>-0.65642247068577686</v>
      </c>
      <c r="L157" s="91">
        <f t="shared" ref="L157:L162" si="172">SQRT(J157*J157+K157*K157)</f>
        <v>0.66037403383759419</v>
      </c>
      <c r="M157" s="28"/>
      <c r="N157" s="28"/>
      <c r="O157" s="28"/>
      <c r="P157" s="31"/>
      <c r="AF157" s="176"/>
      <c r="AG157" s="176"/>
      <c r="AH157" s="176"/>
      <c r="AI157" s="176"/>
      <c r="AJ157" s="176"/>
      <c r="AK157" s="176"/>
      <c r="AL157" s="176"/>
      <c r="AM157" s="176"/>
      <c r="AN157" s="176"/>
      <c r="AR157" s="92"/>
      <c r="AS157" s="176"/>
      <c r="AT157" s="178"/>
      <c r="AU157" s="178"/>
      <c r="AV157" s="178"/>
      <c r="AW157" s="178"/>
      <c r="AX157" s="178"/>
      <c r="AY157" s="178"/>
      <c r="AZ157" s="176"/>
    </row>
    <row r="158" spans="1:52" s="165" customFormat="1">
      <c r="A158" s="20">
        <f>A157-$F$141</f>
        <v>0.10303804937826781</v>
      </c>
      <c r="B158" s="26">
        <f t="shared" si="162"/>
        <v>0.99469627508187031</v>
      </c>
      <c r="C158" s="26">
        <f t="shared" si="163"/>
        <v>1.3391189654561375</v>
      </c>
      <c r="D158" s="26">
        <f t="shared" si="164"/>
        <v>0.36016777130562727</v>
      </c>
      <c r="E158" s="26">
        <f t="shared" si="165"/>
        <v>0.10285582306438559</v>
      </c>
      <c r="F158" s="77">
        <f t="shared" si="166"/>
        <v>1.0406304275578593</v>
      </c>
      <c r="G158" s="77">
        <f t="shared" si="167"/>
        <v>1.9743849379551894E-2</v>
      </c>
      <c r="H158" s="135">
        <f t="shared" si="168"/>
        <v>7.3898283955263225E-2</v>
      </c>
      <c r="I158" s="135">
        <f t="shared" si="169"/>
        <v>0.35439185907597842</v>
      </c>
      <c r="J158" s="77">
        <f t="shared" si="170"/>
        <v>-7.0647170160269834E-2</v>
      </c>
      <c r="K158" s="77">
        <f t="shared" si="171"/>
        <v>-0.68321340406275644</v>
      </c>
      <c r="L158" s="91">
        <f t="shared" si="172"/>
        <v>0.68685630094123284</v>
      </c>
      <c r="M158" s="28"/>
      <c r="N158" s="28"/>
      <c r="O158" s="28"/>
      <c r="P158" s="31"/>
      <c r="AF158" s="176"/>
      <c r="AG158" s="176"/>
      <c r="AH158" s="176"/>
      <c r="AI158" s="176"/>
      <c r="AJ158" s="176"/>
      <c r="AK158" s="176"/>
      <c r="AL158" s="176"/>
      <c r="AM158" s="176"/>
      <c r="AN158" s="176"/>
      <c r="AR158" s="92"/>
      <c r="AS158" s="176"/>
      <c r="AT158" s="178"/>
      <c r="AU158" s="178"/>
      <c r="AV158" s="178"/>
      <c r="AW158" s="178"/>
      <c r="AX158" s="178"/>
      <c r="AY158" s="178"/>
      <c r="AZ158" s="176"/>
    </row>
    <row r="159" spans="1:52" s="165" customFormat="1">
      <c r="A159" s="20">
        <f>A158-$F$141</f>
        <v>9.6624712366486135E-2</v>
      </c>
      <c r="B159" s="26">
        <f t="shared" si="162"/>
        <v>0.99533546331459311</v>
      </c>
      <c r="C159" s="26">
        <f t="shared" si="163"/>
        <v>1.3397581536888603</v>
      </c>
      <c r="D159" s="26">
        <f t="shared" si="164"/>
        <v>0.35227046506392179</v>
      </c>
      <c r="E159" s="26">
        <f t="shared" si="165"/>
        <v>9.647442909042947E-2</v>
      </c>
      <c r="F159" s="77">
        <f t="shared" si="166"/>
        <v>1.0856549557243487</v>
      </c>
      <c r="G159" s="77">
        <f t="shared" si="167"/>
        <v>4.1622957130476958E-2</v>
      </c>
      <c r="H159" s="135">
        <f t="shared" si="168"/>
        <v>7.2283748502738707E-2</v>
      </c>
      <c r="I159" s="135">
        <f t="shared" si="169"/>
        <v>0.33826014956179989</v>
      </c>
      <c r="J159" s="77">
        <f t="shared" si="170"/>
        <v>-6.9098107800128511E-2</v>
      </c>
      <c r="K159" s="77">
        <f t="shared" si="171"/>
        <v>-0.71289146553991234</v>
      </c>
      <c r="L159" s="91">
        <f t="shared" si="172"/>
        <v>0.71623235764743431</v>
      </c>
      <c r="M159" s="45"/>
      <c r="N159" s="28"/>
      <c r="O159" s="28"/>
      <c r="P159" s="31"/>
      <c r="AF159" s="176"/>
      <c r="AG159" s="176"/>
      <c r="AH159" s="176"/>
      <c r="AI159" s="176"/>
      <c r="AJ159" s="176"/>
      <c r="AK159" s="176"/>
      <c r="AL159" s="176"/>
      <c r="AM159" s="176"/>
      <c r="AN159" s="176"/>
      <c r="AR159" s="92"/>
      <c r="AS159" s="176"/>
      <c r="AT159" s="178"/>
      <c r="AU159" s="178"/>
      <c r="AV159" s="178"/>
      <c r="AW159" s="178"/>
      <c r="AX159" s="178"/>
      <c r="AY159" s="178"/>
      <c r="AZ159" s="176"/>
    </row>
    <row r="160" spans="1:52" s="165" customFormat="1">
      <c r="A160" s="20">
        <f>A159-$F$141</f>
        <v>9.0211375354704457E-2</v>
      </c>
      <c r="B160" s="26">
        <f t="shared" si="162"/>
        <v>0.99593371265256347</v>
      </c>
      <c r="C160" s="26">
        <f t="shared" si="163"/>
        <v>1.3403564030268307</v>
      </c>
      <c r="D160" s="26">
        <f t="shared" si="164"/>
        <v>0.34402358459364651</v>
      </c>
      <c r="E160" s="26">
        <f t="shared" si="165"/>
        <v>9.0089067050786537E-2</v>
      </c>
      <c r="F160" s="77">
        <f t="shared" si="166"/>
        <v>1.1358940258885701</v>
      </c>
      <c r="G160" s="77">
        <f t="shared" si="167"/>
        <v>6.6036006510245521E-2</v>
      </c>
      <c r="H160" s="135">
        <f t="shared" si="168"/>
        <v>7.0523077726312194E-2</v>
      </c>
      <c r="I160" s="135">
        <f t="shared" si="169"/>
        <v>0.31945067958374895</v>
      </c>
      <c r="J160" s="77">
        <f t="shared" si="170"/>
        <v>-6.7480476200935419E-2</v>
      </c>
      <c r="K160" s="77">
        <f t="shared" si="171"/>
        <v>-0.74599597259092498</v>
      </c>
      <c r="L160" s="91">
        <f t="shared" si="172"/>
        <v>0.74904179175142493</v>
      </c>
      <c r="M160" s="45"/>
      <c r="N160" s="28"/>
      <c r="O160" s="28"/>
      <c r="P160" s="31"/>
      <c r="AF160" s="176"/>
      <c r="AG160" s="176"/>
      <c r="AH160" s="176"/>
      <c r="AI160" s="176"/>
      <c r="AJ160" s="176"/>
      <c r="AK160" s="176"/>
      <c r="AL160" s="176"/>
      <c r="AM160" s="176"/>
      <c r="AN160" s="176"/>
      <c r="AR160" s="92"/>
      <c r="AS160" s="176"/>
      <c r="AT160" s="178"/>
      <c r="AU160" s="178"/>
      <c r="AV160" s="178"/>
      <c r="AW160" s="178"/>
      <c r="AX160" s="178"/>
      <c r="AY160" s="178"/>
      <c r="AZ160" s="176"/>
    </row>
    <row r="161" spans="1:52" s="165" customFormat="1">
      <c r="A161" s="20">
        <f>A160-$F$141</f>
        <v>8.3798038342922779E-2</v>
      </c>
      <c r="B161" s="26">
        <f t="shared" si="162"/>
        <v>0.99649099848933709</v>
      </c>
      <c r="C161" s="26">
        <f t="shared" si="163"/>
        <v>1.3409136888636044</v>
      </c>
      <c r="D161" s="26">
        <f t="shared" si="164"/>
        <v>0.33538475092994102</v>
      </c>
      <c r="E161" s="26">
        <f t="shared" si="165"/>
        <v>8.369999958019067E-2</v>
      </c>
      <c r="F161" s="77">
        <f t="shared" si="166"/>
        <v>1.1923948065596122</v>
      </c>
      <c r="G161" s="77">
        <f t="shared" si="167"/>
        <v>9.349185599171049E-2</v>
      </c>
      <c r="H161" s="135">
        <f t="shared" si="168"/>
        <v>6.8591019531614617E-2</v>
      </c>
      <c r="I161" s="135">
        <f t="shared" si="169"/>
        <v>0.2972771353170463</v>
      </c>
      <c r="J161" s="77">
        <f t="shared" si="170"/>
        <v>-6.5785962697926345E-2</v>
      </c>
      <c r="K161" s="77">
        <f t="shared" si="171"/>
        <v>-0.78321529252377531</v>
      </c>
      <c r="L161" s="91">
        <f t="shared" si="172"/>
        <v>0.78597327392933403</v>
      </c>
      <c r="M161" s="45"/>
      <c r="N161" s="28"/>
      <c r="O161" s="28"/>
      <c r="P161" s="89"/>
      <c r="AF161" s="176"/>
      <c r="AG161" s="176"/>
      <c r="AH161" s="176"/>
      <c r="AI161" s="176"/>
      <c r="AJ161" s="176"/>
      <c r="AK161" s="176"/>
      <c r="AL161" s="176"/>
      <c r="AM161" s="176"/>
      <c r="AN161" s="176"/>
      <c r="AR161" s="92"/>
      <c r="AS161" s="176"/>
      <c r="AT161" s="178"/>
      <c r="AU161" s="178"/>
      <c r="AV161" s="178"/>
      <c r="AW161" s="178"/>
      <c r="AX161" s="178"/>
      <c r="AY161" s="178"/>
      <c r="AZ161" s="176"/>
    </row>
    <row r="162" spans="1:52" s="165" customFormat="1">
      <c r="A162" s="20">
        <f>A161-$F$141</f>
        <v>7.7384701331141101E-2</v>
      </c>
      <c r="B162" s="26">
        <f t="shared" si="162"/>
        <v>0.9970072979033292</v>
      </c>
      <c r="C162" s="26">
        <f t="shared" si="163"/>
        <v>1.3414299882775964</v>
      </c>
      <c r="D162" s="26">
        <f t="shared" si="164"/>
        <v>0.32630273513939628</v>
      </c>
      <c r="E162" s="26">
        <f t="shared" si="165"/>
        <v>7.730748946578285E-2</v>
      </c>
      <c r="F162" s="77">
        <f t="shared" si="166"/>
        <v>1.2565175243749036</v>
      </c>
      <c r="G162" s="77">
        <f t="shared" si="167"/>
        <v>0.12465149073957892</v>
      </c>
      <c r="H162" s="135">
        <f t="shared" si="168"/>
        <v>6.6455574007535115E-2</v>
      </c>
      <c r="I162" s="135">
        <f t="shared" si="169"/>
        <v>0.27080499448103035</v>
      </c>
      <c r="J162" s="77">
        <f t="shared" si="170"/>
        <v>-6.4004518698573001E-2</v>
      </c>
      <c r="K162" s="77">
        <f t="shared" si="171"/>
        <v>-0.82544359779671417</v>
      </c>
      <c r="L162" s="91">
        <f t="shared" si="172"/>
        <v>0.82792131966595683</v>
      </c>
      <c r="M162" s="45"/>
      <c r="N162" s="28"/>
      <c r="O162" s="28"/>
      <c r="P162" s="28"/>
      <c r="AF162" s="176"/>
      <c r="AG162" s="176"/>
      <c r="AH162" s="176"/>
      <c r="AI162" s="176"/>
      <c r="AJ162" s="176"/>
      <c r="AK162" s="176"/>
      <c r="AL162" s="176"/>
      <c r="AM162" s="176"/>
      <c r="AN162" s="176"/>
      <c r="AR162" s="92"/>
      <c r="AS162" s="176"/>
      <c r="AT162" s="178"/>
      <c r="AU162" s="178"/>
      <c r="AV162" s="178"/>
      <c r="AW162" s="178"/>
      <c r="AX162" s="178"/>
      <c r="AY162" s="178"/>
      <c r="AZ162" s="176"/>
    </row>
    <row r="163" spans="1:52" s="165" customFormat="1">
      <c r="A163" s="142"/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AF163" s="176"/>
      <c r="AG163" s="176"/>
      <c r="AH163" s="176"/>
      <c r="AI163" s="176"/>
      <c r="AJ163" s="176"/>
      <c r="AK163" s="176"/>
      <c r="AL163" s="176"/>
      <c r="AM163" s="176"/>
      <c r="AN163" s="176"/>
      <c r="AR163" s="92"/>
      <c r="AS163" s="176"/>
      <c r="AT163" s="178"/>
      <c r="AU163" s="178"/>
      <c r="AV163" s="178"/>
      <c r="AW163" s="178"/>
      <c r="AX163" s="178"/>
      <c r="AY163" s="178"/>
      <c r="AZ163" s="176"/>
    </row>
    <row r="164" spans="1:52" s="165" customFormat="1">
      <c r="A164" s="88" t="s">
        <v>73</v>
      </c>
      <c r="B164" s="88"/>
      <c r="C164" s="23" t="str">
        <f>CONCATENATE("m",Stufengrün!AH50)</f>
        <v>m2</v>
      </c>
      <c r="D164" s="23" t="s">
        <v>30</v>
      </c>
      <c r="E164" s="28"/>
      <c r="F164" s="28"/>
      <c r="G164" s="28"/>
      <c r="H164" s="36" t="s">
        <v>57</v>
      </c>
      <c r="I164" s="36" t="s">
        <v>51</v>
      </c>
      <c r="J164" s="36" t="s">
        <v>58</v>
      </c>
      <c r="K164" s="36" t="s">
        <v>59</v>
      </c>
      <c r="L164" s="28"/>
      <c r="M164" s="28"/>
      <c r="N164" s="28"/>
      <c r="O164" s="28"/>
      <c r="P164" s="28"/>
      <c r="AF164" s="176"/>
      <c r="AG164" s="176"/>
      <c r="AH164" s="176"/>
      <c r="AI164" s="176"/>
      <c r="AJ164" s="176"/>
      <c r="AK164" s="176"/>
      <c r="AL164" s="176"/>
      <c r="AM164" s="176"/>
      <c r="AN164" s="176"/>
      <c r="AR164" s="92"/>
      <c r="AS164" s="176"/>
      <c r="AT164" s="178"/>
      <c r="AU164" s="178"/>
      <c r="AV164" s="178"/>
      <c r="AW164" s="178"/>
      <c r="AX164" s="178"/>
      <c r="AY164" s="178"/>
      <c r="AZ164" s="176"/>
    </row>
    <row r="165" spans="1:52" s="165" customFormat="1">
      <c r="A165" s="88" t="s">
        <v>69</v>
      </c>
      <c r="B165" s="88"/>
      <c r="C165" s="36">
        <f>Stufengrün!AI50</f>
        <v>0.26129405619084795</v>
      </c>
      <c r="D165" s="26">
        <f>Stufengrün!AK49</f>
        <v>0.18321833372345622</v>
      </c>
      <c r="E165" s="28"/>
      <c r="F165" s="28"/>
      <c r="G165" s="28"/>
      <c r="H165" s="78">
        <f>H154</f>
        <v>6.6420461743740486E-2</v>
      </c>
      <c r="I165" s="78">
        <f>I154</f>
        <v>0.27035186996590782</v>
      </c>
      <c r="J165" s="78">
        <f>J154</f>
        <v>-6.3975991165569943E-2</v>
      </c>
      <c r="K165" s="78">
        <f>K154</f>
        <v>-0.82614753912178207</v>
      </c>
      <c r="L165" s="28"/>
      <c r="M165" s="28"/>
      <c r="N165" s="28"/>
      <c r="O165" s="28"/>
      <c r="P165" s="28"/>
      <c r="AF165" s="176"/>
      <c r="AG165" s="176"/>
      <c r="AH165" s="176"/>
      <c r="AI165" s="176"/>
      <c r="AJ165" s="176"/>
      <c r="AK165" s="176"/>
      <c r="AL165" s="176"/>
      <c r="AM165" s="176"/>
      <c r="AN165" s="176"/>
      <c r="AR165" s="92"/>
      <c r="AS165" s="176"/>
      <c r="AT165" s="178"/>
      <c r="AU165" s="178"/>
      <c r="AV165" s="178"/>
      <c r="AW165" s="178"/>
      <c r="AX165" s="178"/>
      <c r="AY165" s="178"/>
      <c r="AZ165" s="176"/>
    </row>
    <row r="166" spans="1:52" s="165" customFormat="1">
      <c r="A166" s="95"/>
      <c r="B166" s="95"/>
      <c r="C166" s="28"/>
      <c r="D166" s="28"/>
      <c r="E166" s="28"/>
      <c r="F166" s="28"/>
      <c r="G166" s="28"/>
      <c r="H166" s="37" t="s">
        <v>8</v>
      </c>
      <c r="I166" s="37" t="s">
        <v>8</v>
      </c>
      <c r="J166" s="37" t="s">
        <v>9</v>
      </c>
      <c r="K166" s="37" t="s">
        <v>9</v>
      </c>
      <c r="L166" s="28"/>
      <c r="M166" s="28"/>
      <c r="N166" s="28"/>
      <c r="O166" s="28"/>
      <c r="P166" s="28"/>
      <c r="AF166" s="176"/>
      <c r="AG166" s="176"/>
      <c r="AH166" s="176"/>
      <c r="AI166" s="176"/>
      <c r="AJ166" s="176"/>
      <c r="AK166" s="176"/>
      <c r="AL166" s="176"/>
      <c r="AM166" s="176"/>
      <c r="AN166" s="176"/>
      <c r="AR166" s="92"/>
      <c r="AS166" s="176"/>
      <c r="AT166" s="178"/>
      <c r="AU166" s="178"/>
      <c r="AV166" s="178"/>
      <c r="AW166" s="178"/>
      <c r="AX166" s="178"/>
      <c r="AY166" s="178"/>
      <c r="AZ166" s="176"/>
    </row>
    <row r="167" spans="1:52" s="165" customFormat="1">
      <c r="A167" s="88" t="s">
        <v>68</v>
      </c>
      <c r="B167" s="88"/>
      <c r="C167" s="115" t="s">
        <v>15</v>
      </c>
      <c r="D167" s="115" t="s">
        <v>55</v>
      </c>
      <c r="E167" s="115" t="s">
        <v>12</v>
      </c>
      <c r="F167" s="115" t="s">
        <v>10</v>
      </c>
      <c r="G167" s="115" t="s">
        <v>14</v>
      </c>
      <c r="H167" s="115" t="s">
        <v>21</v>
      </c>
      <c r="I167" s="115" t="s">
        <v>16</v>
      </c>
      <c r="J167" s="115" t="s">
        <v>17</v>
      </c>
      <c r="K167" s="115" t="s">
        <v>23</v>
      </c>
      <c r="L167" s="28"/>
      <c r="M167" s="28"/>
      <c r="N167" s="28"/>
      <c r="O167" s="28"/>
      <c r="P167" s="28"/>
      <c r="AF167" s="176"/>
      <c r="AG167" s="176"/>
      <c r="AH167" s="176"/>
      <c r="AI167" s="176"/>
      <c r="AJ167" s="176"/>
      <c r="AK167" s="176"/>
      <c r="AL167" s="176"/>
      <c r="AM167" s="176"/>
      <c r="AN167" s="176"/>
      <c r="AR167" s="92"/>
      <c r="AS167" s="176"/>
      <c r="AT167" s="178"/>
      <c r="AU167" s="178"/>
      <c r="AV167" s="178"/>
      <c r="AW167" s="178"/>
      <c r="AX167" s="178"/>
      <c r="AY167" s="178"/>
      <c r="AZ167" s="176"/>
    </row>
    <row r="168" spans="1:52" s="165" customFormat="1">
      <c r="A168" s="28"/>
      <c r="B168" s="28"/>
      <c r="C168" s="23">
        <f>Mü/TAN($C165)</f>
        <v>0.26177261284076359</v>
      </c>
      <c r="D168" s="42">
        <f>SQRT($J165*$J165+$K165*$K165)</f>
        <v>0.82862095305549299</v>
      </c>
      <c r="E168" s="20">
        <f>ATAN($J165/$K165)</f>
        <v>7.7284701331141112E-2</v>
      </c>
      <c r="F168" s="23">
        <f>($E168-A181-0.0001)/5</f>
        <v>3.5617645903479817E-3</v>
      </c>
      <c r="G168" s="23">
        <f>COS($E168)</f>
        <v>0.99701502366722639</v>
      </c>
      <c r="H168" s="23">
        <f>SIN($E168)</f>
        <v>7.7207788349621248E-2</v>
      </c>
      <c r="I168" s="23">
        <f>$C168+$G168</f>
        <v>1.25878763650799</v>
      </c>
      <c r="J168" s="23">
        <f>POWER(TAN($E168/2),$C168)</f>
        <v>0.42676474655967356</v>
      </c>
      <c r="K168" s="23">
        <f>-$D168*$D168*SIN($E168)*SIN($E168)/(2*9.81*SIN($C165)*POWER(TAN($E168/2),2*$C168))</f>
        <v>-4.4338563011219936E-3</v>
      </c>
      <c r="L168" s="28"/>
      <c r="M168" s="28"/>
      <c r="N168" s="28"/>
      <c r="O168" s="28"/>
      <c r="P168" s="28"/>
      <c r="AF168" s="176"/>
      <c r="AG168" s="176"/>
      <c r="AH168" s="176"/>
      <c r="AI168" s="176"/>
      <c r="AJ168" s="176"/>
      <c r="AK168" s="176"/>
      <c r="AL168" s="176"/>
      <c r="AM168" s="176"/>
      <c r="AN168" s="176"/>
      <c r="AR168" s="92"/>
      <c r="AS168" s="176"/>
      <c r="AT168" s="178"/>
      <c r="AU168" s="178"/>
      <c r="AV168" s="178"/>
      <c r="AW168" s="178"/>
      <c r="AX168" s="178"/>
      <c r="AY168" s="178"/>
      <c r="AZ168" s="176"/>
    </row>
    <row r="169" spans="1:52" s="165" customFormat="1">
      <c r="A169" s="88" t="s">
        <v>70</v>
      </c>
      <c r="B169" s="8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45"/>
      <c r="N169" s="28"/>
      <c r="O169" s="28"/>
      <c r="P169" s="28"/>
      <c r="AF169" s="176"/>
      <c r="AG169" s="176"/>
      <c r="AH169" s="176"/>
      <c r="AI169" s="176"/>
      <c r="AJ169" s="176"/>
      <c r="AK169" s="176"/>
      <c r="AL169" s="176"/>
      <c r="AM169" s="176"/>
      <c r="AN169" s="176"/>
      <c r="AR169" s="92"/>
      <c r="AS169" s="176"/>
      <c r="AT169" s="178"/>
      <c r="AU169" s="178"/>
      <c r="AV169" s="178"/>
      <c r="AW169" s="178"/>
      <c r="AX169" s="178"/>
      <c r="AY169" s="178"/>
      <c r="AZ169" s="176"/>
    </row>
    <row r="170" spans="1:52" s="165" customFormat="1">
      <c r="A170" s="115" t="s">
        <v>11</v>
      </c>
      <c r="B170" s="115" t="s">
        <v>13</v>
      </c>
      <c r="C170" s="117" t="s">
        <v>22</v>
      </c>
      <c r="D170" s="117" t="s">
        <v>18</v>
      </c>
      <c r="E170" s="115" t="s">
        <v>19</v>
      </c>
      <c r="F170" s="117" t="s">
        <v>20</v>
      </c>
      <c r="G170" s="117" t="s">
        <v>2</v>
      </c>
      <c r="H170" s="117" t="s">
        <v>65</v>
      </c>
      <c r="I170" s="117" t="s">
        <v>66</v>
      </c>
      <c r="J170" s="118" t="s">
        <v>3</v>
      </c>
      <c r="K170" s="118" t="s">
        <v>4</v>
      </c>
      <c r="L170" s="116" t="s">
        <v>7</v>
      </c>
      <c r="M170" s="93"/>
      <c r="N170" s="117" t="s">
        <v>61</v>
      </c>
      <c r="O170" s="117" t="s">
        <v>62</v>
      </c>
      <c r="P170" s="115" t="s">
        <v>63</v>
      </c>
      <c r="AF170" s="176"/>
      <c r="AG170" s="176"/>
      <c r="AH170" s="176"/>
      <c r="AI170" s="176"/>
      <c r="AJ170" s="176"/>
      <c r="AK170" s="176"/>
      <c r="AL170" s="176"/>
      <c r="AM170" s="176"/>
      <c r="AN170" s="176"/>
      <c r="AR170" s="92"/>
      <c r="AS170" s="176"/>
      <c r="AT170" s="178"/>
      <c r="AU170" s="178"/>
      <c r="AV170" s="178"/>
      <c r="AW170" s="178"/>
      <c r="AX170" s="178"/>
      <c r="AY170" s="178"/>
      <c r="AZ170" s="176"/>
    </row>
    <row r="171" spans="1:52" s="165" customFormat="1">
      <c r="A171" s="19">
        <f>$E168</f>
        <v>7.7284701331141112E-2</v>
      </c>
      <c r="B171" s="26">
        <f>COS(A171)</f>
        <v>0.99701502366722639</v>
      </c>
      <c r="C171" s="26">
        <f>($C$168+B171)</f>
        <v>1.25878763650799</v>
      </c>
      <c r="D171" s="26">
        <f>POWER(TAN(A171/2),$C$168)</f>
        <v>0.42676474655967356</v>
      </c>
      <c r="E171" s="26">
        <f>SIN(A171)</f>
        <v>7.7207788349621248E-2</v>
      </c>
      <c r="F171" s="77">
        <f>(C171*$H$168*D171/E171/$I$168/$J$168)</f>
        <v>1.0000000000000002</v>
      </c>
      <c r="G171" s="77">
        <f>$D$168*($C$168+$G$168)/9.81/SIN($C$165)/(1-$C$168*$C$165)*(F171-1)</f>
        <v>9.810103485488575E-17</v>
      </c>
      <c r="H171" s="75">
        <f>-(-$H$165+$K$168*((POWER(TAN(A171/2),2*$C$168-1)/(2*$C$168-1))+(POWER(TAN(A171/2),2*$C$168+1)/(2*$C$168+1))-(POWER(TAN($E$168/2),2*$C$168-1)/(2*$C$168-1))-(POWER(TAN($E$168/2),2*$C$168+1)/(2*$C$168+1))))</f>
        <v>6.6420461743740486E-2</v>
      </c>
      <c r="I171" s="75">
        <f>-(-$I$165+0.5*$K$168*((POWER(TAN(A171/2),2*$C$168-2)/(2*$C$168-2))-(POWER(TAN(A171/2),2*$C$168+2)/(2*$C$168+2))-(POWER(TAN($E$168/2),2*$C$168-2)/(2*$C$168-2))+(POWER(TAN($E$168/2),2*$C$168+2)/(2*$C$168+2))))</f>
        <v>0.27035186996590782</v>
      </c>
      <c r="J171" s="77">
        <f>-$D$168*SIN(A171)*($C$168+$G$168)/($C$168+B171)*F171</f>
        <v>-6.3975991165569956E-2</v>
      </c>
      <c r="K171" s="77">
        <f>-$D$168*COS(A171)*($C$168+$G$168)/($C$168+B171)*F171</f>
        <v>-0.82614753912178229</v>
      </c>
      <c r="L171" s="91">
        <f>SQRT(J171*J171+K171*K171)</f>
        <v>0.82862095305549321</v>
      </c>
      <c r="M171" s="93"/>
      <c r="N171" s="75">
        <f>-(-$I$165+0.5*$K$168*((POWER(TAN(A171/2),2*$C$168-2)/(2*$C$168-2))-(POWER(TAN(A171/2),2*$C$168+2)/(2*$C$168+2))-(POWER(TAN($E$168/2),2*$C$168-2)/(2*$C$168-2))+(POWER(TAN($E$168/2),2*$C$168+2)/(2*$C$168+2))))-$D$165</f>
        <v>8.7133536242451598E-2</v>
      </c>
      <c r="O171" s="75">
        <f>-(-$I$165+0.5*$K$168*((POWER(TAN((A171+$M$9)/2),2*$C$168-2)/(2*$C$168-2))-(POWER(TAN((A171+$M$9)/2),2*$C$168+2)/(2*$C$168+2))-(POWER(TAN($E$168/2),2*$C$168-2)/(2*$C$168-2))+(POWER(TAN($E$168/2),2*$C$168+2)/(2*$C$168+2))))-$D$165</f>
        <v>9.0577023961114139E-2</v>
      </c>
      <c r="P171" s="75">
        <f>A171-N171/(O171-N171)*$M$9</f>
        <v>5.1980839850753871E-2</v>
      </c>
      <c r="AF171" s="176"/>
      <c r="AG171" s="176"/>
      <c r="AH171" s="176"/>
      <c r="AI171" s="176"/>
      <c r="AJ171" s="176"/>
      <c r="AK171" s="176"/>
      <c r="AL171" s="176"/>
      <c r="AM171" s="176"/>
      <c r="AN171" s="176"/>
      <c r="AR171" s="92"/>
      <c r="AS171" s="176"/>
      <c r="AT171" s="178"/>
      <c r="AU171" s="178"/>
      <c r="AV171" s="178"/>
      <c r="AW171" s="178"/>
      <c r="AX171" s="178"/>
      <c r="AY171" s="178"/>
      <c r="AZ171" s="176"/>
    </row>
    <row r="172" spans="1:52" s="165" customFormat="1">
      <c r="A172" s="19">
        <f>$P171</f>
        <v>5.1980839850753871E-2</v>
      </c>
      <c r="B172" s="26">
        <f>COS(A172)</f>
        <v>0.99864930031871102</v>
      </c>
      <c r="C172" s="26">
        <f>($C$168+B172)</f>
        <v>1.2604219131594747</v>
      </c>
      <c r="D172" s="26">
        <f>POWER(TAN(A172/2),$C$168)</f>
        <v>0.38465124039845405</v>
      </c>
      <c r="E172" s="26">
        <f>SIN(A172)</f>
        <v>5.1957434241395893E-2</v>
      </c>
      <c r="F172" s="77">
        <f>(C172*$H$168*D172/E172/$I$168/$J$168)</f>
        <v>1.3410824902593328</v>
      </c>
      <c r="G172" s="77">
        <f>$D$168*($C$168+$G$168)/9.81/SIN($C$165)/(1-$C$168*$C$165)*(F172-1)</f>
        <v>0.15069289918851794</v>
      </c>
      <c r="H172" s="75">
        <f>-(-$H$165+$K$168*((POWER(TAN(A172/2),2*$C$168-1)/(2*$C$168-1))+(POWER(TAN(A172/2),2*$C$168+1)/(2*$C$168+1))-(POWER(TAN($E$168/2),2*$C$168-1)/(2*$C$168-1))-(POWER(TAN($E$168/2),2*$C$168+1)/(2*$C$168+1))))</f>
        <v>5.7285534904894429E-2</v>
      </c>
      <c r="I172" s="75">
        <f>-(-$I$165+0.5*$K$168*((POWER(TAN(A172/2),2*$C$168-2)/(2*$C$168-2))-(POWER(TAN(A172/2),2*$C$168+2)/(2*$C$168+2))-(POWER(TAN($E$168/2),2*$C$168-2)/(2*$C$168-2))+(POWER(TAN($E$168/2),2*$C$168+2)/(2*$C$168+2))))</f>
        <v>0.12457582012927973</v>
      </c>
      <c r="J172" s="77">
        <f>-$D$168*SIN(A172)*($C$168+$G$168)/($C$168+B172)*F172</f>
        <v>-5.7662786244496118E-2</v>
      </c>
      <c r="K172" s="77">
        <f>-$D$168*COS(A172)*($C$168+$G$168)/($C$168+B172)*F172</f>
        <v>-1.1083091761219803</v>
      </c>
      <c r="L172" s="91">
        <f>SQRT(J172*J172+K172*K172)</f>
        <v>1.1098081936954969</v>
      </c>
      <c r="M172" s="93"/>
      <c r="N172" s="75">
        <f>-(-$I$165+0.5*$K$168*((POWER(TAN(A172/2),2*$C$168-2)/(2*$C$168-2))-(POWER(TAN(A172/2),2*$C$168+2)/(2*$C$168+2))-(POWER(TAN($E$168/2),2*$C$168-2)/(2*$C$168-2))+(POWER(TAN($E$168/2),2*$C$168+2)/(2*$C$168+2))))-$D$165</f>
        <v>-5.8642513594176493E-2</v>
      </c>
      <c r="O172" s="75">
        <f t="shared" ref="O172:O181" si="173">-(-$I$165+0.5*$K$168*((POWER(TAN((A172+$M$9)/2),2*$C$168-2)/(2*$C$168-2))-(POWER(TAN((A172+$M$9)/2),2*$C$168+2)/(2*$C$168+2))-(POWER(TAN($E$168/2),2*$C$168-2)/(2*$C$168-2))+(POWER(TAN($E$168/2),2*$C$168+2)/(2*$C$168+2))))-$D$165</f>
        <v>-4.9518676632638481E-2</v>
      </c>
      <c r="P172" s="75">
        <f t="shared" ref="P172:P181" si="174">A172-N172/(O172-N172)*$M$9</f>
        <v>5.8408235894916755E-2</v>
      </c>
      <c r="AF172" s="176"/>
      <c r="AG172" s="176"/>
      <c r="AH172" s="176"/>
      <c r="AI172" s="176"/>
      <c r="AJ172" s="176"/>
      <c r="AK172" s="176"/>
      <c r="AL172" s="176"/>
      <c r="AM172" s="176"/>
      <c r="AN172" s="176"/>
      <c r="AR172" s="92"/>
      <c r="AS172" s="176"/>
      <c r="AT172" s="178"/>
      <c r="AU172" s="178"/>
      <c r="AV172" s="178"/>
      <c r="AW172" s="178"/>
      <c r="AX172" s="178"/>
      <c r="AY172" s="178"/>
      <c r="AZ172" s="176"/>
    </row>
    <row r="173" spans="1:52" s="165" customFormat="1">
      <c r="A173" s="19">
        <f t="shared" ref="A173:A181" si="175">$P172</f>
        <v>5.8408235894916755E-2</v>
      </c>
      <c r="B173" s="26">
        <f t="shared" ref="B173:B181" si="176">COS(A173)</f>
        <v>0.99829472387145013</v>
      </c>
      <c r="C173" s="26">
        <f t="shared" ref="C173:C181" si="177">($C$168+B173)</f>
        <v>1.2600673367122137</v>
      </c>
      <c r="D173" s="26">
        <f t="shared" ref="D173:D181" si="178">POWER(TAN(A173/2),$C$168)</f>
        <v>0.39657708628300797</v>
      </c>
      <c r="E173" s="26">
        <f t="shared" ref="E173:E181" si="179">SIN(A173)</f>
        <v>5.8375031395495949E-2</v>
      </c>
      <c r="F173" s="77">
        <f t="shared" ref="F173:F181" si="180">(C173*$H$168*D173/E173/$I$168/$J$168)</f>
        <v>1.2303094250177975</v>
      </c>
      <c r="G173" s="77">
        <f t="shared" ref="G173:G181" si="181">$D$168*($C$168+$G$168)/9.81/SIN($C$165)/(1-$C$168*$C$165)*(F173-1)</f>
        <v>0.10175249670537098</v>
      </c>
      <c r="H173" s="75">
        <f t="shared" ref="H173:H181" si="182">-(-$H$165+$K$168*((POWER(TAN(A173/2),2*$C$168-1)/(2*$C$168-1))+(POWER(TAN(A173/2),2*$C$168+1)/(2*$C$168+1))-(POWER(TAN($E$168/2),2*$C$168-1)/(2*$C$168-1))-(POWER(TAN($E$168/2),2*$C$168+1)/(2*$C$168+1))))</f>
        <v>6.0150858821645892E-2</v>
      </c>
      <c r="I173" s="75">
        <f t="shared" ref="I173:I181" si="183">-(-$I$165+0.5*$K$168*((POWER(TAN(A173/2),2*$C$168-2)/(2*$C$168-2))-(POWER(TAN(A173/2),2*$C$168+2)/(2*$C$168+2))-(POWER(TAN($E$168/2),2*$C$168-2)/(2*$C$168-2))+(POWER(TAN($E$168/2),2*$C$168+2)/(2*$C$168+2))))</f>
        <v>0.17658197197622963</v>
      </c>
      <c r="J173" s="77">
        <f t="shared" ref="J173:J181" si="184">-$D$168*SIN(A173)*($C$168+$G$168)/($C$168+B173)*F173</f>
        <v>-5.9450581082525204E-2</v>
      </c>
      <c r="K173" s="77">
        <f t="shared" ref="K173:K181" si="185">-$D$168*COS(A173)*($C$168+$G$168)/($C$168+B173)*F173</f>
        <v>-1.0166881285884151</v>
      </c>
      <c r="L173" s="91">
        <f t="shared" ref="L173:L181" si="186">SQRT(J173*J173+K173*K173)</f>
        <v>1.018424824129726</v>
      </c>
      <c r="M173" s="93"/>
      <c r="N173" s="75">
        <f t="shared" ref="N173:N181" si="187">-(-$I$165+0.5*$K$168*((POWER(TAN(A173/2),2*$C$168-2)/(2*$C$168-2))-(POWER(TAN(A173/2),2*$C$168+2)/(2*$C$168+2))-(POWER(TAN($E$168/2),2*$C$168-2)/(2*$C$168-2))+(POWER(TAN($E$168/2),2*$C$168+2)/(2*$C$168+2))))-$D$165</f>
        <v>-6.6363617472265934E-3</v>
      </c>
      <c r="O173" s="75">
        <f t="shared" si="173"/>
        <v>2.1729850280971519E-4</v>
      </c>
      <c r="P173" s="75">
        <f t="shared" si="174"/>
        <v>5.9376530427344365E-2</v>
      </c>
      <c r="AF173" s="176"/>
      <c r="AG173" s="176"/>
      <c r="AH173" s="176"/>
      <c r="AI173" s="176"/>
      <c r="AJ173" s="176"/>
      <c r="AK173" s="176"/>
      <c r="AL173" s="176"/>
      <c r="AM173" s="176"/>
      <c r="AN173" s="176"/>
      <c r="AR173" s="92"/>
      <c r="AS173" s="176"/>
      <c r="AT173" s="178"/>
      <c r="AU173" s="178"/>
      <c r="AV173" s="178"/>
      <c r="AW173" s="178"/>
      <c r="AX173" s="178"/>
      <c r="AY173" s="178"/>
      <c r="AZ173" s="176"/>
    </row>
    <row r="174" spans="1:52" s="165" customFormat="1">
      <c r="A174" s="19">
        <f t="shared" si="175"/>
        <v>5.9376530427344365E-2</v>
      </c>
      <c r="B174" s="26">
        <f t="shared" si="176"/>
        <v>0.99823773165886676</v>
      </c>
      <c r="C174" s="26">
        <f t="shared" si="177"/>
        <v>1.2600103444996305</v>
      </c>
      <c r="D174" s="26">
        <f t="shared" si="178"/>
        <v>0.39828866362132964</v>
      </c>
      <c r="E174" s="26">
        <f t="shared" si="179"/>
        <v>5.9341647201272545E-2</v>
      </c>
      <c r="F174" s="77">
        <f t="shared" si="180"/>
        <v>1.2154373146139248</v>
      </c>
      <c r="G174" s="77">
        <f t="shared" si="181"/>
        <v>9.5181882564177964E-2</v>
      </c>
      <c r="H174" s="75">
        <f t="shared" si="182"/>
        <v>6.0542378939505842E-2</v>
      </c>
      <c r="I174" s="75">
        <f t="shared" si="183"/>
        <v>0.18322271547878849</v>
      </c>
      <c r="J174" s="77">
        <f t="shared" si="184"/>
        <v>-5.9707162390045039E-2</v>
      </c>
      <c r="K174" s="77">
        <f t="shared" si="185"/>
        <v>-1.0043863822295116</v>
      </c>
      <c r="L174" s="91">
        <f t="shared" si="186"/>
        <v>1.0061595052717822</v>
      </c>
      <c r="M174" s="93"/>
      <c r="N174" s="75">
        <f t="shared" si="187"/>
        <v>4.3817553322667013E-6</v>
      </c>
      <c r="O174" s="75">
        <f t="shared" si="173"/>
        <v>6.5868455383254754E-3</v>
      </c>
      <c r="P174" s="75">
        <f t="shared" si="174"/>
        <v>5.9375864756331699E-2</v>
      </c>
      <c r="AF174" s="176"/>
      <c r="AG174" s="176"/>
      <c r="AH174" s="176"/>
      <c r="AI174" s="176"/>
      <c r="AJ174" s="176"/>
      <c r="AK174" s="176"/>
      <c r="AL174" s="176"/>
      <c r="AM174" s="176"/>
      <c r="AN174" s="176"/>
      <c r="AR174" s="92"/>
      <c r="AS174" s="176"/>
      <c r="AT174" s="178"/>
      <c r="AU174" s="178"/>
      <c r="AV174" s="178"/>
      <c r="AW174" s="178"/>
      <c r="AX174" s="178"/>
      <c r="AY174" s="178"/>
      <c r="AZ174" s="176"/>
    </row>
    <row r="175" spans="1:52" s="165" customFormat="1">
      <c r="A175" s="19">
        <f t="shared" si="175"/>
        <v>5.9375864756331699E-2</v>
      </c>
      <c r="B175" s="26">
        <f t="shared" si="176"/>
        <v>0.99823777116066004</v>
      </c>
      <c r="C175" s="26">
        <f t="shared" si="177"/>
        <v>1.2600103840014236</v>
      </c>
      <c r="D175" s="26">
        <f t="shared" si="178"/>
        <v>0.39828749405732006</v>
      </c>
      <c r="E175" s="26">
        <f t="shared" si="179"/>
        <v>5.9340982703337687E-2</v>
      </c>
      <c r="F175" s="77">
        <f t="shared" si="180"/>
        <v>1.215447393997622</v>
      </c>
      <c r="G175" s="77">
        <f t="shared" si="181"/>
        <v>9.5186335714353504E-2</v>
      </c>
      <c r="H175" s="75">
        <f t="shared" si="182"/>
        <v>6.0542113019177023E-2</v>
      </c>
      <c r="I175" s="75">
        <f t="shared" si="183"/>
        <v>0.18321824217530142</v>
      </c>
      <c r="J175" s="77">
        <f t="shared" si="184"/>
        <v>-5.9706987061559393E-2</v>
      </c>
      <c r="K175" s="77">
        <f t="shared" si="185"/>
        <v>-1.0043947196664316</v>
      </c>
      <c r="L175" s="91">
        <f t="shared" si="186"/>
        <v>1.0061678176118429</v>
      </c>
      <c r="M175" s="93"/>
      <c r="N175" s="75">
        <f t="shared" si="187"/>
        <v>-9.1548154806941895E-8</v>
      </c>
      <c r="O175" s="75">
        <f t="shared" si="173"/>
        <v>6.5825534569158295E-3</v>
      </c>
      <c r="P175" s="75">
        <f t="shared" si="174"/>
        <v>5.9375878663834647E-2</v>
      </c>
      <c r="AF175" s="176"/>
      <c r="AG175" s="176"/>
      <c r="AH175" s="176"/>
      <c r="AI175" s="176"/>
      <c r="AJ175" s="176"/>
      <c r="AK175" s="176"/>
      <c r="AL175" s="176"/>
      <c r="AM175" s="176"/>
      <c r="AN175" s="176"/>
      <c r="AR175" s="92"/>
      <c r="AS175" s="176"/>
      <c r="AT175" s="178"/>
      <c r="AU175" s="178"/>
      <c r="AV175" s="178"/>
      <c r="AW175" s="178"/>
      <c r="AX175" s="178"/>
      <c r="AY175" s="178"/>
      <c r="AZ175" s="176"/>
    </row>
    <row r="176" spans="1:52" s="165" customFormat="1">
      <c r="A176" s="19">
        <f t="shared" si="175"/>
        <v>5.9375878663834647E-2</v>
      </c>
      <c r="B176" s="26">
        <f t="shared" si="176"/>
        <v>0.99823777033537497</v>
      </c>
      <c r="C176" s="26">
        <f t="shared" si="177"/>
        <v>1.2600103831761387</v>
      </c>
      <c r="D176" s="26">
        <f t="shared" si="178"/>
        <v>0.39828751849248462</v>
      </c>
      <c r="E176" s="26">
        <f t="shared" si="179"/>
        <v>5.9340996586332427E-2</v>
      </c>
      <c r="F176" s="77">
        <f t="shared" si="180"/>
        <v>1.2154471834125267</v>
      </c>
      <c r="G176" s="77">
        <f t="shared" si="181"/>
        <v>9.5186242676219182E-2</v>
      </c>
      <c r="H176" s="75">
        <f t="shared" si="182"/>
        <v>6.0542118574950982E-2</v>
      </c>
      <c r="I176" s="75">
        <f t="shared" si="183"/>
        <v>0.18321833563487216</v>
      </c>
      <c r="J176" s="77">
        <f t="shared" si="184"/>
        <v>-5.9706990724617048E-2</v>
      </c>
      <c r="K176" s="77">
        <f t="shared" si="185"/>
        <v>-1.0043945454752319</v>
      </c>
      <c r="L176" s="91">
        <f t="shared" si="186"/>
        <v>1.0061676439449776</v>
      </c>
      <c r="M176" s="93"/>
      <c r="N176" s="75">
        <f t="shared" si="187"/>
        <v>1.9114159421906862E-9</v>
      </c>
      <c r="O176" s="75">
        <f t="shared" si="173"/>
        <v>6.5826431302401511E-3</v>
      </c>
      <c r="P176" s="75">
        <f t="shared" si="174"/>
        <v>5.9375878373462455E-2</v>
      </c>
      <c r="AF176" s="176"/>
      <c r="AG176" s="176"/>
      <c r="AH176" s="176"/>
      <c r="AI176" s="176"/>
      <c r="AJ176" s="176"/>
      <c r="AK176" s="176"/>
      <c r="AL176" s="176"/>
      <c r="AM176" s="176"/>
      <c r="AN176" s="176"/>
      <c r="AR176" s="92"/>
      <c r="AS176" s="176"/>
      <c r="AT176" s="178"/>
      <c r="AU176" s="178"/>
      <c r="AV176" s="178"/>
      <c r="AW176" s="178"/>
      <c r="AX176" s="178"/>
      <c r="AY176" s="178"/>
      <c r="AZ176" s="176"/>
    </row>
    <row r="177" spans="1:52" s="165" customFormat="1">
      <c r="A177" s="19">
        <f t="shared" si="175"/>
        <v>5.9375878373462455E-2</v>
      </c>
      <c r="B177" s="26">
        <f t="shared" si="176"/>
        <v>0.99823777035260597</v>
      </c>
      <c r="C177" s="26">
        <f t="shared" si="177"/>
        <v>1.2600103831933696</v>
      </c>
      <c r="D177" s="26">
        <f t="shared" si="178"/>
        <v>0.39828751798230733</v>
      </c>
      <c r="E177" s="26">
        <f t="shared" si="179"/>
        <v>5.9340996296471937E-2</v>
      </c>
      <c r="F177" s="77">
        <f t="shared" si="180"/>
        <v>1.2154471878092927</v>
      </c>
      <c r="G177" s="77">
        <f t="shared" si="181"/>
        <v>9.5186244618744642E-2</v>
      </c>
      <c r="H177" s="75">
        <f t="shared" si="182"/>
        <v>6.0542118458953006E-2</v>
      </c>
      <c r="I177" s="75">
        <f t="shared" si="183"/>
        <v>0.18321833368354723</v>
      </c>
      <c r="J177" s="77">
        <f t="shared" si="184"/>
        <v>-5.9706990648136726E-2</v>
      </c>
      <c r="K177" s="77">
        <f t="shared" si="185"/>
        <v>-1.0043945491121367</v>
      </c>
      <c r="L177" s="91">
        <f t="shared" si="186"/>
        <v>1.0061676475709349</v>
      </c>
      <c r="M177" s="93"/>
      <c r="N177" s="75">
        <f t="shared" si="187"/>
        <v>-3.9908992777171193E-11</v>
      </c>
      <c r="O177" s="75">
        <f t="shared" si="173"/>
        <v>6.5826412579678972E-3</v>
      </c>
      <c r="P177" s="75">
        <f t="shared" si="174"/>
        <v>5.9375878379525217E-2</v>
      </c>
      <c r="AF177" s="176"/>
      <c r="AG177" s="176"/>
      <c r="AH177" s="176"/>
      <c r="AI177" s="176"/>
      <c r="AJ177" s="176"/>
      <c r="AK177" s="176"/>
      <c r="AL177" s="176"/>
      <c r="AM177" s="176"/>
      <c r="AN177" s="176"/>
      <c r="AR177" s="92"/>
      <c r="AS177" s="176"/>
      <c r="AT177" s="178"/>
      <c r="AU177" s="178"/>
      <c r="AV177" s="178"/>
      <c r="AW177" s="178"/>
      <c r="AX177" s="178"/>
      <c r="AY177" s="178"/>
      <c r="AZ177" s="176"/>
    </row>
    <row r="178" spans="1:52" s="165" customFormat="1">
      <c r="A178" s="19">
        <f>$P177</f>
        <v>5.9375878379525217E-2</v>
      </c>
      <c r="B178" s="26">
        <f t="shared" si="176"/>
        <v>0.99823777035224626</v>
      </c>
      <c r="C178" s="26">
        <f t="shared" si="177"/>
        <v>1.2600103831930098</v>
      </c>
      <c r="D178" s="26">
        <f t="shared" si="178"/>
        <v>0.39828751799295942</v>
      </c>
      <c r="E178" s="26">
        <f t="shared" si="179"/>
        <v>5.9340996302524013E-2</v>
      </c>
      <c r="F178" s="77">
        <f t="shared" si="180"/>
        <v>1.2154471877174915</v>
      </c>
      <c r="G178" s="77">
        <f t="shared" si="181"/>
        <v>9.5186244578186141E-2</v>
      </c>
      <c r="H178" s="75">
        <f t="shared" si="182"/>
        <v>6.0542118461374979E-2</v>
      </c>
      <c r="I178" s="75">
        <f t="shared" si="183"/>
        <v>0.18321833372428969</v>
      </c>
      <c r="J178" s="77">
        <f t="shared" si="184"/>
        <v>-5.9706990649733588E-2</v>
      </c>
      <c r="K178" s="77">
        <f t="shared" si="185"/>
        <v>-1.004394549036201</v>
      </c>
      <c r="L178" s="91">
        <f t="shared" si="186"/>
        <v>1.0061676474952277</v>
      </c>
      <c r="M178" s="93"/>
      <c r="N178" s="75">
        <f t="shared" si="187"/>
        <v>8.3347218016172064E-13</v>
      </c>
      <c r="O178" s="75">
        <f t="shared" si="173"/>
        <v>6.5826412970596271E-3</v>
      </c>
      <c r="P178" s="75">
        <f t="shared" si="174"/>
        <v>5.9375878379398603E-2</v>
      </c>
      <c r="AF178" s="176"/>
      <c r="AG178" s="176"/>
      <c r="AH178" s="176"/>
      <c r="AI178" s="176"/>
      <c r="AJ178" s="176"/>
      <c r="AK178" s="176"/>
      <c r="AL178" s="176"/>
      <c r="AM178" s="176"/>
      <c r="AN178" s="176"/>
      <c r="AR178" s="92"/>
      <c r="AS178" s="176"/>
      <c r="AT178" s="178"/>
      <c r="AU178" s="178"/>
      <c r="AV178" s="178"/>
      <c r="AW178" s="178"/>
      <c r="AX178" s="178"/>
      <c r="AY178" s="178"/>
      <c r="AZ178" s="176"/>
    </row>
    <row r="179" spans="1:52" s="165" customFormat="1">
      <c r="A179" s="19">
        <f t="shared" si="175"/>
        <v>5.9375878379398603E-2</v>
      </c>
      <c r="B179" s="26">
        <f t="shared" si="176"/>
        <v>0.99823777035225369</v>
      </c>
      <c r="C179" s="26">
        <f t="shared" si="177"/>
        <v>1.2600103831930172</v>
      </c>
      <c r="D179" s="26">
        <f t="shared" si="178"/>
        <v>0.39828751799273698</v>
      </c>
      <c r="E179" s="26">
        <f t="shared" si="179"/>
        <v>5.9340996302397621E-2</v>
      </c>
      <c r="F179" s="77">
        <f t="shared" si="180"/>
        <v>1.2154471877194086</v>
      </c>
      <c r="G179" s="77">
        <f t="shared" si="181"/>
        <v>9.5186244579033158E-2</v>
      </c>
      <c r="H179" s="75">
        <f t="shared" si="182"/>
        <v>6.0542118461324394E-2</v>
      </c>
      <c r="I179" s="75">
        <f t="shared" si="183"/>
        <v>0.18321833372343876</v>
      </c>
      <c r="J179" s="77">
        <f t="shared" si="184"/>
        <v>-5.970699064970024E-2</v>
      </c>
      <c r="K179" s="77">
        <f t="shared" si="185"/>
        <v>-1.0043945490377868</v>
      </c>
      <c r="L179" s="91">
        <f t="shared" si="186"/>
        <v>1.0061676474968089</v>
      </c>
      <c r="M179" s="93"/>
      <c r="N179" s="75">
        <f t="shared" si="187"/>
        <v>-1.7458257062230587E-14</v>
      </c>
      <c r="O179" s="75">
        <f t="shared" si="173"/>
        <v>6.5826412962431136E-3</v>
      </c>
      <c r="P179" s="75">
        <f t="shared" si="174"/>
        <v>5.9375878379401253E-2</v>
      </c>
      <c r="AF179" s="176"/>
      <c r="AG179" s="176"/>
      <c r="AH179" s="176"/>
      <c r="AI179" s="176"/>
      <c r="AJ179" s="176"/>
      <c r="AK179" s="176"/>
      <c r="AL179" s="176"/>
      <c r="AM179" s="176"/>
      <c r="AN179" s="176"/>
      <c r="AR179" s="92"/>
      <c r="AS179" s="176"/>
      <c r="AT179" s="178"/>
      <c r="AU179" s="178"/>
      <c r="AV179" s="178"/>
      <c r="AW179" s="178"/>
      <c r="AX179" s="178"/>
      <c r="AY179" s="178"/>
      <c r="AZ179" s="176"/>
    </row>
    <row r="180" spans="1:52" s="165" customFormat="1">
      <c r="A180" s="19">
        <f t="shared" si="175"/>
        <v>5.9375878379401253E-2</v>
      </c>
      <c r="B180" s="26">
        <f t="shared" si="176"/>
        <v>0.99823777035225358</v>
      </c>
      <c r="C180" s="26">
        <f t="shared" si="177"/>
        <v>1.2600103831930172</v>
      </c>
      <c r="D180" s="26">
        <f t="shared" si="178"/>
        <v>0.39828751799274165</v>
      </c>
      <c r="E180" s="26">
        <f t="shared" si="179"/>
        <v>5.9340996302400272E-2</v>
      </c>
      <c r="F180" s="77">
        <f t="shared" si="180"/>
        <v>1.2154471877193684</v>
      </c>
      <c r="G180" s="77">
        <f t="shared" si="181"/>
        <v>9.5186244579015394E-2</v>
      </c>
      <c r="H180" s="75">
        <f t="shared" si="182"/>
        <v>6.0542118461325456E-2</v>
      </c>
      <c r="I180" s="75">
        <f t="shared" si="183"/>
        <v>0.18321833372345656</v>
      </c>
      <c r="J180" s="77">
        <f t="shared" si="184"/>
        <v>-5.970699064970094E-2</v>
      </c>
      <c r="K180" s="77">
        <f t="shared" si="185"/>
        <v>-1.0043945490377535</v>
      </c>
      <c r="L180" s="91">
        <f t="shared" si="186"/>
        <v>1.0061676474967756</v>
      </c>
      <c r="M180" s="93"/>
      <c r="N180" s="75">
        <f t="shared" si="187"/>
        <v>3.3306690738754696E-16</v>
      </c>
      <c r="O180" s="75">
        <f t="shared" si="173"/>
        <v>6.5826412962604053E-3</v>
      </c>
      <c r="P180" s="75">
        <f t="shared" si="174"/>
        <v>5.9375878379401205E-2</v>
      </c>
      <c r="AF180" s="176"/>
      <c r="AG180" s="176"/>
      <c r="AH180" s="176"/>
      <c r="AI180" s="176"/>
      <c r="AJ180" s="176"/>
      <c r="AK180" s="176"/>
      <c r="AL180" s="176"/>
      <c r="AM180" s="176"/>
      <c r="AN180" s="176"/>
      <c r="AR180" s="92"/>
      <c r="AS180" s="176"/>
      <c r="AT180" s="178"/>
      <c r="AU180" s="178"/>
      <c r="AV180" s="178"/>
      <c r="AW180" s="178"/>
      <c r="AX180" s="178"/>
      <c r="AY180" s="178"/>
      <c r="AZ180" s="176"/>
    </row>
    <row r="181" spans="1:52" s="165" customFormat="1">
      <c r="A181" s="19">
        <f t="shared" si="175"/>
        <v>5.9375878379401205E-2</v>
      </c>
      <c r="B181" s="26">
        <f t="shared" si="176"/>
        <v>0.99823777035225358</v>
      </c>
      <c r="C181" s="26">
        <f t="shared" si="177"/>
        <v>1.2600103831930172</v>
      </c>
      <c r="D181" s="26">
        <f t="shared" si="178"/>
        <v>0.39828751799274159</v>
      </c>
      <c r="E181" s="26">
        <f t="shared" si="179"/>
        <v>5.9340996302400223E-2</v>
      </c>
      <c r="F181" s="77">
        <f t="shared" si="180"/>
        <v>1.2154471877193693</v>
      </c>
      <c r="G181" s="77">
        <f t="shared" si="181"/>
        <v>9.5186244579015783E-2</v>
      </c>
      <c r="H181" s="75">
        <f t="shared" si="182"/>
        <v>6.0542118461325421E-2</v>
      </c>
      <c r="I181" s="75">
        <f t="shared" si="183"/>
        <v>0.18321833372345625</v>
      </c>
      <c r="J181" s="77">
        <f t="shared" si="184"/>
        <v>-5.9706990649700933E-2</v>
      </c>
      <c r="K181" s="77">
        <f t="shared" si="185"/>
        <v>-1.0043945490377542</v>
      </c>
      <c r="L181" s="91">
        <f t="shared" si="186"/>
        <v>1.0061676474967762</v>
      </c>
      <c r="M181" s="93"/>
      <c r="N181" s="75">
        <f t="shared" si="187"/>
        <v>0</v>
      </c>
      <c r="O181" s="75">
        <f t="shared" si="173"/>
        <v>6.5826412962599612E-3</v>
      </c>
      <c r="P181" s="75">
        <f t="shared" si="174"/>
        <v>5.9375878379401205E-2</v>
      </c>
      <c r="AF181" s="176"/>
      <c r="AG181" s="176"/>
      <c r="AH181" s="176"/>
      <c r="AI181" s="176"/>
      <c r="AJ181" s="176"/>
      <c r="AK181" s="176"/>
      <c r="AL181" s="176"/>
      <c r="AM181" s="176"/>
      <c r="AN181" s="176"/>
      <c r="AR181" s="92"/>
      <c r="AS181" s="176"/>
      <c r="AT181" s="178"/>
      <c r="AU181" s="178"/>
      <c r="AV181" s="178"/>
      <c r="AW181" s="178"/>
      <c r="AX181" s="178"/>
      <c r="AY181" s="178"/>
      <c r="AZ181" s="176"/>
    </row>
    <row r="182" spans="1:52" s="165" customFormat="1">
      <c r="A182" s="88" t="s">
        <v>60</v>
      </c>
      <c r="B182" s="8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AF182" s="176"/>
      <c r="AG182" s="176"/>
      <c r="AH182" s="176"/>
      <c r="AI182" s="176"/>
      <c r="AJ182" s="176"/>
      <c r="AK182" s="176"/>
      <c r="AL182" s="176"/>
      <c r="AM182" s="176"/>
      <c r="AN182" s="176"/>
      <c r="AR182" s="92"/>
      <c r="AS182" s="176"/>
      <c r="AT182" s="178"/>
      <c r="AU182" s="178"/>
      <c r="AV182" s="178"/>
      <c r="AW182" s="178"/>
      <c r="AX182" s="178"/>
      <c r="AY182" s="178"/>
      <c r="AZ182" s="176"/>
    </row>
    <row r="183" spans="1:52" s="165" customFormat="1">
      <c r="A183" s="26" t="s">
        <v>11</v>
      </c>
      <c r="B183" s="26" t="s">
        <v>13</v>
      </c>
      <c r="C183" s="26" t="s">
        <v>22</v>
      </c>
      <c r="D183" s="26" t="s">
        <v>18</v>
      </c>
      <c r="E183" s="26" t="s">
        <v>19</v>
      </c>
      <c r="F183" s="26" t="s">
        <v>20</v>
      </c>
      <c r="G183" s="26" t="s">
        <v>2</v>
      </c>
      <c r="H183" s="26" t="s">
        <v>1</v>
      </c>
      <c r="I183" s="26" t="s">
        <v>0</v>
      </c>
      <c r="J183" s="76" t="s">
        <v>3</v>
      </c>
      <c r="K183" s="76" t="s">
        <v>4</v>
      </c>
      <c r="L183" s="44" t="s">
        <v>7</v>
      </c>
      <c r="M183" s="28"/>
      <c r="N183" s="28"/>
      <c r="O183" s="28"/>
      <c r="P183" s="31"/>
      <c r="AF183" s="176"/>
      <c r="AG183" s="176"/>
      <c r="AH183" s="176"/>
      <c r="AI183" s="176"/>
      <c r="AJ183" s="176"/>
      <c r="AK183" s="176"/>
      <c r="AL183" s="176"/>
      <c r="AM183" s="176"/>
      <c r="AN183" s="176"/>
      <c r="AR183" s="92"/>
      <c r="AS183" s="176"/>
      <c r="AT183" s="178"/>
      <c r="AU183" s="178"/>
      <c r="AV183" s="178"/>
      <c r="AW183" s="178"/>
      <c r="AX183" s="178"/>
      <c r="AY183" s="178"/>
      <c r="AZ183" s="176"/>
    </row>
    <row r="184" spans="1:52" s="165" customFormat="1">
      <c r="A184" s="19">
        <f>$E168</f>
        <v>7.7284701331141112E-2</v>
      </c>
      <c r="B184" s="26">
        <f t="shared" ref="B184:B189" si="188">COS(A184)</f>
        <v>0.99701502366722639</v>
      </c>
      <c r="C184" s="26">
        <f t="shared" ref="C184:C189" si="189">($C$168+B184)</f>
        <v>1.25878763650799</v>
      </c>
      <c r="D184" s="26">
        <f t="shared" ref="D184:D189" si="190">POWER(TAN(A184/2),$C$168)</f>
        <v>0.42676474655967356</v>
      </c>
      <c r="E184" s="26">
        <f t="shared" ref="E184:E189" si="191">SIN(A184)</f>
        <v>7.7207788349621248E-2</v>
      </c>
      <c r="F184" s="77">
        <f t="shared" ref="F184:F189" si="192">(C184*$H$168*D184/E184/$I$168/$J$168)</f>
        <v>1.0000000000000002</v>
      </c>
      <c r="G184" s="77">
        <f t="shared" ref="G184:G189" si="193">$D$168*($C$168+$G$168)/9.81/SIN($C$165)/(1-$C$168*$C$165)*(F184-1)</f>
        <v>9.810103485488575E-17</v>
      </c>
      <c r="H184" s="137">
        <f t="shared" ref="H184:H189" si="194">-(-$H$165+$K$168*((POWER(TAN(A184/2),2*$C$168-1)/(2*$C$168-1))+(POWER(TAN(A184/2),2*$C$168+1)/(2*$C$168+1))-(POWER(TAN($E$168/2),2*$C$168-1)/(2*$C$168-1))-(POWER(TAN($E$168/2),2*$C$168+1)/(2*$C$168+1))))</f>
        <v>6.6420461743740486E-2</v>
      </c>
      <c r="I184" s="137">
        <f t="shared" ref="I184:I189" si="195">-(-$I$165+0.5*$K$168*((POWER(TAN(A184/2),2*$C$168-2)/(2*$C$168-2))-(POWER(TAN(A184/2),2*$C$168+2)/(2*$C$168+2))-(POWER(TAN($E$168/2),2*$C$168-2)/(2*$C$168-2))+(POWER(TAN($E$168/2),2*$C$168+2)/(2*$C$168+2))))</f>
        <v>0.27035186996590782</v>
      </c>
      <c r="J184" s="77">
        <f t="shared" ref="J184:J189" si="196">-$D$168*SIN(A184)*($C$168+$G$168)/($C$168+B184)*F184</f>
        <v>-6.3975991165569956E-2</v>
      </c>
      <c r="K184" s="77">
        <f t="shared" ref="K184:K189" si="197">-$D$168*COS(A184)*($C$168+$G$168)/($C$168+B184)*F184</f>
        <v>-0.82614753912178229</v>
      </c>
      <c r="L184" s="91">
        <f t="shared" ref="L184:L189" si="198">SQRT(J184*J184+K184*K184)</f>
        <v>0.82862095305549321</v>
      </c>
      <c r="M184" s="28"/>
      <c r="N184" s="28"/>
      <c r="O184" s="28"/>
      <c r="P184" s="31"/>
      <c r="AF184" s="176"/>
      <c r="AG184" s="176"/>
      <c r="AH184" s="176"/>
      <c r="AI184" s="176"/>
      <c r="AJ184" s="176"/>
      <c r="AK184" s="176"/>
      <c r="AL184" s="176"/>
      <c r="AM184" s="176"/>
      <c r="AN184" s="176"/>
      <c r="AR184" s="92"/>
      <c r="AS184" s="176"/>
      <c r="AT184" s="178"/>
      <c r="AU184" s="178"/>
      <c r="AV184" s="178"/>
      <c r="AW184" s="178"/>
      <c r="AX184" s="178"/>
      <c r="AY184" s="178"/>
      <c r="AZ184" s="176"/>
    </row>
    <row r="185" spans="1:52" s="165" customFormat="1">
      <c r="A185" s="20">
        <f>A184-$F$168</f>
        <v>7.3722936740793124E-2</v>
      </c>
      <c r="B185" s="26">
        <f t="shared" si="188"/>
        <v>0.99728369490957014</v>
      </c>
      <c r="C185" s="26">
        <f t="shared" si="189"/>
        <v>1.2590563077503338</v>
      </c>
      <c r="D185" s="26">
        <f t="shared" si="190"/>
        <v>0.42152125621187836</v>
      </c>
      <c r="E185" s="26">
        <f t="shared" si="191"/>
        <v>7.36561733157204E-2</v>
      </c>
      <c r="F185" s="77">
        <f t="shared" si="192"/>
        <v>1.0355607645837415</v>
      </c>
      <c r="G185" s="77">
        <f t="shared" si="193"/>
        <v>1.5711022598697423E-2</v>
      </c>
      <c r="H185" s="137">
        <f t="shared" si="194"/>
        <v>6.5421422429914208E-2</v>
      </c>
      <c r="I185" s="137">
        <f t="shared" si="195"/>
        <v>0.25713930775141591</v>
      </c>
      <c r="J185" s="77">
        <f t="shared" si="196"/>
        <v>-6.3189943360844839E-2</v>
      </c>
      <c r="K185" s="77">
        <f t="shared" si="197"/>
        <v>-0.85557390995467097</v>
      </c>
      <c r="L185" s="91">
        <f t="shared" si="198"/>
        <v>0.85790423960781903</v>
      </c>
      <c r="M185" s="28"/>
      <c r="N185" s="28"/>
      <c r="O185" s="28"/>
      <c r="P185" s="31"/>
      <c r="AF185" s="176"/>
      <c r="AG185" s="176"/>
      <c r="AH185" s="176"/>
      <c r="AI185" s="176"/>
      <c r="AJ185" s="176"/>
      <c r="AK185" s="176"/>
      <c r="AL185" s="176"/>
      <c r="AM185" s="176"/>
      <c r="AN185" s="176"/>
      <c r="AR185" s="92"/>
      <c r="AS185" s="176"/>
      <c r="AT185" s="178"/>
      <c r="AU185" s="178"/>
      <c r="AV185" s="178"/>
      <c r="AW185" s="178"/>
      <c r="AX185" s="178"/>
      <c r="AY185" s="178"/>
      <c r="AZ185" s="176"/>
    </row>
    <row r="186" spans="1:52" s="165" customFormat="1">
      <c r="A186" s="20">
        <f>A185-$F$168</f>
        <v>7.0161172150445136E-2</v>
      </c>
      <c r="B186" s="26">
        <f t="shared" si="188"/>
        <v>0.99753971445779188</v>
      </c>
      <c r="C186" s="26">
        <f t="shared" si="189"/>
        <v>1.2593123272985554</v>
      </c>
      <c r="D186" s="26">
        <f t="shared" si="190"/>
        <v>0.41608781196874817</v>
      </c>
      <c r="E186" s="26">
        <f t="shared" si="191"/>
        <v>7.0103623868292345E-2</v>
      </c>
      <c r="F186" s="77">
        <f t="shared" si="192"/>
        <v>1.0742320049352057</v>
      </c>
      <c r="G186" s="77">
        <f t="shared" si="193"/>
        <v>3.2796277603571386E-2</v>
      </c>
      <c r="H186" s="137">
        <f t="shared" si="194"/>
        <v>6.434867737953695E-2</v>
      </c>
      <c r="I186" s="137">
        <f t="shared" si="195"/>
        <v>0.2422462614867264</v>
      </c>
      <c r="J186" s="77">
        <f t="shared" si="196"/>
        <v>-6.2375419706538017E-2</v>
      </c>
      <c r="K186" s="77">
        <f t="shared" si="197"/>
        <v>-0.88757121144186157</v>
      </c>
      <c r="L186" s="91">
        <f t="shared" si="198"/>
        <v>0.88976027578440509</v>
      </c>
      <c r="M186" s="45"/>
      <c r="N186" s="28"/>
      <c r="O186" s="28"/>
      <c r="P186" s="31"/>
      <c r="AF186" s="176"/>
      <c r="AG186" s="176"/>
      <c r="AH186" s="176"/>
      <c r="AI186" s="176"/>
      <c r="AJ186" s="176"/>
      <c r="AK186" s="176"/>
      <c r="AL186" s="176"/>
      <c r="AM186" s="176"/>
      <c r="AN186" s="176"/>
      <c r="AR186" s="92"/>
      <c r="AS186" s="176"/>
      <c r="AT186" s="178"/>
      <c r="AU186" s="178"/>
      <c r="AV186" s="178"/>
      <c r="AW186" s="178"/>
      <c r="AX186" s="178"/>
      <c r="AY186" s="178"/>
      <c r="AZ186" s="176"/>
    </row>
    <row r="187" spans="1:52" s="165" customFormat="1">
      <c r="A187" s="20">
        <f>A186-$F$168</f>
        <v>6.6599407560097149E-2</v>
      </c>
      <c r="B187" s="26">
        <f t="shared" si="188"/>
        <v>0.99778307906398844</v>
      </c>
      <c r="C187" s="26">
        <f t="shared" si="189"/>
        <v>1.2595556919047519</v>
      </c>
      <c r="D187" s="26">
        <f t="shared" si="190"/>
        <v>0.4104472848581559</v>
      </c>
      <c r="E187" s="26">
        <f t="shared" si="191"/>
        <v>6.6550185075525015E-2</v>
      </c>
      <c r="F187" s="77">
        <f t="shared" si="192"/>
        <v>1.1164662544272916</v>
      </c>
      <c r="G187" s="77">
        <f t="shared" si="193"/>
        <v>5.1455697781296217E-2</v>
      </c>
      <c r="H187" s="137">
        <f t="shared" si="194"/>
        <v>6.3192590044721858E-2</v>
      </c>
      <c r="I187" s="137">
        <f t="shared" si="195"/>
        <v>0.22535641981875337</v>
      </c>
      <c r="J187" s="77">
        <f t="shared" si="196"/>
        <v>-6.1529852410960206E-2</v>
      </c>
      <c r="K187" s="77">
        <f t="shared" si="197"/>
        <v>-0.9225135215369844</v>
      </c>
      <c r="L187" s="91">
        <f t="shared" si="198"/>
        <v>0.92456320506295442</v>
      </c>
      <c r="M187" s="45"/>
      <c r="N187" s="28"/>
      <c r="O187" s="28"/>
      <c r="P187" s="31"/>
      <c r="AF187" s="176"/>
      <c r="AG187" s="176"/>
      <c r="AH187" s="176"/>
      <c r="AI187" s="176"/>
      <c r="AJ187" s="176"/>
      <c r="AK187" s="176"/>
      <c r="AL187" s="176"/>
      <c r="AM187" s="176"/>
      <c r="AN187" s="176"/>
      <c r="AR187" s="92"/>
      <c r="AS187" s="176"/>
      <c r="AT187" s="178"/>
      <c r="AU187" s="178"/>
      <c r="AV187" s="178"/>
      <c r="AW187" s="178"/>
      <c r="AX187" s="178"/>
      <c r="AY187" s="178"/>
      <c r="AZ187" s="176"/>
    </row>
    <row r="188" spans="1:52" s="165" customFormat="1">
      <c r="A188" s="20">
        <f>A187-$F$168</f>
        <v>6.3037642969749161E-2</v>
      </c>
      <c r="B188" s="26">
        <f t="shared" si="188"/>
        <v>0.9980137856407989</v>
      </c>
      <c r="C188" s="26">
        <f t="shared" si="189"/>
        <v>1.2597863984815625</v>
      </c>
      <c r="D188" s="26">
        <f t="shared" si="190"/>
        <v>0.40457998469489187</v>
      </c>
      <c r="E188" s="26">
        <f t="shared" si="191"/>
        <v>6.299590201688865E-2</v>
      </c>
      <c r="F188" s="77">
        <f t="shared" si="192"/>
        <v>1.16281095979843</v>
      </c>
      <c r="G188" s="77">
        <f t="shared" si="193"/>
        <v>7.1931149362245331E-2</v>
      </c>
      <c r="H188" s="137">
        <f t="shared" si="194"/>
        <v>6.19416574092162E-2</v>
      </c>
      <c r="I188" s="137">
        <f t="shared" si="195"/>
        <v>0.20607242745924367</v>
      </c>
      <c r="J188" s="77">
        <f t="shared" si="196"/>
        <v>-6.0650289732841402E-2</v>
      </c>
      <c r="K188" s="77">
        <f t="shared" si="197"/>
        <v>-0.96085337805396942</v>
      </c>
      <c r="L188" s="91">
        <f t="shared" si="198"/>
        <v>0.9627656369866977</v>
      </c>
      <c r="M188" s="45"/>
      <c r="N188" s="28"/>
      <c r="O188" s="28"/>
      <c r="P188" s="89"/>
      <c r="AF188" s="176"/>
      <c r="AG188" s="176"/>
      <c r="AH188" s="176"/>
      <c r="AI188" s="176"/>
      <c r="AJ188" s="176"/>
      <c r="AK188" s="176"/>
      <c r="AL188" s="176"/>
      <c r="AM188" s="176"/>
      <c r="AN188" s="176"/>
      <c r="AR188" s="92"/>
      <c r="AS188" s="176"/>
      <c r="AT188" s="178"/>
      <c r="AU188" s="178"/>
      <c r="AV188" s="178"/>
      <c r="AW188" s="178"/>
      <c r="AX188" s="178"/>
      <c r="AY188" s="178"/>
      <c r="AZ188" s="176"/>
    </row>
    <row r="189" spans="1:52" s="165" customFormat="1">
      <c r="A189" s="20">
        <f>A188-$F$168</f>
        <v>5.947587837940118E-2</v>
      </c>
      <c r="B189" s="26">
        <f t="shared" si="188"/>
        <v>0.99823183126144432</v>
      </c>
      <c r="C189" s="26">
        <f t="shared" si="189"/>
        <v>1.2600044441022078</v>
      </c>
      <c r="D189" s="26">
        <f t="shared" si="190"/>
        <v>0.39846310676992286</v>
      </c>
      <c r="E189" s="26">
        <f t="shared" si="191"/>
        <v>5.9440819782564068E-2</v>
      </c>
      <c r="F189" s="77">
        <f t="shared" si="192"/>
        <v>1.2139352144453566</v>
      </c>
      <c r="G189" s="77">
        <f t="shared" si="193"/>
        <v>9.4518243017331097E-2</v>
      </c>
      <c r="H189" s="137">
        <f t="shared" si="194"/>
        <v>6.0582016978741889E-2</v>
      </c>
      <c r="I189" s="137">
        <f t="shared" si="195"/>
        <v>0.18388894330313826</v>
      </c>
      <c r="J189" s="77">
        <f t="shared" si="196"/>
        <v>-5.9733313034922013E-2</v>
      </c>
      <c r="K189" s="77">
        <f t="shared" si="197"/>
        <v>-1.0031438778314772</v>
      </c>
      <c r="L189" s="91">
        <f t="shared" si="198"/>
        <v>1.0049207472815465</v>
      </c>
      <c r="M189" s="45"/>
      <c r="N189" s="28"/>
      <c r="O189" s="28"/>
      <c r="P189" s="28"/>
      <c r="AF189" s="176"/>
      <c r="AG189" s="176"/>
      <c r="AH189" s="176"/>
      <c r="AI189" s="176"/>
      <c r="AJ189" s="176"/>
      <c r="AK189" s="176"/>
      <c r="AL189" s="176"/>
      <c r="AM189" s="176"/>
      <c r="AN189" s="176"/>
      <c r="AR189" s="92"/>
      <c r="AS189" s="176"/>
      <c r="AT189" s="178"/>
      <c r="AU189" s="178"/>
      <c r="AV189" s="178"/>
      <c r="AW189" s="178"/>
      <c r="AX189" s="178"/>
      <c r="AY189" s="178"/>
      <c r="AZ189" s="176"/>
    </row>
    <row r="190" spans="1:52" s="165" customFormat="1">
      <c r="A190" s="142"/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AF190" s="176"/>
      <c r="AG190" s="176"/>
      <c r="AH190" s="176"/>
      <c r="AI190" s="176"/>
      <c r="AJ190" s="176"/>
      <c r="AK190" s="176"/>
      <c r="AL190" s="176"/>
      <c r="AM190" s="176"/>
      <c r="AN190" s="176"/>
      <c r="AR190" s="92"/>
      <c r="AS190" s="176"/>
      <c r="AT190" s="178"/>
      <c r="AU190" s="178"/>
      <c r="AV190" s="178"/>
      <c r="AW190" s="178"/>
      <c r="AX190" s="178"/>
      <c r="AY190" s="178"/>
      <c r="AZ190" s="176"/>
    </row>
    <row r="191" spans="1:52" s="165" customFormat="1">
      <c r="A191" s="88" t="s">
        <v>73</v>
      </c>
      <c r="B191" s="88"/>
      <c r="C191" s="23" t="str">
        <f>CONCATENATE("m",Stufengrün!AH49)</f>
        <v>m1</v>
      </c>
      <c r="D191" s="23" t="s">
        <v>30</v>
      </c>
      <c r="E191" s="28"/>
      <c r="F191" s="28"/>
      <c r="G191" s="28"/>
      <c r="H191" s="36" t="s">
        <v>57</v>
      </c>
      <c r="I191" s="36" t="s">
        <v>51</v>
      </c>
      <c r="J191" s="36" t="s">
        <v>58</v>
      </c>
      <c r="K191" s="36" t="s">
        <v>59</v>
      </c>
      <c r="L191" s="28"/>
      <c r="M191" s="28"/>
      <c r="N191" s="28"/>
      <c r="O191" s="28"/>
      <c r="P191" s="28"/>
      <c r="AF191" s="176"/>
      <c r="AG191" s="176"/>
      <c r="AH191" s="176"/>
      <c r="AI191" s="176"/>
      <c r="AJ191" s="176"/>
      <c r="AK191" s="176"/>
      <c r="AL191" s="176"/>
      <c r="AM191" s="176"/>
      <c r="AN191" s="176"/>
      <c r="AR191" s="92"/>
      <c r="AS191" s="176"/>
      <c r="AT191" s="178"/>
      <c r="AU191" s="178"/>
      <c r="AV191" s="178"/>
      <c r="AW191" s="178"/>
      <c r="AX191" s="178"/>
      <c r="AY191" s="178"/>
      <c r="AZ191" s="176"/>
    </row>
    <row r="192" spans="1:52" s="165" customFormat="1">
      <c r="A192" s="88" t="s">
        <v>69</v>
      </c>
      <c r="B192" s="88"/>
      <c r="C192" s="36">
        <f>Stufengrün!AI49</f>
        <v>0.3251944406533937</v>
      </c>
      <c r="D192" s="55">
        <f>Stufengrün!AK48</f>
        <v>8.983369412744914E-2</v>
      </c>
      <c r="E192" s="28"/>
      <c r="F192" s="28"/>
      <c r="G192" s="28"/>
      <c r="H192" s="78">
        <f>H181</f>
        <v>6.0542118461325421E-2</v>
      </c>
      <c r="I192" s="78">
        <f>I181</f>
        <v>0.18321833372345625</v>
      </c>
      <c r="J192" s="78">
        <f>J181</f>
        <v>-5.9706990649700933E-2</v>
      </c>
      <c r="K192" s="78">
        <f>K181</f>
        <v>-1.0043945490377542</v>
      </c>
      <c r="L192" s="28"/>
      <c r="M192" s="28"/>
      <c r="N192" s="28"/>
      <c r="O192" s="28"/>
      <c r="P192" s="28"/>
      <c r="AF192" s="176"/>
      <c r="AG192" s="176"/>
      <c r="AH192" s="176"/>
      <c r="AI192" s="176"/>
      <c r="AJ192" s="176"/>
      <c r="AK192" s="176"/>
      <c r="AL192" s="176"/>
      <c r="AM192" s="176"/>
      <c r="AN192" s="176"/>
      <c r="AR192" s="92"/>
      <c r="AS192" s="176"/>
      <c r="AT192" s="178"/>
      <c r="AU192" s="178"/>
      <c r="AV192" s="178"/>
      <c r="AW192" s="178"/>
      <c r="AX192" s="178"/>
      <c r="AY192" s="178"/>
      <c r="AZ192" s="176"/>
    </row>
    <row r="193" spans="1:52" s="165" customFormat="1">
      <c r="A193" s="95"/>
      <c r="B193" s="95"/>
      <c r="C193" s="28"/>
      <c r="D193" s="28"/>
      <c r="E193" s="28"/>
      <c r="F193" s="28"/>
      <c r="G193" s="28"/>
      <c r="H193" s="37" t="s">
        <v>8</v>
      </c>
      <c r="I193" s="37" t="s">
        <v>8</v>
      </c>
      <c r="J193" s="37" t="s">
        <v>9</v>
      </c>
      <c r="K193" s="37" t="s">
        <v>9</v>
      </c>
      <c r="L193" s="28"/>
      <c r="M193" s="28"/>
      <c r="N193" s="28"/>
      <c r="O193" s="28"/>
      <c r="P193" s="28"/>
      <c r="AF193" s="176"/>
      <c r="AG193" s="176"/>
      <c r="AH193" s="176"/>
      <c r="AI193" s="176"/>
      <c r="AJ193" s="176"/>
      <c r="AK193" s="176"/>
      <c r="AL193" s="176"/>
      <c r="AM193" s="176"/>
      <c r="AN193" s="176"/>
      <c r="AR193" s="92"/>
      <c r="AS193" s="176"/>
      <c r="AT193" s="178"/>
      <c r="AU193" s="178"/>
      <c r="AV193" s="178"/>
      <c r="AW193" s="178"/>
      <c r="AX193" s="178"/>
      <c r="AY193" s="178"/>
      <c r="AZ193" s="176"/>
    </row>
    <row r="194" spans="1:52" s="165" customFormat="1">
      <c r="A194" s="88" t="s">
        <v>68</v>
      </c>
      <c r="B194" s="88"/>
      <c r="C194" s="115" t="s">
        <v>15</v>
      </c>
      <c r="D194" s="115" t="s">
        <v>55</v>
      </c>
      <c r="E194" s="115" t="s">
        <v>12</v>
      </c>
      <c r="F194" s="115" t="s">
        <v>10</v>
      </c>
      <c r="G194" s="115" t="s">
        <v>14</v>
      </c>
      <c r="H194" s="115" t="s">
        <v>21</v>
      </c>
      <c r="I194" s="115" t="s">
        <v>16</v>
      </c>
      <c r="J194" s="115" t="s">
        <v>17</v>
      </c>
      <c r="K194" s="115" t="s">
        <v>23</v>
      </c>
      <c r="L194" s="28"/>
      <c r="M194" s="28"/>
      <c r="N194" s="28"/>
      <c r="O194" s="28"/>
      <c r="P194" s="28"/>
      <c r="AF194" s="176"/>
      <c r="AG194" s="176"/>
      <c r="AH194" s="176"/>
      <c r="AI194" s="176"/>
      <c r="AJ194" s="176"/>
      <c r="AK194" s="176"/>
      <c r="AL194" s="176"/>
      <c r="AM194" s="176"/>
      <c r="AN194" s="176"/>
      <c r="AR194" s="92"/>
      <c r="AS194" s="176"/>
      <c r="AT194" s="178"/>
      <c r="AU194" s="178"/>
      <c r="AV194" s="178"/>
      <c r="AW194" s="178"/>
      <c r="AX194" s="178"/>
      <c r="AY194" s="178"/>
      <c r="AZ194" s="176"/>
    </row>
    <row r="195" spans="1:52" s="165" customFormat="1">
      <c r="A195" s="28"/>
      <c r="B195" s="28"/>
      <c r="C195" s="23">
        <f>Mü/TAN($C192)</f>
        <v>0.20761392232733894</v>
      </c>
      <c r="D195" s="42">
        <f>SQRT($J192*$J192+$K192*$K192)</f>
        <v>1.0061676474967762</v>
      </c>
      <c r="E195" s="20">
        <f>ATAN($J192/$K192)</f>
        <v>5.9375878379401212E-2</v>
      </c>
      <c r="F195" s="23">
        <f>($E195-A208-0.0001)/5</f>
        <v>2.4974229245007728E-3</v>
      </c>
      <c r="G195" s="23">
        <f>COS($E195)</f>
        <v>0.99823777035225358</v>
      </c>
      <c r="H195" s="23">
        <f>SIN($E195)</f>
        <v>5.934099630240023E-2</v>
      </c>
      <c r="I195" s="23">
        <f>$C195+$G195</f>
        <v>1.2058516926795926</v>
      </c>
      <c r="J195" s="23">
        <f>POWER(TAN($E195/2),$C195)</f>
        <v>0.48185109340759769</v>
      </c>
      <c r="K195" s="23">
        <f>-$D195*$D195*SIN($E195)*SIN($E195)/(2*9.81*SIN($C192)*POWER(TAN($E195/2),2*$C195))</f>
        <v>-2.4494256435651151E-3</v>
      </c>
      <c r="L195" s="28"/>
      <c r="M195" s="28"/>
      <c r="N195" s="28"/>
      <c r="O195" s="28"/>
      <c r="P195" s="28"/>
      <c r="AF195" s="176"/>
      <c r="AG195" s="176"/>
      <c r="AH195" s="176"/>
      <c r="AI195" s="176"/>
      <c r="AJ195" s="176"/>
      <c r="AK195" s="176"/>
      <c r="AL195" s="176"/>
      <c r="AM195" s="176"/>
      <c r="AN195" s="176"/>
      <c r="AR195" s="92"/>
      <c r="AS195" s="176"/>
      <c r="AT195" s="178"/>
      <c r="AU195" s="178"/>
      <c r="AV195" s="178"/>
      <c r="AW195" s="178"/>
      <c r="AX195" s="178"/>
      <c r="AY195" s="178"/>
      <c r="AZ195" s="176"/>
    </row>
    <row r="196" spans="1:52" s="165" customFormat="1">
      <c r="A196" s="88" t="s">
        <v>70</v>
      </c>
      <c r="B196" s="8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45"/>
      <c r="N196" s="28"/>
      <c r="O196" s="28"/>
      <c r="P196" s="28"/>
      <c r="AF196" s="176"/>
      <c r="AG196" s="176"/>
      <c r="AH196" s="176"/>
      <c r="AI196" s="176"/>
      <c r="AJ196" s="176"/>
      <c r="AK196" s="176"/>
      <c r="AL196" s="176"/>
      <c r="AM196" s="176"/>
      <c r="AN196" s="176"/>
      <c r="AR196" s="92"/>
      <c r="AS196" s="176"/>
      <c r="AT196" s="178"/>
      <c r="AU196" s="178"/>
      <c r="AV196" s="178"/>
      <c r="AW196" s="178"/>
      <c r="AX196" s="178"/>
      <c r="AY196" s="178"/>
      <c r="AZ196" s="176"/>
    </row>
    <row r="197" spans="1:52" s="165" customFormat="1">
      <c r="A197" s="115" t="s">
        <v>11</v>
      </c>
      <c r="B197" s="115" t="s">
        <v>13</v>
      </c>
      <c r="C197" s="117" t="s">
        <v>22</v>
      </c>
      <c r="D197" s="117" t="s">
        <v>18</v>
      </c>
      <c r="E197" s="115" t="s">
        <v>19</v>
      </c>
      <c r="F197" s="117" t="s">
        <v>20</v>
      </c>
      <c r="G197" s="117" t="s">
        <v>2</v>
      </c>
      <c r="H197" s="117" t="s">
        <v>65</v>
      </c>
      <c r="I197" s="117" t="s">
        <v>66</v>
      </c>
      <c r="J197" s="118" t="s">
        <v>3</v>
      </c>
      <c r="K197" s="118" t="s">
        <v>4</v>
      </c>
      <c r="L197" s="116" t="s">
        <v>7</v>
      </c>
      <c r="M197" s="93"/>
      <c r="N197" s="117" t="s">
        <v>61</v>
      </c>
      <c r="O197" s="117" t="s">
        <v>62</v>
      </c>
      <c r="P197" s="115" t="s">
        <v>63</v>
      </c>
      <c r="AF197" s="176"/>
      <c r="AG197" s="176"/>
      <c r="AH197" s="176"/>
      <c r="AI197" s="176"/>
      <c r="AJ197" s="176"/>
      <c r="AK197" s="176"/>
      <c r="AL197" s="176"/>
      <c r="AM197" s="176"/>
      <c r="AN197" s="176"/>
      <c r="AR197" s="92"/>
      <c r="AS197" s="176"/>
      <c r="AT197" s="178"/>
      <c r="AU197" s="178"/>
      <c r="AV197" s="178"/>
      <c r="AW197" s="178"/>
      <c r="AX197" s="178"/>
      <c r="AY197" s="178"/>
      <c r="AZ197" s="176"/>
    </row>
    <row r="198" spans="1:52" s="165" customFormat="1">
      <c r="A198" s="19">
        <f>$E195</f>
        <v>5.9375878379401212E-2</v>
      </c>
      <c r="B198" s="26">
        <f>COS(A198)</f>
        <v>0.99823777035225358</v>
      </c>
      <c r="C198" s="26">
        <f>($C$195+B198)</f>
        <v>1.2058516926795926</v>
      </c>
      <c r="D198" s="26">
        <f>POWER(TAN(A198/2),$C$195)</f>
        <v>0.48185109340759769</v>
      </c>
      <c r="E198" s="26">
        <f>SIN(A198)</f>
        <v>5.934099630240023E-2</v>
      </c>
      <c r="F198" s="77">
        <f>(C198*$H$195*D198/E198/$I$195/$J$195)</f>
        <v>1</v>
      </c>
      <c r="G198" s="77">
        <f>$D$195*($C$195+$G$195)/9.81/SIN($C$192)/(1-$C$195*$C$192)*(F198-1)</f>
        <v>0</v>
      </c>
      <c r="H198" s="75">
        <f>-(-$H$192+$K$195*((POWER(TAN(A198/2),2*$C$195-1)/(2*$C$195-1))+(POWER(TAN(A198/2),2*$C$195+1)/(2*$C$195+1))-(POWER(TAN($E$195/2),2*$C$195-1)/(2*$C$195-1))-(POWER(TAN($E$195/2),2*$C$195+1)/(2*$C$195+1))))</f>
        <v>6.0542118461325421E-2</v>
      </c>
      <c r="I198" s="75">
        <f>-(-$I$192+0.5*$K$195*((POWER(TAN(A198/2),2*$C$195-2)/(2*$C$195-2))-(POWER(TAN(A198/2),2*$C$195+2)/(2*$C$195+2))-(POWER(TAN($E$195/2),2*$C$195-2)/(2*$C$195-2))+(POWER(TAN($E$195/2),2*$C$195+2)/(2*$C$195+2))))</f>
        <v>0.18321833372345625</v>
      </c>
      <c r="J198" s="77">
        <f>-$D$195*SIN(A198)*($C$195+$G$195)/($C$195+B198)*F198</f>
        <v>-5.9706990649700926E-2</v>
      </c>
      <c r="K198" s="77">
        <f>-$D$195*COS(A198)*($C$195+$G$195)/($C$195+B198)*F198</f>
        <v>-1.0043945490377542</v>
      </c>
      <c r="L198" s="91">
        <f>SQRT(J198*J198+K198*K198)</f>
        <v>1.0061676474967762</v>
      </c>
      <c r="M198" s="93"/>
      <c r="N198" s="75">
        <f>-(-$I$192+0.5*$K$195*((POWER(TAN(A198/2),2*$C$195-2)/(2*$C$195-2))-(POWER(TAN(A198/2),2*$C$195+2)/(2*$C$195+2))-(POWER(TAN($E$195/2),2*$C$195-2)/(2*$C$195-2))+(POWER(TAN($E$195/2),2*$C$195+2)/(2*$C$195+2))))-$D$192</f>
        <v>9.338463959600711E-2</v>
      </c>
      <c r="O198" s="75">
        <f>-(-$I$192+0.5*$K$195*((POWER(TAN((A198+$M$9)/2),2*$C$195-2)/(2*$C$195-2))-(POWER(TAN((A198+$M$9)/2),2*$C$195+2)/(2*$C$195+2))-(POWER(TAN($E$195/2),2*$C$195-2)/(2*$C$195-2))+(POWER(TAN($E$195/2),2*$C$195+2)/(2*$C$195+2))))-$D$192</f>
        <v>9.870233854779141E-2</v>
      </c>
      <c r="P198" s="75">
        <f>A198-N198/(O198-N198)*$M$9</f>
        <v>4.181477903121926E-2</v>
      </c>
      <c r="AF198" s="176"/>
      <c r="AG198" s="176"/>
      <c r="AH198" s="176"/>
      <c r="AI198" s="176"/>
      <c r="AJ198" s="176"/>
      <c r="AK198" s="176"/>
      <c r="AL198" s="176"/>
      <c r="AM198" s="176"/>
      <c r="AN198" s="176"/>
      <c r="AR198" s="92"/>
      <c r="AS198" s="176"/>
      <c r="AT198" s="178"/>
      <c r="AU198" s="178"/>
      <c r="AV198" s="178"/>
      <c r="AW198" s="178"/>
      <c r="AX198" s="178"/>
      <c r="AY198" s="178"/>
      <c r="AZ198" s="176"/>
    </row>
    <row r="199" spans="1:52" s="165" customFormat="1">
      <c r="A199" s="19">
        <f>$P198</f>
        <v>4.181477903121926E-2</v>
      </c>
      <c r="B199" s="26">
        <f>COS(A199)</f>
        <v>0.99912588950183756</v>
      </c>
      <c r="C199" s="26">
        <f>($C$195+B199)</f>
        <v>1.2067398118291766</v>
      </c>
      <c r="D199" s="26">
        <f>POWER(TAN(A199/2),$C$195)</f>
        <v>0.44800616912055313</v>
      </c>
      <c r="E199" s="26">
        <f>SIN(A199)</f>
        <v>4.180259474197532E-2</v>
      </c>
      <c r="F199" s="77">
        <f>(C199*$H$195*D199/E199/$I$195/$J$195)</f>
        <v>1.3208164915316709</v>
      </c>
      <c r="G199" s="77">
        <f>$D$195*($C$195+$G$195)/9.81/SIN($C$192)/(1-$C$195*$C$192)*(F199-1)</f>
        <v>0.13318294554901894</v>
      </c>
      <c r="H199" s="75">
        <f>-(-$H$192+$K$195*((POWER(TAN(A199/2),2*$C$195-1)/(2*$C$195-1))+(POWER(TAN(A199/2),2*$C$195+1)/(2*$C$195+1))-(POWER(TAN($E$195/2),2*$C$195-1)/(2*$C$195-1))-(POWER(TAN($E$195/2),2*$C$195+1)/(2*$C$195+1))))</f>
        <v>5.3081042450094006E-2</v>
      </c>
      <c r="I199" s="75">
        <f>-(-$I$192+0.5*$K$195*((POWER(TAN(A199/2),2*$C$195-2)/(2*$C$195-2))-(POWER(TAN(A199/2),2*$C$195+2)/(2*$C$195+2))-(POWER(TAN($E$195/2),2*$C$195-2)/(2*$C$195-2))+(POWER(TAN($E$195/2),2*$C$195+2)/(2*$C$195+2))))</f>
        <v>3.1938569709699133E-2</v>
      </c>
      <c r="J199" s="77">
        <f>-$D$195*SIN(A199)*($C$195+$G$195)/($C$195+B199)*F199</f>
        <v>-5.5513208368009541E-2</v>
      </c>
      <c r="K199" s="77">
        <f>-$D$195*COS(A199)*($C$195+$G$195)/($C$195+B199)*F199</f>
        <v>-1.3268239455503112</v>
      </c>
      <c r="L199" s="91">
        <f>SQRT(J199*J199+K199*K199)</f>
        <v>1.3279847509625273</v>
      </c>
      <c r="M199" s="93"/>
      <c r="N199" s="75">
        <f>-(-$I$192+0.5*$K$195*((POWER(TAN(A199/2),2*$C$195-2)/(2*$C$195-2))-(POWER(TAN(A199/2),2*$C$195+2)/(2*$C$195+2))-(POWER(TAN($E$195/2),2*$C$195-2)/(2*$C$195-2))+(POWER(TAN($E$195/2),2*$C$195+2)/(2*$C$195+2))))-$D$192</f>
        <v>-5.7895124417750007E-2</v>
      </c>
      <c r="O199" s="75">
        <f t="shared" ref="O199:O208" si="199">-(-$I$192+0.5*$K$195*((POWER(TAN((A199+$M$9)/2),2*$C$195-2)/(2*$C$195-2))-(POWER(TAN((A199+$M$9)/2),2*$C$195+2)/(2*$C$195+2))-(POWER(TAN($E$195/2),2*$C$195-2)/(2*$C$195-2))+(POWER(TAN($E$195/2),2*$C$195+2)/(2*$C$195+2))))-$D$192</f>
        <v>-4.4850736224639101E-2</v>
      </c>
      <c r="P199" s="75">
        <f t="shared" ref="P199:P208" si="200">A199-N199/(O199-N199)*$M$9</f>
        <v>4.625309561308287E-2</v>
      </c>
      <c r="AF199" s="176"/>
      <c r="AG199" s="176"/>
      <c r="AH199" s="176"/>
      <c r="AI199" s="176"/>
      <c r="AJ199" s="176"/>
      <c r="AK199" s="176"/>
      <c r="AL199" s="176"/>
      <c r="AM199" s="176"/>
      <c r="AN199" s="176"/>
      <c r="AR199" s="92"/>
      <c r="AS199" s="176"/>
      <c r="AT199" s="178"/>
      <c r="AU199" s="178"/>
      <c r="AV199" s="178"/>
      <c r="AW199" s="178"/>
      <c r="AX199" s="178"/>
      <c r="AY199" s="178"/>
      <c r="AZ199" s="176"/>
    </row>
    <row r="200" spans="1:52" s="165" customFormat="1">
      <c r="A200" s="19">
        <f t="shared" ref="A200:A208" si="201">$P199</f>
        <v>4.625309561308287E-2</v>
      </c>
      <c r="B200" s="26">
        <f t="shared" ref="B200:B208" si="202">COS(A200)</f>
        <v>0.99893051626006812</v>
      </c>
      <c r="C200" s="26">
        <f t="shared" ref="C200:C208" si="203">($C$195+B200)</f>
        <v>1.2065444385874071</v>
      </c>
      <c r="D200" s="26">
        <f t="shared" ref="D200:D208" si="204">POWER(TAN(A200/2),$C$195)</f>
        <v>0.45749115835503679</v>
      </c>
      <c r="E200" s="26">
        <f t="shared" ref="E200:E208" si="205">SIN(A200)</f>
        <v>4.6236605459243921E-2</v>
      </c>
      <c r="F200" s="77">
        <f t="shared" ref="F200:F208" si="206">(C200*$H$195*D200/E200/$I$195/$J$195)</f>
        <v>1.2192371094693519</v>
      </c>
      <c r="G200" s="77">
        <f t="shared" ref="G200:G208" si="207">$D$195*($C$195+$G$195)/9.81/SIN($C$192)/(1-$C$195*$C$192)*(F200-1)</f>
        <v>9.1013538217372222E-2</v>
      </c>
      <c r="H200" s="75">
        <f t="shared" ref="H200:H208" si="208">-(-$H$192+$K$195*((POWER(TAN(A200/2),2*$C$195-1)/(2*$C$195-1))+(POWER(TAN(A200/2),2*$C$195+1)/(2*$C$195+1))-(POWER(TAN($E$195/2),2*$C$195-1)/(2*$C$195-1))-(POWER(TAN($E$195/2),2*$C$195+1)/(2*$C$195+1))))</f>
        <v>5.5386024406099764E-2</v>
      </c>
      <c r="I200" s="75">
        <f t="shared" ref="I200:I208" si="209">-(-$I$192+0.5*$K$195*((POWER(TAN(A200/2),2*$C$195-2)/(2*$C$195-2))-(POWER(TAN(A200/2),2*$C$195+2)/(2*$C$195+2))-(POWER(TAN($E$195/2),2*$C$195-2)/(2*$C$195-2))+(POWER(TAN($E$195/2),2*$C$195+2)/(2*$C$195+2))))</f>
        <v>8.4365121113586058E-2</v>
      </c>
      <c r="J200" s="77">
        <f t="shared" ref="J200:J208" si="210">-$D$195*SIN(A200)*($C$195+$G$195)/($C$195+B200)*F200</f>
        <v>-5.6688509558115538E-2</v>
      </c>
      <c r="K200" s="77">
        <f t="shared" ref="K200:K208" si="211">-$D$195*COS(A200)*($C$195+$G$195)/($C$195+B200)*F200</f>
        <v>-1.2247413398204119</v>
      </c>
      <c r="L200" s="91">
        <f t="shared" ref="L200:L208" si="212">SQRT(J200*J200+K200*K200)</f>
        <v>1.2260525831223628</v>
      </c>
      <c r="M200" s="93"/>
      <c r="N200" s="75">
        <f t="shared" ref="N200:N208" si="213">-(-$I$192+0.5*$K$195*((POWER(TAN(A200/2),2*$C$195-2)/(2*$C$195-2))-(POWER(TAN(A200/2),2*$C$195+2)/(2*$C$195+2))-(POWER(TAN($E$195/2),2*$C$195-2)/(2*$C$195-2))+(POWER(TAN($E$195/2),2*$C$195+2)/(2*$C$195+2))))-$D$192</f>
        <v>-5.4685730138630817E-3</v>
      </c>
      <c r="O200" s="75">
        <f t="shared" si="199"/>
        <v>4.6110607512401952E-3</v>
      </c>
      <c r="P200" s="75">
        <f t="shared" si="200"/>
        <v>4.6795632489055078E-2</v>
      </c>
      <c r="AF200" s="176"/>
      <c r="AG200" s="176"/>
      <c r="AH200" s="176"/>
      <c r="AI200" s="176"/>
      <c r="AJ200" s="176"/>
      <c r="AK200" s="176"/>
      <c r="AL200" s="176"/>
      <c r="AM200" s="176"/>
      <c r="AN200" s="176"/>
      <c r="AR200" s="92"/>
      <c r="AS200" s="176"/>
      <c r="AT200" s="178"/>
      <c r="AU200" s="178"/>
      <c r="AV200" s="178"/>
      <c r="AW200" s="178"/>
      <c r="AX200" s="178"/>
      <c r="AY200" s="178"/>
      <c r="AZ200" s="176"/>
    </row>
    <row r="201" spans="1:52" s="165" customFormat="1">
      <c r="A201" s="19">
        <f t="shared" si="201"/>
        <v>4.6795632489055078E-2</v>
      </c>
      <c r="B201" s="26">
        <f t="shared" si="202"/>
        <v>0.99890528418208935</v>
      </c>
      <c r="C201" s="26">
        <f t="shared" si="203"/>
        <v>1.2065192065094283</v>
      </c>
      <c r="D201" s="26">
        <f t="shared" si="204"/>
        <v>0.45860052633744997</v>
      </c>
      <c r="E201" s="26">
        <f t="shared" si="205"/>
        <v>4.677855526947599E-2</v>
      </c>
      <c r="F201" s="77">
        <f t="shared" si="206"/>
        <v>1.2080087258765739</v>
      </c>
      <c r="G201" s="77">
        <f t="shared" si="207"/>
        <v>8.6352215498266244E-2</v>
      </c>
      <c r="H201" s="75">
        <f t="shared" si="208"/>
        <v>5.5643838340071326E-2</v>
      </c>
      <c r="I201" s="75">
        <f t="shared" si="209"/>
        <v>8.9902766793379121E-2</v>
      </c>
      <c r="J201" s="77">
        <f t="shared" si="210"/>
        <v>-5.6825973236540761E-2</v>
      </c>
      <c r="K201" s="77">
        <f t="shared" si="211"/>
        <v>-1.2134569915161559</v>
      </c>
      <c r="L201" s="91">
        <f t="shared" si="212"/>
        <v>1.2147868378829763</v>
      </c>
      <c r="M201" s="93"/>
      <c r="N201" s="75">
        <f t="shared" si="213"/>
        <v>6.9072665929981181E-5</v>
      </c>
      <c r="O201" s="75">
        <f t="shared" si="199"/>
        <v>9.8525294968069693E-3</v>
      </c>
      <c r="P201" s="75">
        <f t="shared" si="200"/>
        <v>4.6788572339751616E-2</v>
      </c>
      <c r="AF201" s="176"/>
      <c r="AG201" s="176"/>
      <c r="AH201" s="176"/>
      <c r="AI201" s="176"/>
      <c r="AJ201" s="176"/>
      <c r="AK201" s="176"/>
      <c r="AL201" s="176"/>
      <c r="AM201" s="176"/>
      <c r="AN201" s="176"/>
      <c r="AR201" s="92"/>
      <c r="AS201" s="176"/>
      <c r="AT201" s="178"/>
      <c r="AU201" s="178"/>
      <c r="AV201" s="178"/>
      <c r="AW201" s="178"/>
      <c r="AX201" s="178"/>
      <c r="AY201" s="178"/>
      <c r="AZ201" s="176"/>
    </row>
    <row r="202" spans="1:52" s="165" customFormat="1">
      <c r="A202" s="19">
        <f t="shared" si="201"/>
        <v>4.6788572339751616E-2</v>
      </c>
      <c r="B202" s="26">
        <f t="shared" si="202"/>
        <v>0.99890561442077808</v>
      </c>
      <c r="C202" s="26">
        <f t="shared" si="203"/>
        <v>1.206519536748117</v>
      </c>
      <c r="D202" s="26">
        <f t="shared" si="204"/>
        <v>0.45858615543512243</v>
      </c>
      <c r="E202" s="26">
        <f t="shared" si="205"/>
        <v>4.6771502847863855E-2</v>
      </c>
      <c r="F202" s="77">
        <f t="shared" si="206"/>
        <v>1.2081533452697288</v>
      </c>
      <c r="G202" s="77">
        <f t="shared" si="207"/>
        <v>8.6412252426766784E-2</v>
      </c>
      <c r="H202" s="75">
        <f t="shared" si="208"/>
        <v>5.5640513769932773E-2</v>
      </c>
      <c r="I202" s="75">
        <f t="shared" si="209"/>
        <v>8.9831768841884152E-2</v>
      </c>
      <c r="J202" s="77">
        <f t="shared" si="210"/>
        <v>-5.6824192513527716E-2</v>
      </c>
      <c r="K202" s="77">
        <f t="shared" si="211"/>
        <v>-1.2136023322005016</v>
      </c>
      <c r="L202" s="91">
        <f t="shared" si="212"/>
        <v>1.2149319361912054</v>
      </c>
      <c r="M202" s="93"/>
      <c r="N202" s="75">
        <f t="shared" si="213"/>
        <v>-1.9252855649881662E-6</v>
      </c>
      <c r="O202" s="75">
        <f t="shared" si="199"/>
        <v>9.7853077531548233E-3</v>
      </c>
      <c r="P202" s="75">
        <f t="shared" si="200"/>
        <v>4.6788769053731694E-2</v>
      </c>
      <c r="AF202" s="176"/>
      <c r="AG202" s="176"/>
      <c r="AH202" s="176"/>
      <c r="AI202" s="176"/>
      <c r="AJ202" s="176"/>
      <c r="AK202" s="176"/>
      <c r="AL202" s="176"/>
      <c r="AM202" s="176"/>
      <c r="AN202" s="176"/>
      <c r="AR202" s="92"/>
      <c r="AS202" s="176"/>
      <c r="AT202" s="178"/>
      <c r="AU202" s="178"/>
      <c r="AV202" s="178"/>
      <c r="AW202" s="178"/>
      <c r="AX202" s="178"/>
      <c r="AY202" s="178"/>
      <c r="AZ202" s="176"/>
    </row>
    <row r="203" spans="1:52" s="165" customFormat="1">
      <c r="A203" s="19">
        <f t="shared" si="201"/>
        <v>4.6788769053731694E-2</v>
      </c>
      <c r="B203" s="26">
        <f t="shared" si="202"/>
        <v>0.99890560522015037</v>
      </c>
      <c r="C203" s="26">
        <f t="shared" si="203"/>
        <v>1.2065195275474894</v>
      </c>
      <c r="D203" s="26">
        <f t="shared" si="204"/>
        <v>0.45858655586879549</v>
      </c>
      <c r="E203" s="26">
        <f t="shared" si="205"/>
        <v>4.6771699346562084E-2</v>
      </c>
      <c r="F203" s="77">
        <f t="shared" si="206"/>
        <v>1.2081493152709417</v>
      </c>
      <c r="G203" s="77">
        <f t="shared" si="207"/>
        <v>8.641057942327976E-2</v>
      </c>
      <c r="H203" s="75">
        <f t="shared" si="208"/>
        <v>5.564060641179263E-2</v>
      </c>
      <c r="I203" s="75">
        <f t="shared" si="209"/>
        <v>8.9833747403048281E-2</v>
      </c>
      <c r="J203" s="77">
        <f t="shared" si="210"/>
        <v>-5.6824242131946964E-2</v>
      </c>
      <c r="K203" s="77">
        <f t="shared" si="211"/>
        <v>-1.2135982821022109</v>
      </c>
      <c r="L203" s="91">
        <f t="shared" si="212"/>
        <v>1.2149278928460354</v>
      </c>
      <c r="M203" s="93"/>
      <c r="N203" s="75">
        <f t="shared" si="213"/>
        <v>5.3275599140589769E-8</v>
      </c>
      <c r="O203" s="75">
        <f t="shared" si="199"/>
        <v>9.787181072046694E-3</v>
      </c>
      <c r="P203" s="75">
        <f t="shared" si="200"/>
        <v>4.6788763610296165E-2</v>
      </c>
      <c r="AF203" s="176"/>
      <c r="AG203" s="176"/>
      <c r="AH203" s="176"/>
      <c r="AI203" s="176"/>
      <c r="AJ203" s="176"/>
      <c r="AK203" s="176"/>
      <c r="AL203" s="176"/>
      <c r="AM203" s="176"/>
      <c r="AN203" s="176"/>
      <c r="AR203" s="92"/>
      <c r="AS203" s="176"/>
      <c r="AT203" s="178"/>
      <c r="AU203" s="178"/>
      <c r="AV203" s="178"/>
      <c r="AW203" s="178"/>
      <c r="AX203" s="178"/>
      <c r="AY203" s="178"/>
      <c r="AZ203" s="176"/>
    </row>
    <row r="204" spans="1:52" s="165" customFormat="1">
      <c r="A204" s="19">
        <f t="shared" si="201"/>
        <v>4.6788763610296165E-2</v>
      </c>
      <c r="B204" s="26">
        <f t="shared" si="202"/>
        <v>0.99890560547474905</v>
      </c>
      <c r="C204" s="26">
        <f t="shared" si="203"/>
        <v>1.2065195278020879</v>
      </c>
      <c r="D204" s="26">
        <f t="shared" si="204"/>
        <v>0.45858654478808147</v>
      </c>
      <c r="E204" s="26">
        <f t="shared" si="205"/>
        <v>4.6771693909083818E-2</v>
      </c>
      <c r="F204" s="77">
        <f t="shared" si="206"/>
        <v>1.2081494267879689</v>
      </c>
      <c r="G204" s="77">
        <f t="shared" si="207"/>
        <v>8.6410625718175912E-2</v>
      </c>
      <c r="H204" s="75">
        <f t="shared" si="208"/>
        <v>5.5640603848231267E-2</v>
      </c>
      <c r="I204" s="75">
        <f t="shared" si="209"/>
        <v>8.9833692652932215E-2</v>
      </c>
      <c r="J204" s="77">
        <f t="shared" si="210"/>
        <v>-5.6824240758916789E-2</v>
      </c>
      <c r="K204" s="77">
        <f t="shared" si="211"/>
        <v>-1.2135983941754263</v>
      </c>
      <c r="L204" s="91">
        <f t="shared" si="212"/>
        <v>1.2149280047323794</v>
      </c>
      <c r="M204" s="93"/>
      <c r="N204" s="75">
        <f t="shared" si="213"/>
        <v>-1.4745169252261547E-9</v>
      </c>
      <c r="O204" s="75">
        <f t="shared" si="199"/>
        <v>9.7871292341558114E-3</v>
      </c>
      <c r="P204" s="75">
        <f t="shared" si="200"/>
        <v>4.6788763760954921E-2</v>
      </c>
      <c r="AF204" s="176"/>
      <c r="AG204" s="176"/>
      <c r="AH204" s="176"/>
      <c r="AI204" s="176"/>
      <c r="AJ204" s="176"/>
      <c r="AK204" s="176"/>
      <c r="AL204" s="176"/>
      <c r="AM204" s="176"/>
      <c r="AN204" s="176"/>
      <c r="AR204" s="92"/>
      <c r="AS204" s="176"/>
      <c r="AT204" s="178"/>
      <c r="AU204" s="178"/>
      <c r="AV204" s="178"/>
      <c r="AW204" s="178"/>
      <c r="AX204" s="178"/>
      <c r="AY204" s="178"/>
      <c r="AZ204" s="176"/>
    </row>
    <row r="205" spans="1:52" s="165" customFormat="1">
      <c r="A205" s="19">
        <f t="shared" si="201"/>
        <v>4.6788763760954921E-2</v>
      </c>
      <c r="B205" s="26">
        <f t="shared" si="202"/>
        <v>0.99890560546770246</v>
      </c>
      <c r="C205" s="26">
        <f t="shared" si="203"/>
        <v>1.2065195277950413</v>
      </c>
      <c r="D205" s="26">
        <f t="shared" si="204"/>
        <v>0.45858654509476404</v>
      </c>
      <c r="E205" s="26">
        <f t="shared" si="205"/>
        <v>4.6771694059577699E-2</v>
      </c>
      <c r="F205" s="77">
        <f t="shared" si="206"/>
        <v>1.2081494237014958</v>
      </c>
      <c r="G205" s="77">
        <f t="shared" si="207"/>
        <v>8.6410624436865299E-2</v>
      </c>
      <c r="H205" s="75">
        <f t="shared" si="208"/>
        <v>5.5640603919183337E-2</v>
      </c>
      <c r="I205" s="75">
        <f t="shared" si="209"/>
        <v>8.9833694168259481E-2</v>
      </c>
      <c r="J205" s="77">
        <f t="shared" si="210"/>
        <v>-5.682424079691837E-2</v>
      </c>
      <c r="K205" s="77">
        <f t="shared" si="211"/>
        <v>-1.2135983910735595</v>
      </c>
      <c r="L205" s="91">
        <f t="shared" si="212"/>
        <v>1.2149280016356847</v>
      </c>
      <c r="M205" s="93"/>
      <c r="N205" s="75">
        <f t="shared" si="213"/>
        <v>4.0810341217500934E-11</v>
      </c>
      <c r="O205" s="75">
        <f t="shared" si="199"/>
        <v>9.7871306688806642E-3</v>
      </c>
      <c r="P205" s="75">
        <f t="shared" si="200"/>
        <v>4.6788763756785125E-2</v>
      </c>
      <c r="AF205" s="176"/>
      <c r="AG205" s="176"/>
      <c r="AH205" s="176"/>
      <c r="AI205" s="176"/>
      <c r="AJ205" s="176"/>
      <c r="AK205" s="176"/>
      <c r="AL205" s="176"/>
      <c r="AM205" s="176"/>
      <c r="AN205" s="176"/>
      <c r="AR205" s="92"/>
      <c r="AS205" s="176"/>
      <c r="AT205" s="178"/>
      <c r="AU205" s="178"/>
      <c r="AV205" s="178"/>
      <c r="AW205" s="178"/>
      <c r="AX205" s="178"/>
      <c r="AY205" s="178"/>
      <c r="AZ205" s="176"/>
    </row>
    <row r="206" spans="1:52" s="165" customFormat="1">
      <c r="A206" s="19">
        <f>$P205</f>
        <v>4.6788763756785125E-2</v>
      </c>
      <c r="B206" s="26">
        <f t="shared" si="202"/>
        <v>0.99890560546789753</v>
      </c>
      <c r="C206" s="26">
        <f t="shared" si="203"/>
        <v>1.2065195277952365</v>
      </c>
      <c r="D206" s="26">
        <f t="shared" si="204"/>
        <v>0.458586545086276</v>
      </c>
      <c r="E206" s="26">
        <f t="shared" si="205"/>
        <v>4.6771694055412462E-2</v>
      </c>
      <c r="F206" s="77">
        <f t="shared" si="206"/>
        <v>1.2081494237869206</v>
      </c>
      <c r="G206" s="77">
        <f t="shared" si="207"/>
        <v>8.6410624472328321E-2</v>
      </c>
      <c r="H206" s="75">
        <f t="shared" si="208"/>
        <v>5.5640603917219603E-2</v>
      </c>
      <c r="I206" s="75">
        <f t="shared" si="209"/>
        <v>8.9833694126319572E-2</v>
      </c>
      <c r="J206" s="77">
        <f t="shared" si="210"/>
        <v>-5.6824240795866586E-2</v>
      </c>
      <c r="K206" s="77">
        <f t="shared" si="211"/>
        <v>-1.2135983911594102</v>
      </c>
      <c r="L206" s="91">
        <f t="shared" si="212"/>
        <v>1.2149280017213924</v>
      </c>
      <c r="M206" s="93"/>
      <c r="N206" s="75">
        <f t="shared" si="213"/>
        <v>-1.1295686608292499E-12</v>
      </c>
      <c r="O206" s="75">
        <f t="shared" si="199"/>
        <v>9.7871306291717336E-3</v>
      </c>
      <c r="P206" s="75">
        <f t="shared" si="200"/>
        <v>4.6788763756900539E-2</v>
      </c>
      <c r="AF206" s="176"/>
      <c r="AG206" s="176"/>
      <c r="AH206" s="176"/>
      <c r="AI206" s="176"/>
      <c r="AJ206" s="176"/>
      <c r="AK206" s="176"/>
      <c r="AL206" s="176"/>
      <c r="AM206" s="176"/>
      <c r="AN206" s="176"/>
      <c r="AR206" s="92"/>
      <c r="AS206" s="176"/>
      <c r="AT206" s="178"/>
      <c r="AU206" s="178"/>
      <c r="AV206" s="178"/>
      <c r="AW206" s="178"/>
      <c r="AX206" s="178"/>
      <c r="AY206" s="178"/>
      <c r="AZ206" s="176"/>
    </row>
    <row r="207" spans="1:52" s="165" customFormat="1">
      <c r="A207" s="19">
        <f t="shared" si="201"/>
        <v>4.6788763756900539E-2</v>
      </c>
      <c r="B207" s="26">
        <f t="shared" si="202"/>
        <v>0.99890560546789209</v>
      </c>
      <c r="C207" s="26">
        <f t="shared" si="203"/>
        <v>1.206519527795231</v>
      </c>
      <c r="D207" s="26">
        <f t="shared" si="204"/>
        <v>0.45858654508651092</v>
      </c>
      <c r="E207" s="26">
        <f t="shared" si="205"/>
        <v>4.6771694055527752E-2</v>
      </c>
      <c r="F207" s="77">
        <f t="shared" si="206"/>
        <v>1.208149423784556</v>
      </c>
      <c r="G207" s="77">
        <f t="shared" si="207"/>
        <v>8.6410624471346703E-2</v>
      </c>
      <c r="H207" s="75">
        <f t="shared" si="208"/>
        <v>5.5640603917273955E-2</v>
      </c>
      <c r="I207" s="75">
        <f t="shared" si="209"/>
        <v>8.9833694127480393E-2</v>
      </c>
      <c r="J207" s="77">
        <f t="shared" si="210"/>
        <v>-5.6824240795895709E-2</v>
      </c>
      <c r="K207" s="77">
        <f t="shared" si="211"/>
        <v>-1.2135983911570341</v>
      </c>
      <c r="L207" s="91">
        <f t="shared" si="212"/>
        <v>1.21492800171902</v>
      </c>
      <c r="M207" s="93"/>
      <c r="N207" s="75">
        <f t="shared" si="213"/>
        <v>3.1252778143198157E-14</v>
      </c>
      <c r="O207" s="75">
        <f t="shared" si="199"/>
        <v>9.7871306302708821E-3</v>
      </c>
      <c r="P207" s="75">
        <f t="shared" si="200"/>
        <v>4.6788763756897347E-2</v>
      </c>
      <c r="AF207" s="176"/>
      <c r="AG207" s="176"/>
      <c r="AH207" s="176"/>
      <c r="AI207" s="176"/>
      <c r="AJ207" s="176"/>
      <c r="AK207" s="176"/>
      <c r="AL207" s="176"/>
      <c r="AM207" s="176"/>
      <c r="AN207" s="176"/>
      <c r="AR207" s="92"/>
      <c r="AS207" s="176"/>
      <c r="AT207" s="178"/>
      <c r="AU207" s="178"/>
      <c r="AV207" s="178"/>
      <c r="AW207" s="178"/>
      <c r="AX207" s="178"/>
      <c r="AY207" s="178"/>
      <c r="AZ207" s="176"/>
    </row>
    <row r="208" spans="1:52" s="165" customFormat="1">
      <c r="A208" s="19">
        <f t="shared" si="201"/>
        <v>4.6788763756897347E-2</v>
      </c>
      <c r="B208" s="26">
        <f t="shared" si="202"/>
        <v>0.9989056054678922</v>
      </c>
      <c r="C208" s="26">
        <f t="shared" si="203"/>
        <v>1.2065195277952312</v>
      </c>
      <c r="D208" s="26">
        <f t="shared" si="204"/>
        <v>0.45858654508650443</v>
      </c>
      <c r="E208" s="26">
        <f t="shared" si="205"/>
        <v>4.677169405552456E-2</v>
      </c>
      <c r="F208" s="77">
        <f t="shared" si="206"/>
        <v>1.2081494237846215</v>
      </c>
      <c r="G208" s="77">
        <f t="shared" si="207"/>
        <v>8.6410624471373904E-2</v>
      </c>
      <c r="H208" s="75">
        <f t="shared" si="208"/>
        <v>5.5640603917272442E-2</v>
      </c>
      <c r="I208" s="75">
        <f t="shared" si="209"/>
        <v>8.9833694127448516E-2</v>
      </c>
      <c r="J208" s="77">
        <f t="shared" si="210"/>
        <v>-5.6824240795894897E-2</v>
      </c>
      <c r="K208" s="77">
        <f t="shared" si="211"/>
        <v>-1.2135983911570998</v>
      </c>
      <c r="L208" s="91">
        <f t="shared" si="212"/>
        <v>1.2149280017190858</v>
      </c>
      <c r="M208" s="93"/>
      <c r="N208" s="75">
        <f t="shared" si="213"/>
        <v>-6.2450045135165055E-16</v>
      </c>
      <c r="O208" s="75">
        <f t="shared" si="199"/>
        <v>9.7871306302405314E-3</v>
      </c>
      <c r="P208" s="75">
        <f t="shared" si="200"/>
        <v>4.678876375689741E-2</v>
      </c>
      <c r="AF208" s="176"/>
      <c r="AG208" s="176"/>
      <c r="AH208" s="176"/>
      <c r="AI208" s="176"/>
      <c r="AJ208" s="176"/>
      <c r="AK208" s="176"/>
      <c r="AL208" s="176"/>
      <c r="AM208" s="176"/>
      <c r="AN208" s="176"/>
      <c r="AR208" s="92"/>
      <c r="AS208" s="176"/>
      <c r="AT208" s="178"/>
      <c r="AU208" s="178"/>
      <c r="AV208" s="178"/>
      <c r="AW208" s="178"/>
      <c r="AX208" s="178"/>
      <c r="AY208" s="178"/>
      <c r="AZ208" s="176"/>
    </row>
    <row r="209" spans="1:52" s="165" customFormat="1">
      <c r="A209" s="88" t="s">
        <v>60</v>
      </c>
      <c r="B209" s="8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AF209" s="176"/>
      <c r="AG209" s="176"/>
      <c r="AH209" s="176"/>
      <c r="AI209" s="176"/>
      <c r="AJ209" s="176"/>
      <c r="AK209" s="176"/>
      <c r="AL209" s="176"/>
      <c r="AM209" s="176"/>
      <c r="AN209" s="176"/>
      <c r="AR209" s="92"/>
      <c r="AS209" s="176"/>
      <c r="AT209" s="178"/>
      <c r="AU209" s="178"/>
      <c r="AV209" s="178"/>
      <c r="AW209" s="178"/>
      <c r="AX209" s="178"/>
      <c r="AY209" s="178"/>
      <c r="AZ209" s="176"/>
    </row>
    <row r="210" spans="1:52" s="165" customFormat="1">
      <c r="A210" s="26" t="s">
        <v>11</v>
      </c>
      <c r="B210" s="26" t="s">
        <v>13</v>
      </c>
      <c r="C210" s="26" t="s">
        <v>22</v>
      </c>
      <c r="D210" s="26" t="s">
        <v>18</v>
      </c>
      <c r="E210" s="26" t="s">
        <v>19</v>
      </c>
      <c r="F210" s="26" t="s">
        <v>20</v>
      </c>
      <c r="G210" s="26" t="s">
        <v>2</v>
      </c>
      <c r="H210" s="26" t="s">
        <v>1</v>
      </c>
      <c r="I210" s="26" t="s">
        <v>0</v>
      </c>
      <c r="J210" s="76" t="s">
        <v>3</v>
      </c>
      <c r="K210" s="76" t="s">
        <v>4</v>
      </c>
      <c r="L210" s="44" t="s">
        <v>7</v>
      </c>
      <c r="M210" s="28"/>
      <c r="N210" s="28"/>
      <c r="O210" s="28"/>
      <c r="P210" s="31"/>
      <c r="AF210" s="176"/>
      <c r="AG210" s="176"/>
      <c r="AH210" s="176"/>
      <c r="AI210" s="176"/>
      <c r="AJ210" s="176"/>
      <c r="AK210" s="176"/>
      <c r="AL210" s="176"/>
      <c r="AM210" s="176"/>
      <c r="AN210" s="176"/>
      <c r="AR210" s="92"/>
      <c r="AS210" s="176"/>
      <c r="AT210" s="178"/>
      <c r="AU210" s="178"/>
      <c r="AV210" s="178"/>
      <c r="AW210" s="178"/>
      <c r="AX210" s="178"/>
      <c r="AY210" s="178"/>
      <c r="AZ210" s="176"/>
    </row>
    <row r="211" spans="1:52" s="165" customFormat="1">
      <c r="A211" s="19">
        <f>$E195</f>
        <v>5.9375878379401212E-2</v>
      </c>
      <c r="B211" s="26">
        <f t="shared" ref="B211:B216" si="214">COS(A211)</f>
        <v>0.99823777035225358</v>
      </c>
      <c r="C211" s="26">
        <f t="shared" ref="C211:C216" si="215">($C$195+B211)</f>
        <v>1.2058516926795926</v>
      </c>
      <c r="D211" s="26">
        <f t="shared" ref="D211:D216" si="216">POWER(TAN(A211/2),$C$195)</f>
        <v>0.48185109340759769</v>
      </c>
      <c r="E211" s="26">
        <f t="shared" ref="E211:E216" si="217">SIN(A211)</f>
        <v>5.934099630240023E-2</v>
      </c>
      <c r="F211" s="77">
        <f t="shared" ref="F211:F216" si="218">(C211*$H$195*D211/E211/$I$195/$J$195)</f>
        <v>1</v>
      </c>
      <c r="G211" s="77">
        <f t="shared" ref="G211:G216" si="219">$D$195*($C$195+$G$195)/9.81/SIN($C$192)/(1-$C$195*$C$192)*(F211-1)</f>
        <v>0</v>
      </c>
      <c r="H211" s="138">
        <f t="shared" ref="H211:H216" si="220">-(-$H$192+$K$195*((POWER(TAN(A211/2),2*$C$195-1)/(2*$C$195-1))+(POWER(TAN(A211/2),2*$C$195+1)/(2*$C$195+1))-(POWER(TAN($E$195/2),2*$C$195-1)/(2*$C$195-1))-(POWER(TAN($E$195/2),2*$C$195+1)/(2*$C$195+1))))</f>
        <v>6.0542118461325421E-2</v>
      </c>
      <c r="I211" s="138">
        <f t="shared" ref="I211:I216" si="221">-(-$I$192+0.5*$K$195*((POWER(TAN(A211/2),2*$C$195-2)/(2*$C$195-2))-(POWER(TAN(A211/2),2*$C$195+2)/(2*$C$195+2))-(POWER(TAN($E$195/2),2*$C$195-2)/(2*$C$195-2))+(POWER(TAN($E$195/2),2*$C$195+2)/(2*$C$195+2))))</f>
        <v>0.18321833372345625</v>
      </c>
      <c r="J211" s="77">
        <f t="shared" ref="J211:J216" si="222">-$D$195*SIN(A211)*($C$195+$G$195)/($C$195+B211)*F211</f>
        <v>-5.9706990649700926E-2</v>
      </c>
      <c r="K211" s="77">
        <f t="shared" ref="K211:K216" si="223">-$D$195*COS(A211)*($C$195+$G$195)/($C$195+B211)*F211</f>
        <v>-1.0043945490377542</v>
      </c>
      <c r="L211" s="91">
        <f t="shared" ref="L211:L216" si="224">SQRT(J211*J211+K211*K211)</f>
        <v>1.0061676474967762</v>
      </c>
      <c r="M211" s="28"/>
      <c r="N211" s="28"/>
      <c r="O211" s="28"/>
      <c r="P211" s="31"/>
      <c r="AF211" s="176"/>
      <c r="AG211" s="176"/>
      <c r="AH211" s="176"/>
      <c r="AI211" s="176"/>
      <c r="AJ211" s="176"/>
      <c r="AK211" s="176"/>
      <c r="AL211" s="176"/>
      <c r="AM211" s="176"/>
      <c r="AN211" s="176"/>
      <c r="AR211" s="92"/>
      <c r="AS211" s="176"/>
      <c r="AT211" s="178"/>
      <c r="AU211" s="178"/>
      <c r="AV211" s="178"/>
      <c r="AW211" s="178"/>
      <c r="AX211" s="178"/>
      <c r="AY211" s="178"/>
      <c r="AZ211" s="176"/>
    </row>
    <row r="212" spans="1:52" s="165" customFormat="1">
      <c r="A212" s="20">
        <f>A211-$F$195</f>
        <v>5.6878455454900438E-2</v>
      </c>
      <c r="B212" s="26">
        <f t="shared" si="214"/>
        <v>0.99838285669933169</v>
      </c>
      <c r="C212" s="26">
        <f t="shared" si="215"/>
        <v>1.2059967790266706</v>
      </c>
      <c r="D212" s="26">
        <f t="shared" si="216"/>
        <v>0.47756899431056654</v>
      </c>
      <c r="E212" s="26">
        <f t="shared" si="217"/>
        <v>5.6847791943767059E-2</v>
      </c>
      <c r="F212" s="77">
        <f t="shared" si="218"/>
        <v>1.0347054999109044</v>
      </c>
      <c r="G212" s="77">
        <f t="shared" si="219"/>
        <v>1.4407553311295928E-2</v>
      </c>
      <c r="H212" s="138">
        <f t="shared" si="220"/>
        <v>5.9707583624933259E-2</v>
      </c>
      <c r="I212" s="138">
        <f t="shared" si="221"/>
        <v>0.16887174412397654</v>
      </c>
      <c r="J212" s="77">
        <f t="shared" si="222"/>
        <v>-5.917638844863618E-2</v>
      </c>
      <c r="K212" s="77">
        <f t="shared" si="223"/>
        <v>-1.0392785670011671</v>
      </c>
      <c r="L212" s="91">
        <f t="shared" si="224"/>
        <v>1.0409619516475246</v>
      </c>
      <c r="M212" s="28"/>
      <c r="N212" s="28"/>
      <c r="O212" s="28"/>
      <c r="P212" s="31"/>
      <c r="AF212" s="176"/>
      <c r="AG212" s="176"/>
      <c r="AH212" s="176"/>
      <c r="AI212" s="176"/>
      <c r="AJ212" s="176"/>
      <c r="AK212" s="176"/>
      <c r="AL212" s="176"/>
      <c r="AM212" s="176"/>
      <c r="AN212" s="176"/>
      <c r="AR212" s="92"/>
      <c r="AS212" s="176"/>
      <c r="AT212" s="178"/>
      <c r="AU212" s="178"/>
      <c r="AV212" s="178"/>
      <c r="AW212" s="178"/>
      <c r="AX212" s="178"/>
      <c r="AY212" s="178"/>
      <c r="AZ212" s="176"/>
    </row>
    <row r="213" spans="1:52" s="165" customFormat="1">
      <c r="A213" s="20">
        <f>A212-$F$195</f>
        <v>5.4381032530399664E-2</v>
      </c>
      <c r="B213" s="26">
        <f t="shared" si="214"/>
        <v>0.9985217160147013</v>
      </c>
      <c r="C213" s="26">
        <f t="shared" si="215"/>
        <v>1.2061356383420403</v>
      </c>
      <c r="D213" s="26">
        <f t="shared" si="216"/>
        <v>0.47313545228560894</v>
      </c>
      <c r="E213" s="26">
        <f t="shared" si="217"/>
        <v>5.4354233018746256E-2</v>
      </c>
      <c r="F213" s="77">
        <f t="shared" si="218"/>
        <v>1.0722507451664913</v>
      </c>
      <c r="G213" s="77">
        <f t="shared" si="219"/>
        <v>2.9993991310870379E-2</v>
      </c>
      <c r="H213" s="138">
        <f t="shared" si="220"/>
        <v>5.8812967843017726E-2</v>
      </c>
      <c r="I213" s="138">
        <f t="shared" si="221"/>
        <v>0.15279974479740932</v>
      </c>
      <c r="J213" s="77">
        <f t="shared" si="222"/>
        <v>-5.862702069612747E-2</v>
      </c>
      <c r="K213" s="77">
        <f t="shared" si="223"/>
        <v>-1.0770155341928309</v>
      </c>
      <c r="L213" s="91">
        <f t="shared" si="224"/>
        <v>1.0786100261208278</v>
      </c>
      <c r="M213" s="45"/>
      <c r="N213" s="28"/>
      <c r="O213" s="28"/>
      <c r="P213" s="31"/>
      <c r="AF213" s="176"/>
      <c r="AG213" s="176"/>
      <c r="AH213" s="176"/>
      <c r="AI213" s="176"/>
      <c r="AJ213" s="176"/>
      <c r="AK213" s="176"/>
      <c r="AL213" s="176"/>
      <c r="AM213" s="176"/>
      <c r="AN213" s="176"/>
      <c r="AR213" s="92"/>
      <c r="AS213" s="176"/>
      <c r="AT213" s="178"/>
      <c r="AU213" s="178"/>
      <c r="AV213" s="178"/>
      <c r="AW213" s="178"/>
      <c r="AX213" s="178"/>
      <c r="AY213" s="178"/>
      <c r="AZ213" s="176"/>
    </row>
    <row r="214" spans="1:52" s="165" customFormat="1">
      <c r="A214" s="20">
        <f>A213-$F$195</f>
        <v>5.1883609605898891E-2</v>
      </c>
      <c r="B214" s="26">
        <f t="shared" si="214"/>
        <v>0.99865434743228065</v>
      </c>
      <c r="C214" s="26">
        <f t="shared" si="215"/>
        <v>1.2062682697596196</v>
      </c>
      <c r="D214" s="26">
        <f t="shared" si="216"/>
        <v>0.46853775003377784</v>
      </c>
      <c r="E214" s="26">
        <f t="shared" si="217"/>
        <v>5.1860335079959109E-2</v>
      </c>
      <c r="F214" s="77">
        <f t="shared" si="218"/>
        <v>1.1130156237848778</v>
      </c>
      <c r="G214" s="77">
        <f t="shared" si="219"/>
        <v>4.6917019748169309E-2</v>
      </c>
      <c r="H214" s="138">
        <f t="shared" si="220"/>
        <v>5.7850866121805483E-2</v>
      </c>
      <c r="I214" s="138">
        <f t="shared" si="221"/>
        <v>0.13470051302386943</v>
      </c>
      <c r="J214" s="77">
        <f t="shared" si="222"/>
        <v>-5.8057311569976386E-2</v>
      </c>
      <c r="K214" s="77">
        <f t="shared" si="223"/>
        <v>-1.1179871188682853</v>
      </c>
      <c r="L214" s="91">
        <f t="shared" si="224"/>
        <v>1.1194935682629636</v>
      </c>
      <c r="M214" s="45"/>
      <c r="N214" s="28"/>
      <c r="O214" s="28"/>
      <c r="P214" s="31"/>
      <c r="AF214" s="176"/>
      <c r="AG214" s="176"/>
      <c r="AH214" s="176"/>
      <c r="AI214" s="176"/>
      <c r="AJ214" s="176"/>
      <c r="AK214" s="176"/>
      <c r="AL214" s="176"/>
      <c r="AM214" s="176"/>
      <c r="AN214" s="176"/>
      <c r="AR214" s="92"/>
      <c r="AS214" s="176"/>
      <c r="AT214" s="178"/>
      <c r="AU214" s="178"/>
      <c r="AV214" s="178"/>
      <c r="AW214" s="178"/>
      <c r="AX214" s="178"/>
      <c r="AY214" s="178"/>
      <c r="AZ214" s="176"/>
    </row>
    <row r="215" spans="1:52" s="165" customFormat="1">
      <c r="A215" s="20">
        <f>A214-$F$195</f>
        <v>4.9386186681398117E-2</v>
      </c>
      <c r="B215" s="26">
        <f t="shared" si="214"/>
        <v>0.99878075012483192</v>
      </c>
      <c r="C215" s="26">
        <f t="shared" si="215"/>
        <v>1.2063946724521708</v>
      </c>
      <c r="D215" s="26">
        <f t="shared" si="216"/>
        <v>0.46376142629529316</v>
      </c>
      <c r="E215" s="26">
        <f t="shared" si="217"/>
        <v>4.9366113682141416E-2</v>
      </c>
      <c r="F215" s="77">
        <f t="shared" si="218"/>
        <v>1.1574525128721131</v>
      </c>
      <c r="G215" s="77">
        <f t="shared" si="219"/>
        <v>6.5364437308961409E-2</v>
      </c>
      <c r="H215" s="138">
        <f t="shared" si="220"/>
        <v>5.6812544505989618E-2</v>
      </c>
      <c r="I215" s="138">
        <f t="shared" si="221"/>
        <v>0.11420124475105949</v>
      </c>
      <c r="J215" s="77">
        <f t="shared" si="222"/>
        <v>-5.7465469150823845E-2</v>
      </c>
      <c r="K215" s="77">
        <f t="shared" si="223"/>
        <v>-1.1626478185885323</v>
      </c>
      <c r="L215" s="91">
        <f t="shared" si="224"/>
        <v>1.164067107263751</v>
      </c>
      <c r="M215" s="45"/>
      <c r="N215" s="28"/>
      <c r="O215" s="28"/>
      <c r="P215" s="89"/>
      <c r="AF215" s="176"/>
      <c r="AG215" s="176"/>
      <c r="AH215" s="176"/>
      <c r="AI215" s="176"/>
      <c r="AJ215" s="176"/>
      <c r="AK215" s="176"/>
      <c r="AL215" s="176"/>
      <c r="AM215" s="176"/>
      <c r="AN215" s="176"/>
      <c r="AR215" s="92"/>
      <c r="AS215" s="176"/>
      <c r="AT215" s="178"/>
      <c r="AU215" s="178"/>
      <c r="AV215" s="178"/>
      <c r="AW215" s="178"/>
      <c r="AX215" s="178"/>
      <c r="AY215" s="178"/>
      <c r="AZ215" s="176"/>
    </row>
    <row r="216" spans="1:52" s="165" customFormat="1">
      <c r="A216" s="20">
        <f>A215-$F$195</f>
        <v>4.6888763756897343E-2</v>
      </c>
      <c r="B216" s="26">
        <f t="shared" si="214"/>
        <v>0.99890092330396651</v>
      </c>
      <c r="C216" s="26">
        <f t="shared" si="215"/>
        <v>1.2065148456313055</v>
      </c>
      <c r="D216" s="26">
        <f t="shared" si="216"/>
        <v>0.45878993416177588</v>
      </c>
      <c r="E216" s="26">
        <f t="shared" si="217"/>
        <v>4.6871584382046395E-2</v>
      </c>
      <c r="F216" s="77">
        <f t="shared" si="218"/>
        <v>1.2061046848621786</v>
      </c>
      <c r="G216" s="77">
        <f t="shared" si="219"/>
        <v>8.5561776735182019E-2</v>
      </c>
      <c r="H216" s="138">
        <f t="shared" si="220"/>
        <v>5.5687618940609522E-2</v>
      </c>
      <c r="I216" s="138">
        <f t="shared" si="221"/>
        <v>9.0836724076960987E-2</v>
      </c>
      <c r="J216" s="77">
        <f t="shared" si="222"/>
        <v>-5.6849443083036369E-2</v>
      </c>
      <c r="K216" s="77">
        <f t="shared" si="223"/>
        <v>-1.2115434528966529</v>
      </c>
      <c r="L216" s="91">
        <f t="shared" si="224"/>
        <v>1.2128764971898811</v>
      </c>
      <c r="M216" s="45"/>
      <c r="N216" s="28"/>
      <c r="O216" s="28"/>
      <c r="P216" s="28"/>
      <c r="AF216" s="176"/>
      <c r="AG216" s="176"/>
      <c r="AH216" s="176"/>
      <c r="AI216" s="176"/>
      <c r="AJ216" s="176"/>
      <c r="AK216" s="176"/>
      <c r="AL216" s="176"/>
      <c r="AM216" s="176"/>
      <c r="AN216" s="176"/>
      <c r="AR216" s="92"/>
      <c r="AS216" s="176"/>
      <c r="AT216" s="178"/>
      <c r="AU216" s="178"/>
      <c r="AV216" s="178"/>
      <c r="AW216" s="178"/>
      <c r="AX216" s="178"/>
      <c r="AY216" s="178"/>
      <c r="AZ216" s="176"/>
    </row>
    <row r="217" spans="1:52" s="165" customFormat="1">
      <c r="A217" s="142"/>
      <c r="B217" s="142"/>
      <c r="C217" s="142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142"/>
      <c r="P217" s="142"/>
      <c r="AF217" s="176"/>
      <c r="AG217" s="176"/>
      <c r="AH217" s="176"/>
      <c r="AI217" s="176"/>
      <c r="AJ217" s="176"/>
      <c r="AK217" s="176"/>
      <c r="AL217" s="176"/>
      <c r="AM217" s="176"/>
      <c r="AN217" s="176"/>
      <c r="AR217" s="92"/>
      <c r="AS217" s="176"/>
      <c r="AT217" s="178"/>
      <c r="AU217" s="178"/>
      <c r="AV217" s="178"/>
      <c r="AW217" s="178"/>
      <c r="AX217" s="178"/>
      <c r="AY217" s="178"/>
      <c r="AZ217" s="176"/>
    </row>
    <row r="218" spans="1:52" s="165" customFormat="1">
      <c r="A218" s="88" t="s">
        <v>73</v>
      </c>
      <c r="B218" s="88"/>
      <c r="C218" s="23" t="str">
        <f>CONCATENATE("m",Stufengrün!AH48)</f>
        <v>m0</v>
      </c>
      <c r="D218" s="23" t="s">
        <v>30</v>
      </c>
      <c r="E218" s="28"/>
      <c r="F218" s="28"/>
      <c r="G218" s="28"/>
      <c r="H218" s="36" t="s">
        <v>57</v>
      </c>
      <c r="I218" s="36" t="s">
        <v>51</v>
      </c>
      <c r="J218" s="36" t="s">
        <v>58</v>
      </c>
      <c r="K218" s="36" t="s">
        <v>59</v>
      </c>
      <c r="L218" s="28"/>
      <c r="M218" s="28"/>
      <c r="N218" s="28"/>
      <c r="O218" s="28"/>
      <c r="P218" s="28"/>
      <c r="AF218" s="176"/>
      <c r="AG218" s="176"/>
      <c r="AH218" s="176"/>
      <c r="AI218" s="176"/>
      <c r="AJ218" s="176"/>
      <c r="AK218" s="176"/>
      <c r="AL218" s="176"/>
      <c r="AM218" s="176"/>
      <c r="AN218" s="176"/>
      <c r="AR218" s="92"/>
      <c r="AS218" s="176"/>
      <c r="AT218" s="178"/>
      <c r="AU218" s="178"/>
      <c r="AV218" s="178"/>
      <c r="AW218" s="178"/>
      <c r="AX218" s="178"/>
      <c r="AY218" s="178"/>
      <c r="AZ218" s="176"/>
    </row>
    <row r="219" spans="1:52" s="165" customFormat="1">
      <c r="A219" s="88" t="s">
        <v>69</v>
      </c>
      <c r="B219" s="88"/>
      <c r="C219" s="36">
        <f>Stufengrün!AI48</f>
        <v>0.38197186342054879</v>
      </c>
      <c r="D219" s="26">
        <f>Stufengrün!AK47</f>
        <v>-8.983369412744914E-2</v>
      </c>
      <c r="E219" s="28"/>
      <c r="F219" s="28"/>
      <c r="G219" s="28"/>
      <c r="H219" s="78">
        <f>H208</f>
        <v>5.5640603917272442E-2</v>
      </c>
      <c r="I219" s="78">
        <f>I208</f>
        <v>8.9833694127448516E-2</v>
      </c>
      <c r="J219" s="78">
        <f>J208</f>
        <v>-5.6824240795894897E-2</v>
      </c>
      <c r="K219" s="78">
        <f>K208</f>
        <v>-1.2135983911570998</v>
      </c>
      <c r="L219" s="28"/>
      <c r="M219" s="28"/>
      <c r="N219" s="28"/>
      <c r="O219" s="28"/>
      <c r="P219" s="28"/>
      <c r="AF219" s="176"/>
      <c r="AG219" s="176"/>
      <c r="AH219" s="176"/>
      <c r="AI219" s="176"/>
      <c r="AJ219" s="176"/>
      <c r="AK219" s="176"/>
      <c r="AL219" s="176"/>
      <c r="AM219" s="176"/>
      <c r="AN219" s="176"/>
      <c r="AR219" s="92"/>
      <c r="AS219" s="176"/>
      <c r="AT219" s="178"/>
      <c r="AU219" s="178"/>
      <c r="AV219" s="178"/>
      <c r="AW219" s="178"/>
      <c r="AX219" s="178"/>
      <c r="AY219" s="178"/>
      <c r="AZ219" s="176"/>
    </row>
    <row r="220" spans="1:52" s="165" customFormat="1">
      <c r="A220" s="95"/>
      <c r="B220" s="95"/>
      <c r="C220" s="28"/>
      <c r="D220" s="28"/>
      <c r="E220" s="28"/>
      <c r="F220" s="28"/>
      <c r="G220" s="28"/>
      <c r="H220" s="37" t="s">
        <v>8</v>
      </c>
      <c r="I220" s="37" t="s">
        <v>8</v>
      </c>
      <c r="J220" s="37" t="s">
        <v>9</v>
      </c>
      <c r="K220" s="37" t="s">
        <v>9</v>
      </c>
      <c r="L220" s="28"/>
      <c r="M220" s="28"/>
      <c r="N220" s="28"/>
      <c r="O220" s="28"/>
      <c r="P220" s="28"/>
      <c r="AF220" s="176"/>
      <c r="AG220" s="176"/>
      <c r="AH220" s="176"/>
      <c r="AI220" s="176"/>
      <c r="AJ220" s="176"/>
      <c r="AK220" s="176"/>
      <c r="AL220" s="176"/>
      <c r="AM220" s="176"/>
      <c r="AN220" s="176"/>
      <c r="AR220" s="92"/>
      <c r="AS220" s="176"/>
      <c r="AT220" s="178"/>
      <c r="AU220" s="178"/>
      <c r="AV220" s="178"/>
      <c r="AW220" s="178"/>
      <c r="AX220" s="178"/>
      <c r="AY220" s="178"/>
      <c r="AZ220" s="176"/>
    </row>
    <row r="221" spans="1:52" s="165" customFormat="1">
      <c r="A221" s="88" t="s">
        <v>68</v>
      </c>
      <c r="B221" s="88"/>
      <c r="C221" s="115" t="s">
        <v>15</v>
      </c>
      <c r="D221" s="115" t="s">
        <v>55</v>
      </c>
      <c r="E221" s="115" t="s">
        <v>12</v>
      </c>
      <c r="F221" s="115" t="s">
        <v>10</v>
      </c>
      <c r="G221" s="115" t="s">
        <v>14</v>
      </c>
      <c r="H221" s="115" t="s">
        <v>21</v>
      </c>
      <c r="I221" s="115" t="s">
        <v>16</v>
      </c>
      <c r="J221" s="115" t="s">
        <v>17</v>
      </c>
      <c r="K221" s="115" t="s">
        <v>23</v>
      </c>
      <c r="L221" s="28"/>
      <c r="M221" s="28"/>
      <c r="N221" s="28"/>
      <c r="O221" s="28"/>
      <c r="P221" s="28"/>
      <c r="AF221" s="176"/>
      <c r="AG221" s="176"/>
      <c r="AH221" s="176"/>
      <c r="AI221" s="176"/>
      <c r="AJ221" s="176"/>
      <c r="AK221" s="176"/>
      <c r="AL221" s="176"/>
      <c r="AM221" s="176"/>
      <c r="AN221" s="176"/>
      <c r="AR221" s="92"/>
      <c r="AS221" s="176"/>
      <c r="AT221" s="178"/>
      <c r="AU221" s="178"/>
      <c r="AV221" s="178"/>
      <c r="AW221" s="178"/>
      <c r="AX221" s="178"/>
      <c r="AY221" s="178"/>
      <c r="AZ221" s="176"/>
    </row>
    <row r="222" spans="1:52" s="165" customFormat="1">
      <c r="A222" s="28"/>
      <c r="B222" s="28"/>
      <c r="C222" s="23">
        <f>Mü/TAN($C219)</f>
        <v>0.17425898005457305</v>
      </c>
      <c r="D222" s="42">
        <f>SQRT($J219*$J219+$K219*$K219)</f>
        <v>1.2149280017190858</v>
      </c>
      <c r="E222" s="20">
        <f>ATAN($J219/$K219)</f>
        <v>4.6788763756897347E-2</v>
      </c>
      <c r="F222" s="23">
        <f>($E222-A235-0.0001)/5</f>
        <v>2.636169360128073E-3</v>
      </c>
      <c r="G222" s="23">
        <f>COS($E222)</f>
        <v>0.9989056054678922</v>
      </c>
      <c r="H222" s="23">
        <f>SIN($E222)</f>
        <v>4.677169405552456E-2</v>
      </c>
      <c r="I222" s="23">
        <f>$C222+$G222</f>
        <v>1.1731645855224653</v>
      </c>
      <c r="J222" s="23">
        <f>POWER(TAN($E222/2),$C222)</f>
        <v>0.51977675641114796</v>
      </c>
      <c r="K222" s="23">
        <f>-$D222*$D222*SIN($E222)*SIN($E222)/(2*9.81*SIN($C219)*POWER(TAN($E222/2),2*$C222))</f>
        <v>-1.6342399251899709E-3</v>
      </c>
      <c r="L222" s="28"/>
      <c r="M222" s="28"/>
      <c r="N222" s="28"/>
      <c r="O222" s="28"/>
      <c r="P222" s="28"/>
      <c r="AF222" s="176"/>
      <c r="AG222" s="176"/>
      <c r="AH222" s="176"/>
      <c r="AI222" s="176"/>
      <c r="AJ222" s="176"/>
      <c r="AK222" s="176"/>
      <c r="AL222" s="176"/>
      <c r="AM222" s="176"/>
      <c r="AN222" s="176"/>
      <c r="AR222" s="92"/>
      <c r="AS222" s="176"/>
      <c r="AT222" s="178"/>
      <c r="AU222" s="178"/>
      <c r="AV222" s="178"/>
      <c r="AW222" s="178"/>
      <c r="AX222" s="178"/>
      <c r="AY222" s="178"/>
      <c r="AZ222" s="176"/>
    </row>
    <row r="223" spans="1:52" s="165" customFormat="1">
      <c r="A223" s="88" t="s">
        <v>70</v>
      </c>
      <c r="B223" s="8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45"/>
      <c r="N223" s="28"/>
      <c r="O223" s="28"/>
      <c r="P223" s="28"/>
      <c r="AF223" s="176"/>
      <c r="AG223" s="176"/>
      <c r="AH223" s="176"/>
      <c r="AI223" s="176"/>
      <c r="AJ223" s="176"/>
      <c r="AK223" s="176"/>
      <c r="AL223" s="176"/>
      <c r="AM223" s="176"/>
      <c r="AN223" s="176"/>
      <c r="AR223" s="92"/>
      <c r="AS223" s="176"/>
      <c r="AT223" s="178"/>
      <c r="AU223" s="178"/>
      <c r="AV223" s="178"/>
      <c r="AW223" s="178"/>
      <c r="AX223" s="178"/>
      <c r="AY223" s="178"/>
      <c r="AZ223" s="176"/>
    </row>
    <row r="224" spans="1:52" s="165" customFormat="1">
      <c r="A224" s="115" t="s">
        <v>11</v>
      </c>
      <c r="B224" s="115" t="s">
        <v>13</v>
      </c>
      <c r="C224" s="117" t="s">
        <v>22</v>
      </c>
      <c r="D224" s="117" t="s">
        <v>18</v>
      </c>
      <c r="E224" s="115" t="s">
        <v>19</v>
      </c>
      <c r="F224" s="117" t="s">
        <v>20</v>
      </c>
      <c r="G224" s="117" t="s">
        <v>2</v>
      </c>
      <c r="H224" s="117" t="s">
        <v>65</v>
      </c>
      <c r="I224" s="117" t="s">
        <v>66</v>
      </c>
      <c r="J224" s="118" t="s">
        <v>3</v>
      </c>
      <c r="K224" s="118" t="s">
        <v>4</v>
      </c>
      <c r="L224" s="116" t="s">
        <v>7</v>
      </c>
      <c r="M224" s="93"/>
      <c r="N224" s="117" t="s">
        <v>61</v>
      </c>
      <c r="O224" s="117" t="s">
        <v>62</v>
      </c>
      <c r="P224" s="115" t="s">
        <v>63</v>
      </c>
      <c r="AF224" s="176"/>
      <c r="AG224" s="176"/>
      <c r="AH224" s="176"/>
      <c r="AI224" s="176"/>
      <c r="AJ224" s="176"/>
      <c r="AK224" s="176"/>
      <c r="AL224" s="176"/>
      <c r="AM224" s="176"/>
      <c r="AN224" s="176"/>
      <c r="AR224" s="92"/>
      <c r="AS224" s="176"/>
      <c r="AT224" s="178"/>
      <c r="AU224" s="178"/>
      <c r="AV224" s="178"/>
      <c r="AW224" s="178"/>
      <c r="AX224" s="178"/>
      <c r="AY224" s="178"/>
      <c r="AZ224" s="176"/>
    </row>
    <row r="225" spans="1:52" s="165" customFormat="1">
      <c r="A225" s="19">
        <f>$E222</f>
        <v>4.6788763756897347E-2</v>
      </c>
      <c r="B225" s="26">
        <f>COS(A225)</f>
        <v>0.9989056054678922</v>
      </c>
      <c r="C225" s="26">
        <f>($C$222+B225)</f>
        <v>1.1731645855224653</v>
      </c>
      <c r="D225" s="26">
        <f>POWER(TAN(A225/2),$C$222)</f>
        <v>0.51977675641114796</v>
      </c>
      <c r="E225" s="26">
        <f>SIN(A225)</f>
        <v>4.677169405552456E-2</v>
      </c>
      <c r="F225" s="77">
        <f>(C225*$H$222*D225/E225/$I$222/$J$222)</f>
        <v>1</v>
      </c>
      <c r="G225" s="77">
        <f>$D$222*($C$222+$G$222)/9.81/SIN($C$219)/(1-$C$222*$C$219)*(F225-1)</f>
        <v>0</v>
      </c>
      <c r="H225" s="75">
        <f>-(-$H$219+$K$222*((POWER(TAN(A225/2),2*$C$222-1)/(2*$C$222-1))+(POWER(TAN(A225/2),2*$C$222+1)/(2*$C$222+1))-(POWER(TAN($E$222/2),2*$C$222-1)/(2*$C$222-1))-(POWER(TAN($E$222/2),2*$C$222+1)/(2*$C$222+1))))</f>
        <v>5.5640603917272442E-2</v>
      </c>
      <c r="I225" s="75">
        <f>-(-$I$219+0.5*$K$222*((POWER(TAN(A225/2),2*$C$222-2)/(2*$C$222-2))-(POWER(TAN(A225/2),2*$C$222+2)/(2*$C$222+2))-(POWER(TAN($E$222/2),2*$C$222-2)/(2*$C$222-2))+(POWER(TAN($E$222/2),2*$C$222+2)/(2*$C$222+2))))</f>
        <v>8.9833694127448543E-2</v>
      </c>
      <c r="J225" s="77">
        <f>-$D$222*SIN(A225)*($C$222+$G$222)/($C$222+B225)*F225</f>
        <v>-5.6824240795894904E-2</v>
      </c>
      <c r="K225" s="77">
        <f>-$D$222*COS(A225)*($C$222+$G$222)/($C$222+B225)*F225</f>
        <v>-1.2135983911570998</v>
      </c>
      <c r="L225" s="91">
        <f>SQRT(J225*J225+K225*K225)</f>
        <v>1.2149280017190858</v>
      </c>
      <c r="M225" s="93"/>
      <c r="N225" s="75">
        <f>-(-$I$219+0.5*$K$222*((POWER(TAN(A225/2),2*$C$222-2)/(2*$C$222-2))-(POWER(TAN(A225/2),2*$C$222+2)/(2*$C$222+2))-(POWER(TAN($E$222/2),2*$C$222-2)/(2*$C$222-2))+(POWER(TAN($E$222/2),2*$C$222+2)/(2*$C$222+2))))-$D$219</f>
        <v>0.1796673882548977</v>
      </c>
      <c r="O225" s="75">
        <f>-(-$I$219+0.5*$K$222*((POWER(TAN((A225+$M$9)/2),2*$C$222-2)/(2*$C$222-2))-(POWER(TAN((A225+$M$9)/2),2*$C$222+2)/(2*$C$222+2))-(POWER(TAN($E$222/2),2*$C$222-2)/(2*$C$222-2))+(POWER(TAN($E$222/2),2*$C$222+2)/(2*$C$222+2))))-$D$219</f>
        <v>0.18805026978047307</v>
      </c>
      <c r="P225" s="75">
        <f>A225-N225/(O225-N225)*$M$9</f>
        <v>2.5356111069781386E-2</v>
      </c>
      <c r="AF225" s="176"/>
      <c r="AG225" s="176"/>
      <c r="AH225" s="176"/>
      <c r="AI225" s="176"/>
      <c r="AJ225" s="176"/>
      <c r="AK225" s="176"/>
      <c r="AL225" s="176"/>
      <c r="AM225" s="176"/>
      <c r="AN225" s="176"/>
      <c r="AR225" s="92"/>
      <c r="AS225" s="176"/>
      <c r="AT225" s="178"/>
      <c r="AU225" s="178"/>
      <c r="AV225" s="178"/>
      <c r="AW225" s="178"/>
      <c r="AX225" s="178"/>
      <c r="AY225" s="178"/>
      <c r="AZ225" s="176"/>
    </row>
    <row r="226" spans="1:52" s="165" customFormat="1">
      <c r="A226" s="19">
        <f>P225</f>
        <v>2.5356111069781386E-2</v>
      </c>
      <c r="B226" s="26">
        <f>COS(A226)</f>
        <v>0.99967855103875725</v>
      </c>
      <c r="C226" s="26">
        <f>($C$222+B226)</f>
        <v>1.1739375310933302</v>
      </c>
      <c r="D226" s="26">
        <f>POWER(TAN(A226/2),$C$222)</f>
        <v>0.46713665269031041</v>
      </c>
      <c r="E226" s="26">
        <f>SIN(A226)</f>
        <v>2.535339411303247E-2</v>
      </c>
      <c r="F226" s="77">
        <f>(C226*$H$222*D226/E226/$I$222/$J$222)</f>
        <v>1.6590524852958435</v>
      </c>
      <c r="G226" s="77">
        <f>$D$222*($C$222+$G$222)/9.81/SIN($C$219)/(1-$C$222*$C$219)*(F226-1)</f>
        <v>0.2752049628106738</v>
      </c>
      <c r="H226" s="75">
        <f>-(-$H$219+$K$222*((POWER(TAN(A226/2),2*$C$222-1)/(2*$C$222-1))+(POWER(TAN(A226/2),2*$C$222+1)/(2*$C$222+1))-(POWER(TAN($E$222/2),2*$C$222-1)/(2*$C$222-1))-(POWER(TAN($E$222/2),2*$C$222+1)/(2*$C$222+1))))</f>
        <v>4.1425840805985735E-2</v>
      </c>
      <c r="I226" s="75">
        <f>-(-$I$219+0.5*$K$222*((POWER(TAN(A226/2),2*$C$222-2)/(2*$C$222-2))-(POWER(TAN(A226/2),2*$C$222+2)/(2*$C$222+2))-(POWER(TAN($E$222/2),2*$C$222-2)/(2*$C$222-2))+(POWER(TAN($E$222/2),2*$C$222+2)/(2*$C$222+2))))</f>
        <v>-0.33766988085855426</v>
      </c>
      <c r="J226" s="77">
        <f>-$D$222*SIN(A226)*($C$222+$G$222)/($C$222+B226)*F226</f>
        <v>-5.106939721649547E-2</v>
      </c>
      <c r="K226" s="77">
        <f>-$D$222*COS(A226)*($C$222+$G$222)/($C$222+B226)*F226</f>
        <v>-2.0136546919201654</v>
      </c>
      <c r="L226" s="91">
        <f>SQRT(J226*J226+K226*K226)</f>
        <v>2.0143021872658911</v>
      </c>
      <c r="M226" s="93"/>
      <c r="N226" s="75">
        <f>-(-$I$219+0.5*$K$222*((POWER(TAN(A226/2),2*$C$222-2)/(2*$C$222-2))-(POWER(TAN(A226/2),2*$C$222+2)/(2*$C$222+2))-(POWER(TAN($E$222/2),2*$C$222-2)/(2*$C$222-2))+(POWER(TAN($E$222/2),2*$C$222+2)/(2*$C$222+2))))-$D$219</f>
        <v>-0.24783618673110513</v>
      </c>
      <c r="O226" s="75">
        <f t="shared" ref="O226:O235" si="225">-(-$I$219+0.5*$K$222*((POWER(TAN((A226+$M$9)/2),2*$C$222-2)/(2*$C$222-2))-(POWER(TAN((A226+$M$9)/2),2*$C$222+2)/(2*$C$222+2))-(POWER(TAN($E$222/2),2*$C$222-2)/(2*$C$222-2))+(POWER(TAN($E$222/2),2*$C$222+2)/(2*$C$222+2))))-$D$219</f>
        <v>-0.20626789938378959</v>
      </c>
      <c r="P226" s="75">
        <f t="shared" ref="P226:P235" si="226">A226-N226/(O226-N226)*$M$9</f>
        <v>3.1318256795448626E-2</v>
      </c>
      <c r="AF226" s="176"/>
      <c r="AG226" s="176"/>
      <c r="AH226" s="176"/>
      <c r="AI226" s="176"/>
      <c r="AJ226" s="176"/>
      <c r="AK226" s="176"/>
      <c r="AL226" s="176"/>
      <c r="AM226" s="176"/>
      <c r="AN226" s="176"/>
      <c r="AR226" s="92"/>
      <c r="AS226" s="176"/>
      <c r="AT226" s="178"/>
      <c r="AU226" s="178"/>
      <c r="AV226" s="178"/>
      <c r="AW226" s="178"/>
      <c r="AX226" s="178"/>
      <c r="AY226" s="178"/>
      <c r="AZ226" s="176"/>
    </row>
    <row r="227" spans="1:52" s="165" customFormat="1">
      <c r="A227" s="19">
        <f t="shared" ref="A227:A235" si="227">P226</f>
        <v>3.1318256795448626E-2</v>
      </c>
      <c r="B227" s="26">
        <f t="shared" ref="B227:B235" si="228">COS(A227)</f>
        <v>0.99950962347907757</v>
      </c>
      <c r="C227" s="26">
        <f t="shared" ref="C227:C235" si="229">($C$222+B227)</f>
        <v>1.1737686035336505</v>
      </c>
      <c r="D227" s="26">
        <f t="shared" ref="D227:D235" si="230">POWER(TAN(A227/2),$C$222)</f>
        <v>0.48465001079209252</v>
      </c>
      <c r="E227" s="26">
        <f t="shared" ref="E227:E235" si="231">SIN(A227)</f>
        <v>3.1313137382135647E-2</v>
      </c>
      <c r="F227" s="77">
        <f t="shared" ref="F227:F235" si="232">(C227*$H$222*D227/E227/$I$222/$J$222)</f>
        <v>1.3934501386868641</v>
      </c>
      <c r="G227" s="77">
        <f t="shared" ref="G227:G235" si="233">$D$222*($C$222+$G$222)/9.81/SIN($C$219)/(1-$C$222*$C$219)*(F227-1)</f>
        <v>0.16429561104919754</v>
      </c>
      <c r="H227" s="75">
        <f t="shared" ref="H227:H235" si="234">-(-$H$219+$K$222*((POWER(TAN(A227/2),2*$C$222-1)/(2*$C$222-1))+(POWER(TAN(A227/2),2*$C$222+1)/(2*$C$222+1))-(POWER(TAN($E$222/2),2*$C$222-1)/(2*$C$222-1))-(POWER(TAN($E$222/2),2*$C$222+1)/(2*$C$222+1))))</f>
        <v>4.6977095504112179E-2</v>
      </c>
      <c r="I227" s="75">
        <f t="shared" ref="I227:I235" si="235">-(-$I$219+0.5*$K$222*((POWER(TAN(A227/2),2*$C$222-2)/(2*$C$222-2))-(POWER(TAN(A227/2),2*$C$222+2)/(2*$C$222+2))-(POWER(TAN($E$222/2),2*$C$222-2)/(2*$C$222-2))+(POWER(TAN($E$222/2),2*$C$222+2)/(2*$C$222+2))))</f>
        <v>-0.1398854718058388</v>
      </c>
      <c r="J227" s="77">
        <f t="shared" ref="J227:J235" si="236">-$D$222*SIN(A227)*($C$222+$G$222)/($C$222+B227)*F227</f>
        <v>-5.2984033193663335E-2</v>
      </c>
      <c r="K227" s="77">
        <f t="shared" ref="K227:K235" si="237">-$D$222*COS(A227)*($C$222+$G$222)/($C$222+B227)*F227</f>
        <v>-1.6912406579231603</v>
      </c>
      <c r="L227" s="91">
        <f t="shared" ref="L227:L235" si="238">SQRT(J227*J227+K227*K227)</f>
        <v>1.6920704095237382</v>
      </c>
      <c r="M227" s="93"/>
      <c r="N227" s="75">
        <f t="shared" ref="N227:N235" si="239">-(-$I$219+0.5*$K$222*((POWER(TAN(A227/2),2*$C$222-2)/(2*$C$222-2))-(POWER(TAN(A227/2),2*$C$222+2)/(2*$C$222+2))-(POWER(TAN($E$222/2),2*$C$222-2)/(2*$C$222-2))+(POWER(TAN($E$222/2),2*$C$222+2)/(2*$C$222+2))))-$D$219</f>
        <v>-5.0051777678389656E-2</v>
      </c>
      <c r="O227" s="75">
        <f t="shared" si="225"/>
        <v>-2.6077587725443344E-2</v>
      </c>
      <c r="P227" s="75">
        <f t="shared" si="226"/>
        <v>3.3405992722152528E-2</v>
      </c>
      <c r="AF227" s="176"/>
      <c r="AG227" s="176"/>
      <c r="AH227" s="176"/>
      <c r="AI227" s="176"/>
      <c r="AJ227" s="176"/>
      <c r="AK227" s="176"/>
      <c r="AL227" s="176"/>
      <c r="AM227" s="176"/>
      <c r="AN227" s="176"/>
      <c r="AR227" s="92"/>
      <c r="AS227" s="176"/>
      <c r="AT227" s="178"/>
      <c r="AU227" s="178"/>
      <c r="AV227" s="178"/>
      <c r="AW227" s="178"/>
      <c r="AX227" s="178"/>
      <c r="AY227" s="178"/>
      <c r="AZ227" s="176"/>
    </row>
    <row r="228" spans="1:52" s="165" customFormat="1">
      <c r="A228" s="19">
        <f t="shared" si="227"/>
        <v>3.3405992722152528E-2</v>
      </c>
      <c r="B228" s="26">
        <f t="shared" si="228"/>
        <v>0.99944207171350607</v>
      </c>
      <c r="C228" s="26">
        <f t="shared" si="229"/>
        <v>1.173701051768079</v>
      </c>
      <c r="D228" s="26">
        <f t="shared" si="230"/>
        <v>0.49013193564532387</v>
      </c>
      <c r="E228" s="26">
        <f t="shared" si="231"/>
        <v>3.3399779774945793E-2</v>
      </c>
      <c r="F228" s="77">
        <f t="shared" si="232"/>
        <v>1.3210954369883492</v>
      </c>
      <c r="G228" s="77">
        <f t="shared" si="233"/>
        <v>0.13408197338849034</v>
      </c>
      <c r="H228" s="75">
        <f t="shared" si="234"/>
        <v>4.8526799456316813E-2</v>
      </c>
      <c r="I228" s="75">
        <f t="shared" si="235"/>
        <v>-9.1971766497309149E-2</v>
      </c>
      <c r="J228" s="77">
        <f t="shared" si="236"/>
        <v>-5.3583340904219387E-2</v>
      </c>
      <c r="K228" s="77">
        <f t="shared" si="237"/>
        <v>-1.6034071363193889</v>
      </c>
      <c r="L228" s="91">
        <f t="shared" si="238"/>
        <v>1.6043022219090768</v>
      </c>
      <c r="M228" s="93"/>
      <c r="N228" s="75">
        <f t="shared" si="239"/>
        <v>-2.1380723698600085E-3</v>
      </c>
      <c r="O228" s="75">
        <f t="shared" si="225"/>
        <v>1.8117470304175112E-2</v>
      </c>
      <c r="P228" s="75">
        <f t="shared" si="226"/>
        <v>3.3511547651204156E-2</v>
      </c>
      <c r="AF228" s="176"/>
      <c r="AG228" s="176"/>
      <c r="AH228" s="176"/>
      <c r="AI228" s="176"/>
      <c r="AJ228" s="176"/>
      <c r="AK228" s="176"/>
      <c r="AL228" s="176"/>
      <c r="AM228" s="176"/>
      <c r="AN228" s="176"/>
      <c r="AR228" s="92"/>
      <c r="AS228" s="176"/>
      <c r="AT228" s="178"/>
      <c r="AU228" s="178"/>
      <c r="AV228" s="178"/>
      <c r="AW228" s="178"/>
      <c r="AX228" s="178"/>
      <c r="AY228" s="178"/>
      <c r="AZ228" s="176"/>
    </row>
    <row r="229" spans="1:52" s="165" customFormat="1">
      <c r="A229" s="19">
        <f t="shared" si="227"/>
        <v>3.3511547651204156E-2</v>
      </c>
      <c r="B229" s="26">
        <f t="shared" si="228"/>
        <v>0.99943854063431481</v>
      </c>
      <c r="C229" s="26">
        <f t="shared" si="229"/>
        <v>1.1736975206888878</v>
      </c>
      <c r="D229" s="26">
        <f t="shared" si="230"/>
        <v>0.49040150934031246</v>
      </c>
      <c r="E229" s="26">
        <f t="shared" si="231"/>
        <v>3.3505275625653266E-2</v>
      </c>
      <c r="F229" s="77">
        <f t="shared" si="232"/>
        <v>1.3176561444931609</v>
      </c>
      <c r="G229" s="77">
        <f t="shared" si="233"/>
        <v>0.13264580497345366</v>
      </c>
      <c r="H229" s="75">
        <f t="shared" si="234"/>
        <v>4.8600901848223958E-2</v>
      </c>
      <c r="I229" s="75">
        <f t="shared" si="235"/>
        <v>-8.9757850680968199E-2</v>
      </c>
      <c r="J229" s="77">
        <f t="shared" si="236"/>
        <v>-5.3612811865295137E-2</v>
      </c>
      <c r="K229" s="77">
        <f t="shared" si="237"/>
        <v>-1.5992320447866164</v>
      </c>
      <c r="L229" s="91">
        <f t="shared" si="238"/>
        <v>1.6001304530157801</v>
      </c>
      <c r="M229" s="93"/>
      <c r="N229" s="75">
        <f t="shared" si="239"/>
        <v>7.5843446480941545E-5</v>
      </c>
      <c r="O229" s="75">
        <f t="shared" si="225"/>
        <v>2.0165092983713592E-2</v>
      </c>
      <c r="P229" s="75">
        <f t="shared" si="226"/>
        <v>3.3507772326180671E-2</v>
      </c>
      <c r="AF229" s="176"/>
      <c r="AG229" s="176"/>
      <c r="AH229" s="176"/>
      <c r="AI229" s="176"/>
      <c r="AJ229" s="176"/>
      <c r="AK229" s="176"/>
      <c r="AL229" s="176"/>
      <c r="AM229" s="176"/>
      <c r="AN229" s="176"/>
      <c r="AR229" s="92"/>
      <c r="AS229" s="176"/>
      <c r="AT229" s="178"/>
      <c r="AU229" s="178"/>
      <c r="AV229" s="178"/>
      <c r="AW229" s="178"/>
      <c r="AX229" s="178"/>
      <c r="AY229" s="178"/>
      <c r="AZ229" s="176"/>
    </row>
    <row r="230" spans="1:52" s="165" customFormat="1">
      <c r="A230" s="19">
        <f t="shared" si="227"/>
        <v>3.3507772326180671E-2</v>
      </c>
      <c r="B230" s="26">
        <f t="shared" si="228"/>
        <v>0.99943866712049778</v>
      </c>
      <c r="C230" s="26">
        <f t="shared" si="229"/>
        <v>1.1736976471750709</v>
      </c>
      <c r="D230" s="26">
        <f t="shared" si="230"/>
        <v>0.49039187973895121</v>
      </c>
      <c r="E230" s="26">
        <f t="shared" si="231"/>
        <v>3.3501502420082603E-2</v>
      </c>
      <c r="F230" s="77">
        <f t="shared" si="232"/>
        <v>1.3177788148002458</v>
      </c>
      <c r="G230" s="77">
        <f t="shared" si="233"/>
        <v>0.13269702923563684</v>
      </c>
      <c r="H230" s="75">
        <f t="shared" si="234"/>
        <v>4.8598258114275324E-2</v>
      </c>
      <c r="I230" s="75">
        <f t="shared" si="235"/>
        <v>-8.9836715830169916E-2</v>
      </c>
      <c r="J230" s="77">
        <f t="shared" si="236"/>
        <v>-5.3611759115667977E-2</v>
      </c>
      <c r="K230" s="77">
        <f t="shared" si="237"/>
        <v>-1.5993809591186774</v>
      </c>
      <c r="L230" s="91">
        <f t="shared" si="238"/>
        <v>1.6002792484772328</v>
      </c>
      <c r="M230" s="93"/>
      <c r="N230" s="75">
        <f t="shared" si="239"/>
        <v>-3.021702720776287E-6</v>
      </c>
      <c r="O230" s="75">
        <f t="shared" si="225"/>
        <v>2.009214306550676E-2</v>
      </c>
      <c r="P230" s="75">
        <f t="shared" si="226"/>
        <v>3.3507922695822104E-2</v>
      </c>
      <c r="AF230" s="176"/>
      <c r="AG230" s="176"/>
      <c r="AH230" s="176"/>
      <c r="AI230" s="176"/>
      <c r="AJ230" s="176"/>
      <c r="AK230" s="176"/>
      <c r="AL230" s="176"/>
      <c r="AM230" s="176"/>
      <c r="AN230" s="176"/>
      <c r="AR230" s="92"/>
      <c r="AS230" s="176"/>
      <c r="AT230" s="178"/>
      <c r="AU230" s="178"/>
      <c r="AV230" s="178"/>
      <c r="AW230" s="178"/>
      <c r="AX230" s="178"/>
      <c r="AY230" s="178"/>
      <c r="AZ230" s="176"/>
    </row>
    <row r="231" spans="1:52" s="165" customFormat="1">
      <c r="A231" s="19">
        <f t="shared" si="227"/>
        <v>3.3507922695822104E-2</v>
      </c>
      <c r="B231" s="26">
        <f t="shared" si="228"/>
        <v>0.99943866208287757</v>
      </c>
      <c r="C231" s="26">
        <f t="shared" si="229"/>
        <v>1.1736976421374505</v>
      </c>
      <c r="D231" s="26">
        <f t="shared" si="230"/>
        <v>0.49039226329913127</v>
      </c>
      <c r="E231" s="26">
        <f t="shared" si="231"/>
        <v>3.3501652705316236E-2</v>
      </c>
      <c r="F231" s="77">
        <f t="shared" si="232"/>
        <v>1.3177739284101104</v>
      </c>
      <c r="G231" s="77">
        <f t="shared" si="233"/>
        <v>0.13269498879296271</v>
      </c>
      <c r="H231" s="75">
        <f t="shared" si="234"/>
        <v>4.8598363422511795E-2</v>
      </c>
      <c r="I231" s="75">
        <f t="shared" si="235"/>
        <v>-8.983357421324048E-2</v>
      </c>
      <c r="J231" s="77">
        <f t="shared" si="236"/>
        <v>-5.3611801048124096E-2</v>
      </c>
      <c r="K231" s="77">
        <f t="shared" si="237"/>
        <v>-1.5993750273367231</v>
      </c>
      <c r="L231" s="91">
        <f t="shared" si="238"/>
        <v>1.6002733214298011</v>
      </c>
      <c r="M231" s="93"/>
      <c r="N231" s="75">
        <f t="shared" si="239"/>
        <v>1.1991420865997693E-7</v>
      </c>
      <c r="O231" s="75">
        <f t="shared" si="225"/>
        <v>2.0095049035354764E-2</v>
      </c>
      <c r="P231" s="75">
        <f t="shared" si="226"/>
        <v>3.3507916728435609E-2</v>
      </c>
      <c r="AF231" s="176"/>
      <c r="AG231" s="176"/>
      <c r="AH231" s="176"/>
      <c r="AI231" s="176"/>
      <c r="AJ231" s="176"/>
      <c r="AK231" s="176"/>
      <c r="AL231" s="176"/>
      <c r="AM231" s="176"/>
      <c r="AN231" s="176"/>
      <c r="AR231" s="92"/>
      <c r="AS231" s="176"/>
      <c r="AT231" s="178"/>
      <c r="AU231" s="178"/>
      <c r="AV231" s="178"/>
      <c r="AW231" s="178"/>
      <c r="AX231" s="178"/>
      <c r="AY231" s="178"/>
      <c r="AZ231" s="176"/>
    </row>
    <row r="232" spans="1:52" s="165" customFormat="1">
      <c r="A232" s="19">
        <f t="shared" si="227"/>
        <v>3.3507916728435609E-2</v>
      </c>
      <c r="B232" s="26">
        <f t="shared" si="228"/>
        <v>0.99943866228279488</v>
      </c>
      <c r="C232" s="26">
        <f t="shared" si="229"/>
        <v>1.173697642337368</v>
      </c>
      <c r="D232" s="26">
        <f t="shared" si="230"/>
        <v>0.49039224807765608</v>
      </c>
      <c r="E232" s="26">
        <f t="shared" si="231"/>
        <v>3.3501646741279464E-2</v>
      </c>
      <c r="F232" s="77">
        <f t="shared" si="232"/>
        <v>1.3177741223246773</v>
      </c>
      <c r="G232" s="77">
        <f t="shared" si="233"/>
        <v>0.13269506976716786</v>
      </c>
      <c r="H232" s="75">
        <f t="shared" si="234"/>
        <v>4.8598359243392217E-2</v>
      </c>
      <c r="I232" s="75">
        <f t="shared" si="235"/>
        <v>-8.9833698886912339E-2</v>
      </c>
      <c r="J232" s="77">
        <f t="shared" si="236"/>
        <v>-5.3611799384046671E-2</v>
      </c>
      <c r="K232" s="77">
        <f t="shared" si="237"/>
        <v>-1.5993752627372739</v>
      </c>
      <c r="L232" s="91">
        <f t="shared" si="238"/>
        <v>1.6002735566424635</v>
      </c>
      <c r="M232" s="93"/>
      <c r="N232" s="75">
        <f t="shared" si="239"/>
        <v>-4.7594631985559133E-9</v>
      </c>
      <c r="O232" s="75">
        <f t="shared" si="225"/>
        <v>2.0094933713213595E-2</v>
      </c>
      <c r="P232" s="75">
        <f t="shared" si="226"/>
        <v>3.3507916965284462E-2</v>
      </c>
      <c r="AF232" s="176"/>
      <c r="AG232" s="176"/>
      <c r="AH232" s="176"/>
      <c r="AI232" s="176"/>
      <c r="AJ232" s="176"/>
      <c r="AK232" s="176"/>
      <c r="AL232" s="176"/>
      <c r="AM232" s="176"/>
      <c r="AN232" s="176"/>
      <c r="AR232" s="92"/>
      <c r="AS232" s="176"/>
      <c r="AT232" s="178"/>
      <c r="AU232" s="178"/>
      <c r="AV232" s="178"/>
      <c r="AW232" s="178"/>
      <c r="AX232" s="178"/>
      <c r="AY232" s="178"/>
      <c r="AZ232" s="176"/>
    </row>
    <row r="233" spans="1:52" s="165" customFormat="1">
      <c r="A233" s="19">
        <f t="shared" si="227"/>
        <v>3.3507916965284462E-2</v>
      </c>
      <c r="B233" s="26">
        <f t="shared" si="228"/>
        <v>0.99943866227486</v>
      </c>
      <c r="C233" s="26">
        <f t="shared" si="229"/>
        <v>1.173697642329433</v>
      </c>
      <c r="D233" s="26">
        <f t="shared" si="230"/>
        <v>0.49039224868180487</v>
      </c>
      <c r="E233" s="26">
        <f t="shared" si="231"/>
        <v>3.3501646977995361E-2</v>
      </c>
      <c r="F233" s="77">
        <f t="shared" si="232"/>
        <v>1.3177741146281001</v>
      </c>
      <c r="G233" s="77">
        <f t="shared" si="233"/>
        <v>0.13269506655325658</v>
      </c>
      <c r="H233" s="75">
        <f t="shared" si="234"/>
        <v>4.8598359409263804E-2</v>
      </c>
      <c r="I233" s="75">
        <f t="shared" si="235"/>
        <v>-8.9833693938544706E-2</v>
      </c>
      <c r="J233" s="77">
        <f t="shared" si="236"/>
        <v>-5.3611799450094817E-2</v>
      </c>
      <c r="K233" s="77">
        <f t="shared" si="237"/>
        <v>-1.5993752533940948</v>
      </c>
      <c r="L233" s="91">
        <f t="shared" si="238"/>
        <v>1.6002735473067418</v>
      </c>
      <c r="M233" s="93"/>
      <c r="N233" s="75">
        <f t="shared" si="239"/>
        <v>1.8890443376218258E-10</v>
      </c>
      <c r="O233" s="75">
        <f t="shared" si="225"/>
        <v>2.0094938290413852E-2</v>
      </c>
      <c r="P233" s="75">
        <f t="shared" si="226"/>
        <v>3.3507916955883864E-2</v>
      </c>
      <c r="AF233" s="176"/>
      <c r="AG233" s="176"/>
      <c r="AH233" s="176"/>
      <c r="AI233" s="176"/>
      <c r="AJ233" s="176"/>
      <c r="AK233" s="176"/>
      <c r="AL233" s="176"/>
      <c r="AM233" s="176"/>
      <c r="AN233" s="176"/>
      <c r="AR233" s="92"/>
      <c r="AS233" s="176"/>
      <c r="AT233" s="178"/>
      <c r="AU233" s="178"/>
      <c r="AV233" s="178"/>
      <c r="AW233" s="178"/>
      <c r="AX233" s="178"/>
      <c r="AY233" s="178"/>
      <c r="AZ233" s="176"/>
    </row>
    <row r="234" spans="1:52" s="165" customFormat="1">
      <c r="A234" s="19">
        <f t="shared" si="227"/>
        <v>3.3507916955883864E-2</v>
      </c>
      <c r="B234" s="26">
        <f t="shared" si="228"/>
        <v>0.99943866227517497</v>
      </c>
      <c r="C234" s="26">
        <f t="shared" si="229"/>
        <v>1.173697642329748</v>
      </c>
      <c r="D234" s="26">
        <f t="shared" si="230"/>
        <v>0.49039224865782599</v>
      </c>
      <c r="E234" s="26">
        <f t="shared" si="231"/>
        <v>3.3501646968600043E-2</v>
      </c>
      <c r="F234" s="77">
        <f t="shared" si="232"/>
        <v>1.3177741149335793</v>
      </c>
      <c r="G234" s="77">
        <f t="shared" si="233"/>
        <v>0.13269506668081757</v>
      </c>
      <c r="H234" s="75">
        <f t="shared" si="234"/>
        <v>4.8598359402680306E-2</v>
      </c>
      <c r="I234" s="75">
        <f t="shared" si="235"/>
        <v>-8.9833694134946906E-2</v>
      </c>
      <c r="J234" s="77">
        <f t="shared" si="236"/>
        <v>-5.3611799447473338E-2</v>
      </c>
      <c r="K234" s="77">
        <f t="shared" si="237"/>
        <v>-1.599375253764928</v>
      </c>
      <c r="L234" s="91">
        <f t="shared" si="238"/>
        <v>1.6002735476772789</v>
      </c>
      <c r="M234" s="93"/>
      <c r="N234" s="75">
        <f t="shared" si="239"/>
        <v>-7.4977662967157244E-12</v>
      </c>
      <c r="O234" s="75">
        <f t="shared" si="225"/>
        <v>2.0094938108743646E-2</v>
      </c>
      <c r="P234" s="75">
        <f t="shared" si="226"/>
        <v>3.3507916956256982E-2</v>
      </c>
      <c r="AF234" s="176"/>
      <c r="AG234" s="176"/>
      <c r="AH234" s="176"/>
      <c r="AI234" s="176"/>
      <c r="AJ234" s="176"/>
      <c r="AK234" s="176"/>
      <c r="AL234" s="176"/>
      <c r="AM234" s="176"/>
      <c r="AN234" s="176"/>
      <c r="AR234" s="92"/>
      <c r="AS234" s="176"/>
      <c r="AT234" s="178"/>
      <c r="AU234" s="178"/>
      <c r="AV234" s="178"/>
      <c r="AW234" s="178"/>
      <c r="AX234" s="178"/>
      <c r="AY234" s="178"/>
      <c r="AZ234" s="176"/>
    </row>
    <row r="235" spans="1:52" s="165" customFormat="1">
      <c r="A235" s="19">
        <f t="shared" si="227"/>
        <v>3.3507916956256982E-2</v>
      </c>
      <c r="B235" s="26">
        <f t="shared" si="228"/>
        <v>0.99943866227516254</v>
      </c>
      <c r="C235" s="26">
        <f t="shared" si="229"/>
        <v>1.1736976423297356</v>
      </c>
      <c r="D235" s="26">
        <f t="shared" si="230"/>
        <v>0.49039224865877779</v>
      </c>
      <c r="E235" s="26">
        <f t="shared" si="231"/>
        <v>3.3501646968972947E-2</v>
      </c>
      <c r="F235" s="77">
        <f t="shared" si="232"/>
        <v>1.3177741149214548</v>
      </c>
      <c r="G235" s="77">
        <f t="shared" si="233"/>
        <v>0.13269506667575465</v>
      </c>
      <c r="H235" s="75">
        <f t="shared" si="234"/>
        <v>4.8598359402941632E-2</v>
      </c>
      <c r="I235" s="75">
        <f t="shared" si="235"/>
        <v>-8.9833694127151087E-2</v>
      </c>
      <c r="J235" s="77">
        <f t="shared" si="236"/>
        <v>-5.3611799447577387E-2</v>
      </c>
      <c r="K235" s="77">
        <f t="shared" si="237"/>
        <v>-1.5993752537502097</v>
      </c>
      <c r="L235" s="91">
        <f t="shared" si="238"/>
        <v>1.6002735476625722</v>
      </c>
      <c r="M235" s="93"/>
      <c r="N235" s="75">
        <f t="shared" si="239"/>
        <v>2.9805324874843109E-13</v>
      </c>
      <c r="O235" s="75">
        <f t="shared" si="225"/>
        <v>2.0094938115954072E-2</v>
      </c>
      <c r="P235" s="75">
        <f t="shared" si="226"/>
        <v>3.3507916956242147E-2</v>
      </c>
      <c r="AF235" s="176"/>
      <c r="AG235" s="176"/>
      <c r="AH235" s="176"/>
      <c r="AI235" s="176"/>
      <c r="AJ235" s="176"/>
      <c r="AK235" s="176"/>
      <c r="AL235" s="176"/>
      <c r="AM235" s="176"/>
      <c r="AN235" s="176"/>
      <c r="AR235" s="92"/>
      <c r="AS235" s="176"/>
      <c r="AT235" s="178"/>
      <c r="AU235" s="178"/>
      <c r="AV235" s="178"/>
      <c r="AW235" s="178"/>
      <c r="AX235" s="178"/>
      <c r="AY235" s="178"/>
      <c r="AZ235" s="176"/>
    </row>
    <row r="236" spans="1:52" s="165" customFormat="1">
      <c r="A236" s="88" t="s">
        <v>60</v>
      </c>
      <c r="B236" s="8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AF236" s="176"/>
      <c r="AG236" s="176"/>
      <c r="AH236" s="176"/>
      <c r="AI236" s="176"/>
      <c r="AJ236" s="176"/>
      <c r="AK236" s="176"/>
      <c r="AL236" s="176"/>
      <c r="AM236" s="176"/>
      <c r="AN236" s="176"/>
      <c r="AR236" s="92"/>
      <c r="AS236" s="176"/>
      <c r="AT236" s="178"/>
      <c r="AU236" s="178"/>
      <c r="AV236" s="178"/>
      <c r="AW236" s="178"/>
      <c r="AX236" s="178"/>
      <c r="AY236" s="178"/>
      <c r="AZ236" s="176"/>
    </row>
    <row r="237" spans="1:52" s="165" customFormat="1">
      <c r="A237" s="26" t="s">
        <v>11</v>
      </c>
      <c r="B237" s="26" t="s">
        <v>13</v>
      </c>
      <c r="C237" s="26" t="s">
        <v>22</v>
      </c>
      <c r="D237" s="26" t="s">
        <v>18</v>
      </c>
      <c r="E237" s="26" t="s">
        <v>19</v>
      </c>
      <c r="F237" s="26" t="s">
        <v>20</v>
      </c>
      <c r="G237" s="26" t="s">
        <v>2</v>
      </c>
      <c r="H237" s="26" t="s">
        <v>1</v>
      </c>
      <c r="I237" s="26" t="s">
        <v>0</v>
      </c>
      <c r="J237" s="76" t="s">
        <v>3</v>
      </c>
      <c r="K237" s="76" t="s">
        <v>4</v>
      </c>
      <c r="L237" s="44" t="s">
        <v>7</v>
      </c>
      <c r="M237" s="28"/>
      <c r="N237" s="28"/>
      <c r="O237" s="28"/>
      <c r="P237" s="31"/>
      <c r="AF237" s="176"/>
      <c r="AG237" s="176"/>
      <c r="AH237" s="176"/>
      <c r="AI237" s="176"/>
      <c r="AJ237" s="176"/>
      <c r="AK237" s="176"/>
      <c r="AL237" s="176"/>
      <c r="AM237" s="176"/>
      <c r="AN237" s="176"/>
      <c r="AR237" s="92"/>
      <c r="AS237" s="176"/>
      <c r="AT237" s="178"/>
      <c r="AU237" s="178"/>
      <c r="AV237" s="178"/>
      <c r="AW237" s="178"/>
      <c r="AX237" s="178"/>
      <c r="AY237" s="178"/>
      <c r="AZ237" s="176"/>
    </row>
    <row r="238" spans="1:52" s="165" customFormat="1">
      <c r="A238" s="19">
        <f>$E222</f>
        <v>4.6788763756897347E-2</v>
      </c>
      <c r="B238" s="26">
        <f t="shared" ref="B238:B243" si="240">COS(A238)</f>
        <v>0.9989056054678922</v>
      </c>
      <c r="C238" s="26">
        <f t="shared" ref="C238:C243" si="241">($C$222+B238)</f>
        <v>1.1731645855224653</v>
      </c>
      <c r="D238" s="26">
        <f t="shared" ref="D238:D243" si="242">POWER(TAN(A238/2),$C$222)</f>
        <v>0.51977675641114796</v>
      </c>
      <c r="E238" s="26">
        <f t="shared" ref="E238:E243" si="243">SIN(A238)</f>
        <v>4.677169405552456E-2</v>
      </c>
      <c r="F238" s="77">
        <f t="shared" ref="F238:F243" si="244">(C238*$H$222*D238/E238/$I$222/$J$222)</f>
        <v>1</v>
      </c>
      <c r="G238" s="77">
        <f t="shared" ref="G238:G243" si="245">$D$222*($C$222+$G$222)/9.81/SIN($C$219)/(1-$C$222*$C$219)*(F238-1)</f>
        <v>0</v>
      </c>
      <c r="H238" s="109">
        <f t="shared" ref="H238:H243" si="246">-(-$H$219+$K$222*((POWER(TAN(A238/2),2*$C$222-1)/(2*$C$222-1))+(POWER(TAN(A238/2),2*$C$222+1)/(2*$C$222+1))-(POWER(TAN($E$222/2),2*$C$222-1)/(2*$C$222-1))-(POWER(TAN($E$222/2),2*$C$222+1)/(2*$C$222+1))))</f>
        <v>5.5640603917272442E-2</v>
      </c>
      <c r="I238" s="109">
        <f t="shared" ref="I238:I243" si="247">-(-$I$219+0.5*$K$222*((POWER(TAN(A238/2),2*$C$222-2)/(2*$C$222-2))-(POWER(TAN(A238/2),2*$C$222+2)/(2*$C$222+2))-(POWER(TAN($E$222/2),2*$C$222-2)/(2*$C$222-2))+(POWER(TAN($E$222/2),2*$C$222+2)/(2*$C$222+2))))</f>
        <v>8.9833694127448543E-2</v>
      </c>
      <c r="J238" s="77">
        <f t="shared" ref="J238:J243" si="248">-$D$222*SIN(A238)*($C$222+$G$222)/($C$222+B238)*F238</f>
        <v>-5.6824240795894904E-2</v>
      </c>
      <c r="K238" s="77">
        <f t="shared" ref="K238:K243" si="249">-$D$222*COS(A238)*($C$222+$G$222)/($C$222+B238)*F238</f>
        <v>-1.2135983911570998</v>
      </c>
      <c r="L238" s="91">
        <f t="shared" ref="L238:L243" si="250">SQRT(J238*J238+K238*K238)</f>
        <v>1.2149280017190858</v>
      </c>
      <c r="M238" s="28"/>
      <c r="N238" s="28"/>
      <c r="O238" s="28"/>
      <c r="P238" s="31"/>
      <c r="AF238" s="176"/>
      <c r="AG238" s="176"/>
      <c r="AH238" s="176"/>
      <c r="AI238" s="176"/>
      <c r="AJ238" s="176"/>
      <c r="AK238" s="176"/>
      <c r="AL238" s="176"/>
      <c r="AM238" s="176"/>
      <c r="AN238" s="176"/>
      <c r="AR238" s="92"/>
      <c r="AS238" s="176"/>
      <c r="AT238" s="178"/>
      <c r="AU238" s="178"/>
      <c r="AV238" s="178"/>
      <c r="AW238" s="178"/>
      <c r="AX238" s="178"/>
      <c r="AY238" s="178"/>
      <c r="AZ238" s="176"/>
    </row>
    <row r="239" spans="1:52" s="165" customFormat="1">
      <c r="A239" s="20">
        <f>A238-$F$222</f>
        <v>4.4152594396769274E-2</v>
      </c>
      <c r="B239" s="26">
        <f t="shared" si="240"/>
        <v>0.99902543254212406</v>
      </c>
      <c r="C239" s="26">
        <f t="shared" si="241"/>
        <v>1.173284412596697</v>
      </c>
      <c r="D239" s="26">
        <f t="shared" si="242"/>
        <v>0.51454880058334274</v>
      </c>
      <c r="E239" s="26">
        <f t="shared" si="243"/>
        <v>4.4138250237430177E-2</v>
      </c>
      <c r="F239" s="77">
        <f t="shared" si="244"/>
        <v>1.0491124956627988</v>
      </c>
      <c r="G239" s="77">
        <f t="shared" si="245"/>
        <v>2.0508233932768967E-2</v>
      </c>
      <c r="H239" s="109">
        <f t="shared" si="246"/>
        <v>5.4524437829200766E-2</v>
      </c>
      <c r="I239" s="109">
        <f t="shared" si="247"/>
        <v>6.5285430371854275E-2</v>
      </c>
      <c r="J239" s="77">
        <f t="shared" si="248"/>
        <v>-5.6252698076515346E-2</v>
      </c>
      <c r="K239" s="77">
        <f t="shared" si="249"/>
        <v>-1.2732239208679654</v>
      </c>
      <c r="L239" s="91">
        <f t="shared" si="250"/>
        <v>1.2744659739323301</v>
      </c>
      <c r="M239" s="28"/>
      <c r="N239" s="28"/>
      <c r="O239" s="28"/>
      <c r="P239" s="31"/>
      <c r="AF239" s="176"/>
      <c r="AG239" s="176"/>
      <c r="AH239" s="176"/>
      <c r="AI239" s="176"/>
      <c r="AJ239" s="176"/>
      <c r="AK239" s="176"/>
      <c r="AL239" s="176"/>
      <c r="AM239" s="176"/>
      <c r="AN239" s="176"/>
      <c r="AR239" s="92"/>
      <c r="AS239" s="176"/>
      <c r="AT239" s="178"/>
      <c r="AU239" s="178"/>
      <c r="AV239" s="178"/>
      <c r="AW239" s="178"/>
      <c r="AX239" s="178"/>
      <c r="AY239" s="178"/>
      <c r="AZ239" s="176"/>
    </row>
    <row r="240" spans="1:52" s="165" customFormat="1">
      <c r="A240" s="20">
        <f>A239-$F$222</f>
        <v>4.15164250366412E-2</v>
      </c>
      <c r="B240" s="26">
        <f t="shared" si="240"/>
        <v>0.99913831700412936</v>
      </c>
      <c r="C240" s="26">
        <f t="shared" si="241"/>
        <v>1.1733972970587023</v>
      </c>
      <c r="D240" s="26">
        <f t="shared" si="242"/>
        <v>0.50905664281341401</v>
      </c>
      <c r="E240" s="26">
        <f t="shared" si="243"/>
        <v>4.1504499685647366E-2</v>
      </c>
      <c r="F240" s="77">
        <f t="shared" si="244"/>
        <v>1.1038836747202609</v>
      </c>
      <c r="G240" s="77">
        <f t="shared" si="245"/>
        <v>4.3379402211330763E-2</v>
      </c>
      <c r="H240" s="109">
        <f t="shared" si="246"/>
        <v>5.3292577275529898E-2</v>
      </c>
      <c r="I240" s="109">
        <f t="shared" si="247"/>
        <v>3.6520333849046016E-2</v>
      </c>
      <c r="J240" s="77">
        <f t="shared" si="248"/>
        <v>-5.565227165929286E-2</v>
      </c>
      <c r="K240" s="77">
        <f t="shared" si="249"/>
        <v>-1.3397178008231947</v>
      </c>
      <c r="L240" s="91">
        <f t="shared" si="250"/>
        <v>1.3408732084665489</v>
      </c>
      <c r="M240" s="45"/>
      <c r="N240" s="28"/>
      <c r="O240" s="28"/>
      <c r="P240" s="31"/>
      <c r="AF240" s="176"/>
      <c r="AG240" s="176"/>
      <c r="AH240" s="176"/>
      <c r="AI240" s="176"/>
      <c r="AJ240" s="176"/>
      <c r="AK240" s="176"/>
      <c r="AL240" s="176"/>
      <c r="AM240" s="176"/>
      <c r="AN240" s="176"/>
      <c r="AR240" s="92"/>
      <c r="AS240" s="176"/>
      <c r="AT240" s="178"/>
      <c r="AU240" s="178"/>
      <c r="AV240" s="178"/>
      <c r="AW240" s="178"/>
      <c r="AX240" s="178"/>
      <c r="AY240" s="178"/>
      <c r="AZ240" s="176"/>
    </row>
    <row r="241" spans="1:52" s="165" customFormat="1">
      <c r="A241" s="20">
        <f>A240-$F$222</f>
        <v>3.8880255676513126E-2</v>
      </c>
      <c r="B241" s="26">
        <f t="shared" si="240"/>
        <v>0.99924425806943074</v>
      </c>
      <c r="C241" s="26">
        <f t="shared" si="241"/>
        <v>1.1735032381240038</v>
      </c>
      <c r="D241" s="26">
        <f t="shared" si="242"/>
        <v>0.50326877755903132</v>
      </c>
      <c r="E241" s="26">
        <f t="shared" si="243"/>
        <v>3.8870460703122375E-2</v>
      </c>
      <c r="F241" s="77">
        <f t="shared" si="244"/>
        <v>1.1653916266137592</v>
      </c>
      <c r="G241" s="77">
        <f t="shared" si="245"/>
        <v>6.9063689868348502E-2</v>
      </c>
      <c r="H241" s="109">
        <f t="shared" si="246"/>
        <v>5.1924454601909101E-2</v>
      </c>
      <c r="I241" s="109">
        <f t="shared" si="247"/>
        <v>2.4719891190825433E-3</v>
      </c>
      <c r="J241" s="77">
        <f t="shared" si="248"/>
        <v>-5.5019517222214716E-2</v>
      </c>
      <c r="K241" s="77">
        <f t="shared" si="249"/>
        <v>-1.4143886043942351</v>
      </c>
      <c r="L241" s="91">
        <f t="shared" si="250"/>
        <v>1.4154583256018658</v>
      </c>
      <c r="M241" s="45"/>
      <c r="N241" s="28"/>
      <c r="O241" s="28"/>
      <c r="P241" s="31"/>
      <c r="AF241" s="176"/>
      <c r="AG241" s="176"/>
      <c r="AH241" s="176"/>
      <c r="AI241" s="176"/>
      <c r="AJ241" s="176"/>
      <c r="AK241" s="176"/>
      <c r="AL241" s="176"/>
      <c r="AM241" s="176"/>
      <c r="AN241" s="176"/>
      <c r="AR241" s="92"/>
      <c r="AS241" s="176"/>
      <c r="AT241" s="178"/>
      <c r="AU241" s="178"/>
      <c r="AV241" s="178"/>
      <c r="AW241" s="178"/>
      <c r="AX241" s="178"/>
      <c r="AY241" s="178"/>
      <c r="AZ241" s="176"/>
    </row>
    <row r="242" spans="1:52" s="165" customFormat="1">
      <c r="A242" s="20">
        <f>A241-$F$222</f>
        <v>3.6244086316385052E-2</v>
      </c>
      <c r="B242" s="26">
        <f t="shared" si="240"/>
        <v>0.99934325500180277</v>
      </c>
      <c r="C242" s="26">
        <f t="shared" si="241"/>
        <v>1.1736022350563757</v>
      </c>
      <c r="D242" s="26">
        <f t="shared" si="242"/>
        <v>0.4971474790820794</v>
      </c>
      <c r="E242" s="26">
        <f t="shared" si="243"/>
        <v>3.6236151594805845E-2</v>
      </c>
      <c r="F242" s="77">
        <f t="shared" si="244"/>
        <v>1.2350126407473765</v>
      </c>
      <c r="G242" s="77">
        <f t="shared" si="245"/>
        <v>9.8135803293249335E-2</v>
      </c>
      <c r="H242" s="109">
        <f t="shared" si="246"/>
        <v>5.0394104590824579E-2</v>
      </c>
      <c r="I242" s="109">
        <f t="shared" si="247"/>
        <v>-3.8295024613173217E-2</v>
      </c>
      <c r="J242" s="77">
        <f t="shared" si="248"/>
        <v>-5.4350310424589619E-2</v>
      </c>
      <c r="K242" s="77">
        <f t="shared" si="249"/>
        <v>-1.4989068579195748</v>
      </c>
      <c r="L242" s="91">
        <f t="shared" si="250"/>
        <v>1.4998919044256429</v>
      </c>
      <c r="M242" s="45"/>
      <c r="N242" s="28"/>
      <c r="O242" s="28"/>
      <c r="P242" s="89"/>
      <c r="AF242" s="176"/>
      <c r="AG242" s="176"/>
      <c r="AH242" s="176"/>
      <c r="AI242" s="176"/>
      <c r="AJ242" s="176"/>
      <c r="AK242" s="176"/>
      <c r="AL242" s="176"/>
      <c r="AM242" s="176"/>
      <c r="AN242" s="176"/>
      <c r="AR242" s="92"/>
      <c r="AS242" s="176"/>
      <c r="AT242" s="178"/>
      <c r="AU242" s="178"/>
      <c r="AV242" s="178"/>
      <c r="AW242" s="178"/>
      <c r="AX242" s="178"/>
      <c r="AY242" s="178"/>
      <c r="AZ242" s="176"/>
    </row>
    <row r="243" spans="1:52" s="165" customFormat="1">
      <c r="A243" s="20">
        <f>A242-$F$222</f>
        <v>3.3607916956256978E-2</v>
      </c>
      <c r="B243" s="26">
        <f t="shared" si="240"/>
        <v>0.99943530711327788</v>
      </c>
      <c r="C243" s="26">
        <f t="shared" si="241"/>
        <v>1.1736942871678508</v>
      </c>
      <c r="D243" s="26">
        <f t="shared" si="242"/>
        <v>0.49064701285429452</v>
      </c>
      <c r="E243" s="26">
        <f t="shared" si="243"/>
        <v>3.3601590667525653E-2</v>
      </c>
      <c r="F243" s="77">
        <f t="shared" si="244"/>
        <v>1.3145333660235146</v>
      </c>
      <c r="G243" s="77">
        <f t="shared" si="245"/>
        <v>0.13134180544112622</v>
      </c>
      <c r="H243" s="109">
        <f t="shared" si="246"/>
        <v>4.8668220030087236E-2</v>
      </c>
      <c r="I243" s="109">
        <f t="shared" si="247"/>
        <v>-8.7752678842664245E-2</v>
      </c>
      <c r="J243" s="77">
        <f t="shared" si="248"/>
        <v>-5.3639651370183887E-2</v>
      </c>
      <c r="K243" s="77">
        <f t="shared" si="249"/>
        <v>-1.5954411792897589</v>
      </c>
      <c r="L243" s="91">
        <f t="shared" si="250"/>
        <v>1.5963426226135202</v>
      </c>
      <c r="M243" s="45"/>
      <c r="N243" s="28"/>
      <c r="O243" s="28"/>
      <c r="P243" s="28"/>
      <c r="AF243" s="176"/>
      <c r="AG243" s="176"/>
      <c r="AH243" s="176"/>
      <c r="AI243" s="176"/>
      <c r="AJ243" s="176"/>
      <c r="AK243" s="176"/>
      <c r="AL243" s="176"/>
      <c r="AM243" s="176"/>
      <c r="AN243" s="176"/>
      <c r="AR243" s="92"/>
      <c r="AS243" s="176"/>
      <c r="AT243" s="178"/>
      <c r="AU243" s="178"/>
      <c r="AV243" s="178"/>
      <c r="AW243" s="178"/>
      <c r="AX243" s="178"/>
      <c r="AY243" s="178"/>
      <c r="AZ243" s="176"/>
    </row>
    <row r="244" spans="1:52" s="165" customFormat="1">
      <c r="A244" s="142"/>
      <c r="B244" s="142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AF244" s="176"/>
      <c r="AG244" s="176"/>
      <c r="AH244" s="176"/>
      <c r="AI244" s="176"/>
      <c r="AJ244" s="176"/>
      <c r="AK244" s="176"/>
      <c r="AL244" s="176"/>
      <c r="AM244" s="176"/>
      <c r="AN244" s="176"/>
      <c r="AR244" s="92"/>
      <c r="AS244" s="176"/>
      <c r="AT244" s="178"/>
      <c r="AU244" s="178"/>
      <c r="AV244" s="178"/>
      <c r="AW244" s="178"/>
      <c r="AX244" s="178"/>
      <c r="AY244" s="178"/>
      <c r="AZ244" s="176"/>
    </row>
    <row r="245" spans="1:52" s="165" customFormat="1">
      <c r="A245" s="88" t="s">
        <v>73</v>
      </c>
      <c r="B245" s="88"/>
      <c r="C245" s="23" t="str">
        <f>CONCATENATE("m",Stufengrün!AH47)</f>
        <v>m-1</v>
      </c>
      <c r="D245" s="23" t="s">
        <v>30</v>
      </c>
      <c r="E245" s="28"/>
      <c r="F245" s="28"/>
      <c r="G245" s="28"/>
      <c r="H245" s="36" t="s">
        <v>57</v>
      </c>
      <c r="I245" s="36" t="s">
        <v>51</v>
      </c>
      <c r="J245" s="36" t="s">
        <v>58</v>
      </c>
      <c r="K245" s="36" t="s">
        <v>59</v>
      </c>
      <c r="L245" s="28"/>
      <c r="M245" s="28"/>
      <c r="N245" s="28"/>
      <c r="O245" s="28"/>
      <c r="P245" s="28"/>
      <c r="AF245" s="176"/>
      <c r="AG245" s="176"/>
      <c r="AH245" s="176"/>
      <c r="AI245" s="176"/>
      <c r="AJ245" s="176"/>
      <c r="AK245" s="176"/>
      <c r="AL245" s="176"/>
      <c r="AM245" s="176"/>
      <c r="AN245" s="176"/>
      <c r="AR245" s="92"/>
      <c r="AS245" s="176"/>
      <c r="AT245" s="178"/>
      <c r="AU245" s="178"/>
      <c r="AV245" s="178"/>
      <c r="AW245" s="178"/>
      <c r="AX245" s="178"/>
      <c r="AY245" s="178"/>
      <c r="AZ245" s="176"/>
    </row>
    <row r="246" spans="1:52" s="165" customFormat="1">
      <c r="A246" s="88" t="s">
        <v>69</v>
      </c>
      <c r="B246" s="88"/>
      <c r="C246" s="36">
        <f>Stufengrün!AI47</f>
        <v>0.3251944406533937</v>
      </c>
      <c r="D246" s="26">
        <f>Stufengrün!AK46</f>
        <v>-0.18321833372345622</v>
      </c>
      <c r="E246" s="28"/>
      <c r="F246" s="28"/>
      <c r="G246" s="28"/>
      <c r="H246" s="78">
        <f>H235</f>
        <v>4.8598359402941632E-2</v>
      </c>
      <c r="I246" s="78">
        <f>I235</f>
        <v>-8.9833694127151087E-2</v>
      </c>
      <c r="J246" s="78">
        <f>J235</f>
        <v>-5.3611799447577387E-2</v>
      </c>
      <c r="K246" s="78">
        <f>K235</f>
        <v>-1.5993752537502097</v>
      </c>
      <c r="L246" s="28"/>
      <c r="M246" s="28"/>
      <c r="N246" s="28"/>
      <c r="O246" s="28"/>
      <c r="P246" s="28"/>
      <c r="AF246" s="176"/>
      <c r="AG246" s="176"/>
      <c r="AH246" s="176"/>
      <c r="AI246" s="176"/>
      <c r="AJ246" s="176"/>
      <c r="AK246" s="176"/>
      <c r="AL246" s="176"/>
      <c r="AM246" s="176"/>
      <c r="AN246" s="176"/>
      <c r="AR246" s="92"/>
      <c r="AS246" s="176"/>
      <c r="AT246" s="178"/>
      <c r="AU246" s="178"/>
      <c r="AV246" s="178"/>
      <c r="AW246" s="178"/>
      <c r="AX246" s="178"/>
      <c r="AY246" s="178"/>
      <c r="AZ246" s="176"/>
    </row>
    <row r="247" spans="1:52" s="165" customFormat="1">
      <c r="A247" s="95"/>
      <c r="B247" s="95"/>
      <c r="C247" s="28"/>
      <c r="D247" s="28"/>
      <c r="E247" s="28"/>
      <c r="F247" s="28"/>
      <c r="G247" s="28"/>
      <c r="H247" s="37" t="s">
        <v>8</v>
      </c>
      <c r="I247" s="37" t="s">
        <v>8</v>
      </c>
      <c r="J247" s="37" t="s">
        <v>9</v>
      </c>
      <c r="K247" s="37" t="s">
        <v>9</v>
      </c>
      <c r="L247" s="28"/>
      <c r="M247" s="28"/>
      <c r="N247" s="28"/>
      <c r="O247" s="28"/>
      <c r="P247" s="28"/>
      <c r="AF247" s="176"/>
      <c r="AG247" s="176"/>
      <c r="AH247" s="176"/>
      <c r="AI247" s="176"/>
      <c r="AJ247" s="176"/>
      <c r="AK247" s="176"/>
      <c r="AL247" s="176"/>
      <c r="AM247" s="176"/>
      <c r="AN247" s="176"/>
      <c r="AR247" s="92"/>
      <c r="AS247" s="176"/>
      <c r="AT247" s="178"/>
      <c r="AU247" s="178"/>
      <c r="AV247" s="178"/>
      <c r="AW247" s="178"/>
      <c r="AX247" s="178"/>
      <c r="AY247" s="178"/>
      <c r="AZ247" s="176"/>
    </row>
    <row r="248" spans="1:52" s="165" customFormat="1">
      <c r="A248" s="88" t="s">
        <v>68</v>
      </c>
      <c r="B248" s="88"/>
      <c r="C248" s="115" t="s">
        <v>15</v>
      </c>
      <c r="D248" s="115" t="s">
        <v>55</v>
      </c>
      <c r="E248" s="115" t="s">
        <v>12</v>
      </c>
      <c r="F248" s="115" t="s">
        <v>10</v>
      </c>
      <c r="G248" s="115" t="s">
        <v>14</v>
      </c>
      <c r="H248" s="115" t="s">
        <v>21</v>
      </c>
      <c r="I248" s="115" t="s">
        <v>16</v>
      </c>
      <c r="J248" s="115" t="s">
        <v>17</v>
      </c>
      <c r="K248" s="115" t="s">
        <v>23</v>
      </c>
      <c r="L248" s="28"/>
      <c r="M248" s="28"/>
      <c r="N248" s="28"/>
      <c r="O248" s="28"/>
      <c r="P248" s="28"/>
      <c r="AF248" s="176"/>
      <c r="AG248" s="176"/>
      <c r="AH248" s="176"/>
      <c r="AI248" s="176"/>
      <c r="AJ248" s="176"/>
      <c r="AK248" s="176"/>
      <c r="AL248" s="176"/>
      <c r="AM248" s="176"/>
      <c r="AN248" s="176"/>
      <c r="AR248" s="92"/>
      <c r="AS248" s="176"/>
      <c r="AT248" s="178"/>
      <c r="AU248" s="178"/>
      <c r="AV248" s="178"/>
      <c r="AW248" s="178"/>
      <c r="AX248" s="178"/>
      <c r="AY248" s="178"/>
      <c r="AZ248" s="176"/>
    </row>
    <row r="249" spans="1:52" s="165" customFormat="1">
      <c r="A249" s="28"/>
      <c r="B249" s="28"/>
      <c r="C249" s="23">
        <f>Mü/TAN($C246)</f>
        <v>0.20761392232733894</v>
      </c>
      <c r="D249" s="42">
        <f>SQRT($J246*$J246+$K246*$K246)</f>
        <v>1.6002735476625722</v>
      </c>
      <c r="E249" s="20">
        <f>ATAN($J246/$K246)</f>
        <v>3.3507916956256968E-2</v>
      </c>
      <c r="F249" s="23">
        <f>($E249-A262-0.0001)/5</f>
        <v>6.4846464353732615E-4</v>
      </c>
      <c r="G249" s="23">
        <f>COS($E249)</f>
        <v>0.99943866227516254</v>
      </c>
      <c r="H249" s="23">
        <f>SIN($E249)</f>
        <v>3.3501646968972933E-2</v>
      </c>
      <c r="I249" s="23">
        <f>$C249+$G249</f>
        <v>1.2070525846025015</v>
      </c>
      <c r="J249" s="23">
        <f>POWER(TAN($E249/2),$C249)</f>
        <v>0.42786867474167328</v>
      </c>
      <c r="K249" s="23">
        <f>-$D249*$D249*SIN($E249)*SIN($E249)/(2*9.81*SIN($C246)*POWER(TAN($E249/2),2*$C249))</f>
        <v>-2.5046057756462755E-3</v>
      </c>
      <c r="L249" s="28"/>
      <c r="M249" s="28"/>
      <c r="N249" s="28"/>
      <c r="O249" s="28"/>
      <c r="P249" s="28"/>
      <c r="AF249" s="176"/>
      <c r="AG249" s="176"/>
      <c r="AH249" s="176"/>
      <c r="AI249" s="176"/>
      <c r="AJ249" s="176"/>
      <c r="AK249" s="176"/>
      <c r="AL249" s="176"/>
      <c r="AM249" s="176"/>
      <c r="AN249" s="176"/>
      <c r="AR249" s="92"/>
      <c r="AS249" s="176"/>
      <c r="AT249" s="178"/>
      <c r="AU249" s="178"/>
      <c r="AV249" s="178"/>
      <c r="AW249" s="178"/>
      <c r="AX249" s="178"/>
      <c r="AY249" s="178"/>
      <c r="AZ249" s="176"/>
    </row>
    <row r="250" spans="1:52" s="165" customFormat="1">
      <c r="A250" s="88" t="s">
        <v>70</v>
      </c>
      <c r="B250" s="8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45"/>
      <c r="N250" s="28"/>
      <c r="O250" s="28"/>
      <c r="P250" s="28"/>
      <c r="AF250" s="176"/>
      <c r="AG250" s="176"/>
      <c r="AH250" s="176"/>
      <c r="AI250" s="176"/>
      <c r="AJ250" s="176"/>
      <c r="AK250" s="176"/>
      <c r="AL250" s="176"/>
      <c r="AM250" s="176"/>
      <c r="AN250" s="176"/>
      <c r="AR250" s="92"/>
      <c r="AS250" s="176"/>
      <c r="AT250" s="178"/>
      <c r="AU250" s="178"/>
      <c r="AV250" s="178"/>
      <c r="AW250" s="178"/>
      <c r="AX250" s="178"/>
      <c r="AY250" s="178"/>
      <c r="AZ250" s="176"/>
    </row>
    <row r="251" spans="1:52" s="165" customFormat="1">
      <c r="A251" s="115" t="s">
        <v>11</v>
      </c>
      <c r="B251" s="115" t="s">
        <v>13</v>
      </c>
      <c r="C251" s="117" t="s">
        <v>22</v>
      </c>
      <c r="D251" s="117" t="s">
        <v>18</v>
      </c>
      <c r="E251" s="115" t="s">
        <v>19</v>
      </c>
      <c r="F251" s="117" t="s">
        <v>20</v>
      </c>
      <c r="G251" s="117" t="s">
        <v>2</v>
      </c>
      <c r="H251" s="117" t="s">
        <v>65</v>
      </c>
      <c r="I251" s="117" t="s">
        <v>66</v>
      </c>
      <c r="J251" s="118" t="s">
        <v>3</v>
      </c>
      <c r="K251" s="118" t="s">
        <v>4</v>
      </c>
      <c r="L251" s="116" t="s">
        <v>7</v>
      </c>
      <c r="M251" s="93"/>
      <c r="N251" s="117" t="s">
        <v>61</v>
      </c>
      <c r="O251" s="117" t="s">
        <v>62</v>
      </c>
      <c r="P251" s="115" t="s">
        <v>63</v>
      </c>
      <c r="AF251" s="176"/>
      <c r="AG251" s="176"/>
      <c r="AH251" s="176"/>
      <c r="AI251" s="176"/>
      <c r="AJ251" s="176"/>
      <c r="AK251" s="176"/>
      <c r="AL251" s="176"/>
      <c r="AM251" s="176"/>
      <c r="AN251" s="176"/>
      <c r="AR251" s="92"/>
      <c r="AS251" s="176"/>
      <c r="AT251" s="178"/>
      <c r="AU251" s="178"/>
      <c r="AV251" s="178"/>
      <c r="AW251" s="178"/>
      <c r="AX251" s="178"/>
      <c r="AY251" s="178"/>
      <c r="AZ251" s="176"/>
    </row>
    <row r="252" spans="1:52" s="165" customFormat="1">
      <c r="A252" s="19">
        <f>$E249</f>
        <v>3.3507916956256968E-2</v>
      </c>
      <c r="B252" s="26">
        <f>COS(A252)</f>
        <v>0.99943866227516254</v>
      </c>
      <c r="C252" s="26">
        <f>($C$249+B252)</f>
        <v>1.2070525846025015</v>
      </c>
      <c r="D252" s="26">
        <f>POWER(TAN(A252/2),$C$249)</f>
        <v>0.42786867474167328</v>
      </c>
      <c r="E252" s="26">
        <f>SIN(A252)</f>
        <v>3.3501646968972933E-2</v>
      </c>
      <c r="F252" s="77">
        <f>(C252*$H$249*D252/E252/$I$249/$J$249)</f>
        <v>1</v>
      </c>
      <c r="G252" s="77">
        <f>$D$249*($C$249+$G$249)/9.81/SIN($C$246)/(1-$C$249*$C$246)*(F252-1)</f>
        <v>0</v>
      </c>
      <c r="H252" s="75">
        <f>-(-$H$246+$K$249*((POWER(TAN(A252/2),2*$C$249-1)/(2*$C$249-1))+(POWER(TAN(A252/2),2*$C$249+1)/(2*$C$249+1))-(POWER(TAN($E$249/2),2*$C$249-1)/(2*$C$249-1))-(POWER(TAN($E$249/2),2*$C$249+1)/(2*$C$249+1))))</f>
        <v>4.8598359402941632E-2</v>
      </c>
      <c r="I252" s="75">
        <f>-(-$I$246+0.5*$K$249*((POWER(TAN(A252/2),2*$C$249-2)/(2*$C$249-2))-(POWER(TAN(A252/2),2*$C$249+2)/(2*$C$249+2))-(POWER(TAN($E$249/2),2*$C$249-2)/(2*$C$249-2))+(POWER(TAN($E$249/2),2*$C$249+2)/(2*$C$249+2))))</f>
        <v>-8.9833694127151087E-2</v>
      </c>
      <c r="J252" s="77">
        <f>-$D$249*SIN(A252)*($C$249+$G$249)/($C$249+B252)*F252</f>
        <v>-5.3611799447577373E-2</v>
      </c>
      <c r="K252" s="77">
        <f>-$D$249*COS(A252)*($C$249+$G$249)/($C$249+B252)*F252</f>
        <v>-1.5993752537502097</v>
      </c>
      <c r="L252" s="91">
        <f>SQRT(J252*J252+K252*K252)</f>
        <v>1.6002735476625722</v>
      </c>
      <c r="M252" s="93"/>
      <c r="N252" s="75">
        <f>-(-$I$246+0.5*$K$249*((POWER(TAN(A252/2),2*$C$249-2)/(2*$C$249-2))-(POWER(TAN(A252/2),2*$C$249+2)/(2*$C$249+2))-(POWER(TAN($E$249/2),2*$C$249-2)/(2*$C$249-2))+(POWER(TAN($E$249/2),2*$C$249+2)/(2*$C$249+2))))-$D$246</f>
        <v>9.3384639596305136E-2</v>
      </c>
      <c r="O252" s="75">
        <f>-(-$I$246+0.5*$K$249*((POWER(TAN((A252+$M$9)/2),2*$C$249-2)/(2*$C$249-2))-(POWER(TAN((A252+$M$9)/2),2*$C$249+2)/(2*$C$249+2))-(POWER(TAN($E$249/2),2*$C$249-2)/(2*$C$249-2))+(POWER(TAN($E$249/2),2*$C$249+2)/(2*$C$249+2))))-$D$246</f>
        <v>0.11685213349034014</v>
      </c>
      <c r="P252" s="75">
        <f>A252-N252/(O252-N252)*$M$9</f>
        <v>2.9528598158179355E-2</v>
      </c>
      <c r="AF252" s="176"/>
      <c r="AG252" s="176"/>
      <c r="AH252" s="176"/>
      <c r="AI252" s="176"/>
      <c r="AJ252" s="176"/>
      <c r="AK252" s="176"/>
      <c r="AL252" s="176"/>
      <c r="AM252" s="176"/>
      <c r="AN252" s="176"/>
      <c r="AR252" s="92"/>
      <c r="AS252" s="176"/>
      <c r="AT252" s="178"/>
      <c r="AU252" s="178"/>
      <c r="AV252" s="178"/>
      <c r="AW252" s="178"/>
      <c r="AX252" s="178"/>
      <c r="AY252" s="178"/>
      <c r="AZ252" s="176"/>
    </row>
    <row r="253" spans="1:52" s="165" customFormat="1">
      <c r="A253" s="19">
        <f>$P252</f>
        <v>2.9528598158179355E-2</v>
      </c>
      <c r="B253" s="26">
        <f t="shared" ref="B253:B262" si="251">COS(A253)</f>
        <v>0.99956406262265507</v>
      </c>
      <c r="C253" s="26">
        <f t="shared" ref="C253:C262" si="252">($C$249+B253)</f>
        <v>1.207177984949994</v>
      </c>
      <c r="D253" s="26">
        <f t="shared" ref="D253:D262" si="253">POWER(TAN(A253/2),$C$249)</f>
        <v>0.4167826651232367</v>
      </c>
      <c r="E253" s="26">
        <f t="shared" ref="E253:E262" si="254">SIN(A253)</f>
        <v>2.9524307160250358E-2</v>
      </c>
      <c r="F253" s="77">
        <f t="shared" ref="F253:F262" si="255">(C253*$H$249*D253/E253/$I$249/$J$249)</f>
        <v>1.1054286463377421</v>
      </c>
      <c r="G253" s="77">
        <f t="shared" ref="G253:G262" si="256">$D$249*($C$249+$G$249)/9.81/SIN($C$246)/(1-$C$249*$C$246)*(F253-1)</f>
        <v>6.9679773727738842E-2</v>
      </c>
      <c r="H253" s="75">
        <f t="shared" ref="H253:H262" si="257">-(-$H$246+$K$249*((POWER(TAN(A253/2),2*$C$249-1)/(2*$C$249-1))+(POWER(TAN(A253/2),2*$C$249+1)/(2*$C$249+1))-(POWER(TAN($E$249/2),2*$C$249-1)/(2*$C$249-1))-(POWER(TAN($E$249/2),2*$C$249+1)/(2*$C$249+1))))</f>
        <v>4.5006155326854355E-2</v>
      </c>
      <c r="I253" s="75">
        <f t="shared" ref="I253:I262" si="258">-(-$I$246+0.5*$K$249*((POWER(TAN(A253/2),2*$C$249-2)/(2*$C$249-2))-(POWER(TAN(A253/2),2*$C$249+2)/(2*$C$249+2))-(POWER(TAN($E$249/2),2*$C$249-2)/(2*$C$249-2))+(POWER(TAN($E$249/2),2*$C$249+2)/(2*$C$249+2))))</f>
        <v>-0.20416091104039205</v>
      </c>
      <c r="J253" s="77">
        <f t="shared" ref="J253:J262" si="259">-$D$249*SIN(A253)*($C$249+$G$249)/($C$249+B253)*F253</f>
        <v>-5.2222726212205861E-2</v>
      </c>
      <c r="K253" s="77">
        <f t="shared" ref="K253:K262" si="260">-$D$249*COS(A253)*($C$249+$G$249)/($C$249+B253)*F253</f>
        <v>-1.7680333729958548</v>
      </c>
      <c r="L253" s="91">
        <f t="shared" ref="L253:L262" si="261">SQRT(J253*J253+K253*K253)</f>
        <v>1.7688044609736076</v>
      </c>
      <c r="M253" s="93"/>
      <c r="N253" s="75">
        <f t="shared" ref="N253:N262" si="262">-(-$I$246+0.5*$K$249*((POWER(TAN(A253/2),2*$C$249-2)/(2*$C$249-2))-(POWER(TAN(A253/2),2*$C$249+2)/(2*$C$249+2))-(POWER(TAN($E$249/2),2*$C$249-2)/(2*$C$249-2))+(POWER(TAN($E$249/2),2*$C$249+2)/(2*$C$249+2))))-$D$246</f>
        <v>-2.0942577316935829E-2</v>
      </c>
      <c r="O253" s="75">
        <f t="shared" ref="O253:O262" si="263">-(-$I$246+0.5*$K$249*((POWER(TAN((A253+$M$9)/2),2*$C$249-2)/(2*$C$249-2))-(POWER(TAN((A253+$M$9)/2),2*$C$249+2)/(2*$C$249+2))-(POWER(TAN($E$249/2),2*$C$249-2)/(2*$C$249-2))+(POWER(TAN($E$249/2),2*$C$249+2)/(2*$C$249+2))))-$D$246</f>
        <v>1.1431531397983891E-2</v>
      </c>
      <c r="P253" s="75">
        <f t="shared" ref="P253:P262" si="264">A253-N253/(O253-N253)*$M$9</f>
        <v>3.0175490942204768E-2</v>
      </c>
      <c r="AF253" s="176"/>
      <c r="AG253" s="176"/>
      <c r="AH253" s="176"/>
      <c r="AI253" s="176"/>
      <c r="AJ253" s="176"/>
      <c r="AK253" s="176"/>
      <c r="AL253" s="176"/>
      <c r="AM253" s="176"/>
      <c r="AN253" s="176"/>
      <c r="AR253" s="92"/>
      <c r="AS253" s="176"/>
      <c r="AT253" s="178"/>
      <c r="AU253" s="178"/>
      <c r="AV253" s="178"/>
      <c r="AW253" s="178"/>
      <c r="AX253" s="178"/>
      <c r="AY253" s="178"/>
      <c r="AZ253" s="176"/>
    </row>
    <row r="254" spans="1:52" s="165" customFormat="1">
      <c r="A254" s="19">
        <f t="shared" ref="A254:A262" si="265">$P253</f>
        <v>3.0175490942204768E-2</v>
      </c>
      <c r="B254" s="26">
        <f t="shared" si="251"/>
        <v>0.99954475441881552</v>
      </c>
      <c r="C254" s="26">
        <f t="shared" si="252"/>
        <v>1.2071586767461544</v>
      </c>
      <c r="D254" s="26">
        <f t="shared" si="253"/>
        <v>0.4186623425982326</v>
      </c>
      <c r="E254" s="26">
        <f t="shared" si="254"/>
        <v>3.0170911716911945E-2</v>
      </c>
      <c r="F254" s="77">
        <f t="shared" si="255"/>
        <v>1.0865990000387</v>
      </c>
      <c r="G254" s="77">
        <f t="shared" si="256"/>
        <v>5.723490661555522E-2</v>
      </c>
      <c r="H254" s="75">
        <f t="shared" si="257"/>
        <v>4.5640903495920093E-2</v>
      </c>
      <c r="I254" s="75">
        <f t="shared" si="258"/>
        <v>-0.18290193790112985</v>
      </c>
      <c r="J254" s="77">
        <f t="shared" si="259"/>
        <v>-5.2458249160634962E-2</v>
      </c>
      <c r="K254" s="77">
        <f t="shared" si="260"/>
        <v>-1.737911279131696</v>
      </c>
      <c r="L254" s="91">
        <f t="shared" si="261"/>
        <v>1.7387028159056299</v>
      </c>
      <c r="M254" s="93"/>
      <c r="N254" s="75">
        <f t="shared" si="262"/>
        <v>3.1639582232637076E-4</v>
      </c>
      <c r="O254" s="75">
        <f t="shared" si="263"/>
        <v>3.0954705179495584E-2</v>
      </c>
      <c r="P254" s="75">
        <f t="shared" si="264"/>
        <v>3.0165164137985975E-2</v>
      </c>
      <c r="AF254" s="176"/>
      <c r="AG254" s="176"/>
      <c r="AH254" s="176"/>
      <c r="AI254" s="176"/>
      <c r="AJ254" s="176"/>
      <c r="AK254" s="176"/>
      <c r="AL254" s="176"/>
      <c r="AM254" s="176"/>
      <c r="AN254" s="176"/>
      <c r="AR254" s="92"/>
      <c r="AS254" s="176"/>
      <c r="AT254" s="178"/>
      <c r="AU254" s="178"/>
      <c r="AV254" s="178"/>
      <c r="AW254" s="178"/>
      <c r="AX254" s="178"/>
      <c r="AY254" s="178"/>
      <c r="AZ254" s="176"/>
    </row>
    <row r="255" spans="1:52" s="165" customFormat="1">
      <c r="A255" s="19">
        <f t="shared" si="265"/>
        <v>3.0165164137985975E-2</v>
      </c>
      <c r="B255" s="26">
        <f t="shared" si="251"/>
        <v>0.99954506593461678</v>
      </c>
      <c r="C255" s="26">
        <f t="shared" si="252"/>
        <v>1.2071589882619558</v>
      </c>
      <c r="D255" s="26">
        <f t="shared" si="253"/>
        <v>0.41863258781779594</v>
      </c>
      <c r="E255" s="26">
        <f t="shared" si="254"/>
        <v>3.0160589612316567E-2</v>
      </c>
      <c r="F255" s="77">
        <f t="shared" si="255"/>
        <v>1.0868939039755348</v>
      </c>
      <c r="G255" s="77">
        <f t="shared" si="256"/>
        <v>5.7429814169658068E-2</v>
      </c>
      <c r="H255" s="75">
        <f t="shared" si="257"/>
        <v>4.5630940178065967E-2</v>
      </c>
      <c r="I255" s="75">
        <f t="shared" si="258"/>
        <v>-0.18323207335877756</v>
      </c>
      <c r="J255" s="77">
        <f t="shared" si="259"/>
        <v>-5.2454520896764417E-2</v>
      </c>
      <c r="K255" s="77">
        <f t="shared" si="260"/>
        <v>-1.7383830429798433</v>
      </c>
      <c r="L255" s="91">
        <f t="shared" si="261"/>
        <v>1.7391742525929852</v>
      </c>
      <c r="M255" s="93"/>
      <c r="N255" s="75">
        <f t="shared" si="262"/>
        <v>-1.373963532133593E-5</v>
      </c>
      <c r="O255" s="75">
        <f t="shared" si="263"/>
        <v>3.0651253706927645E-2</v>
      </c>
      <c r="P255" s="75">
        <f t="shared" si="264"/>
        <v>3.0165612194020686E-2</v>
      </c>
      <c r="AF255" s="176"/>
      <c r="AG255" s="176"/>
      <c r="AH255" s="176"/>
      <c r="AI255" s="176"/>
      <c r="AJ255" s="176"/>
      <c r="AK255" s="176"/>
      <c r="AL255" s="176"/>
      <c r="AM255" s="176"/>
      <c r="AN255" s="176"/>
      <c r="AR255" s="92"/>
      <c r="AS255" s="176"/>
      <c r="AT255" s="178"/>
      <c r="AU255" s="178"/>
      <c r="AV255" s="178"/>
      <c r="AW255" s="178"/>
      <c r="AX255" s="178"/>
      <c r="AY255" s="178"/>
      <c r="AZ255" s="176"/>
    </row>
    <row r="256" spans="1:52" s="165" customFormat="1">
      <c r="A256" s="19">
        <f t="shared" si="265"/>
        <v>3.0165612194020686E-2</v>
      </c>
      <c r="B256" s="26">
        <f t="shared" si="251"/>
        <v>0.99954505242088232</v>
      </c>
      <c r="C256" s="26">
        <f t="shared" si="252"/>
        <v>1.2071589747482212</v>
      </c>
      <c r="D256" s="26">
        <f t="shared" si="253"/>
        <v>0.41863387897598708</v>
      </c>
      <c r="E256" s="26">
        <f t="shared" si="254"/>
        <v>3.0161037464512298E-2</v>
      </c>
      <c r="F256" s="77">
        <f t="shared" si="255"/>
        <v>1.0868811050252292</v>
      </c>
      <c r="G256" s="77">
        <f t="shared" si="256"/>
        <v>5.7421355102865265E-2</v>
      </c>
      <c r="H256" s="75">
        <f t="shared" si="257"/>
        <v>4.5631372575397469E-2</v>
      </c>
      <c r="I256" s="75">
        <f t="shared" si="258"/>
        <v>-0.18321774348615028</v>
      </c>
      <c r="J256" s="77">
        <f t="shared" si="259"/>
        <v>-5.2454682678446711E-2</v>
      </c>
      <c r="K256" s="77">
        <f t="shared" si="260"/>
        <v>-1.7383625682385513</v>
      </c>
      <c r="L256" s="91">
        <f t="shared" si="261"/>
        <v>1.7391537920459561</v>
      </c>
      <c r="M256" s="93"/>
      <c r="N256" s="75">
        <f t="shared" si="262"/>
        <v>5.9023730594742752E-7</v>
      </c>
      <c r="O256" s="75">
        <f t="shared" si="263"/>
        <v>3.0664425154639741E-2</v>
      </c>
      <c r="P256" s="75">
        <f t="shared" si="264"/>
        <v>3.01655929453746E-2</v>
      </c>
      <c r="AF256" s="176"/>
      <c r="AG256" s="176"/>
      <c r="AH256" s="176"/>
      <c r="AI256" s="176"/>
      <c r="AJ256" s="176"/>
      <c r="AK256" s="176"/>
      <c r="AL256" s="176"/>
      <c r="AM256" s="176"/>
      <c r="AN256" s="176"/>
      <c r="AR256" s="92"/>
      <c r="AS256" s="176"/>
      <c r="AT256" s="178"/>
      <c r="AU256" s="178"/>
      <c r="AV256" s="178"/>
      <c r="AW256" s="178"/>
      <c r="AX256" s="178"/>
      <c r="AY256" s="178"/>
      <c r="AZ256" s="176"/>
    </row>
    <row r="257" spans="1:52" s="165" customFormat="1">
      <c r="A257" s="19">
        <f t="shared" si="265"/>
        <v>3.01655929453746E-2</v>
      </c>
      <c r="B257" s="26">
        <f t="shared" si="251"/>
        <v>0.99954505300144125</v>
      </c>
      <c r="C257" s="26">
        <f t="shared" si="252"/>
        <v>1.2071589753287801</v>
      </c>
      <c r="D257" s="26">
        <f t="shared" si="253"/>
        <v>0.4186338235076858</v>
      </c>
      <c r="E257" s="26">
        <f t="shared" si="254"/>
        <v>3.0161018224623332E-2</v>
      </c>
      <c r="F257" s="77">
        <f t="shared" si="255"/>
        <v>1.0868816548656695</v>
      </c>
      <c r="G257" s="77">
        <f t="shared" si="256"/>
        <v>5.7421718502745626E-2</v>
      </c>
      <c r="H257" s="75">
        <f t="shared" si="257"/>
        <v>4.5631353999664004E-2</v>
      </c>
      <c r="I257" s="75">
        <f t="shared" si="258"/>
        <v>-0.18321835909124834</v>
      </c>
      <c r="J257" s="77">
        <f t="shared" si="259"/>
        <v>-5.2454675728287423E-2</v>
      </c>
      <c r="K257" s="77">
        <f t="shared" si="260"/>
        <v>-1.7383634478294954</v>
      </c>
      <c r="L257" s="91">
        <f t="shared" si="261"/>
        <v>1.7391546710271086</v>
      </c>
      <c r="M257" s="93"/>
      <c r="N257" s="75">
        <f t="shared" si="262"/>
        <v>-2.5367792116925969E-8</v>
      </c>
      <c r="O257" s="75">
        <f t="shared" si="263"/>
        <v>3.0663859314638081E-2</v>
      </c>
      <c r="P257" s="75">
        <f t="shared" si="264"/>
        <v>3.016559377266026E-2</v>
      </c>
      <c r="AF257" s="176"/>
      <c r="AG257" s="176"/>
      <c r="AH257" s="176"/>
      <c r="AI257" s="176"/>
      <c r="AJ257" s="176"/>
      <c r="AK257" s="176"/>
      <c r="AL257" s="176"/>
      <c r="AM257" s="176"/>
      <c r="AN257" s="176"/>
      <c r="AR257" s="92"/>
      <c r="AS257" s="176"/>
      <c r="AT257" s="178"/>
      <c r="AU257" s="178"/>
      <c r="AV257" s="178"/>
      <c r="AW257" s="178"/>
      <c r="AX257" s="178"/>
      <c r="AY257" s="178"/>
      <c r="AZ257" s="176"/>
    </row>
    <row r="258" spans="1:52" s="165" customFormat="1">
      <c r="A258" s="19">
        <f t="shared" si="265"/>
        <v>3.016559377266026E-2</v>
      </c>
      <c r="B258" s="26">
        <f t="shared" si="251"/>
        <v>0.99954505297648943</v>
      </c>
      <c r="C258" s="26">
        <f t="shared" si="252"/>
        <v>1.2071589753038283</v>
      </c>
      <c r="D258" s="26">
        <f t="shared" si="253"/>
        <v>0.41863382589165304</v>
      </c>
      <c r="E258" s="26">
        <f t="shared" si="254"/>
        <v>3.0161019051532619E-2</v>
      </c>
      <c r="F258" s="77">
        <f t="shared" si="255"/>
        <v>1.0868816312341185</v>
      </c>
      <c r="G258" s="77">
        <f t="shared" si="256"/>
        <v>5.7421702884209488E-2</v>
      </c>
      <c r="H258" s="75">
        <f t="shared" si="257"/>
        <v>4.563135479802901E-2</v>
      </c>
      <c r="I258" s="75">
        <f t="shared" si="258"/>
        <v>-0.18321833263319678</v>
      </c>
      <c r="J258" s="77">
        <f t="shared" si="259"/>
        <v>-5.2454676026997708E-2</v>
      </c>
      <c r="K258" s="77">
        <f t="shared" si="260"/>
        <v>-1.7383634100256227</v>
      </c>
      <c r="L258" s="91">
        <f t="shared" si="261"/>
        <v>1.7391546332494441</v>
      </c>
      <c r="M258" s="93"/>
      <c r="N258" s="75">
        <f t="shared" si="262"/>
        <v>1.0902594382855568E-9</v>
      </c>
      <c r="O258" s="75">
        <f t="shared" si="263"/>
        <v>3.0663883633837541E-2</v>
      </c>
      <c r="P258" s="75">
        <f t="shared" si="264"/>
        <v>3.0165593737105093E-2</v>
      </c>
      <c r="AF258" s="176"/>
      <c r="AG258" s="176"/>
      <c r="AH258" s="176"/>
      <c r="AI258" s="176"/>
      <c r="AJ258" s="176"/>
      <c r="AK258" s="176"/>
      <c r="AL258" s="176"/>
      <c r="AM258" s="176"/>
      <c r="AN258" s="176"/>
      <c r="AR258" s="92"/>
      <c r="AS258" s="176"/>
      <c r="AT258" s="178"/>
      <c r="AU258" s="178"/>
      <c r="AV258" s="178"/>
      <c r="AW258" s="178"/>
      <c r="AX258" s="178"/>
      <c r="AY258" s="178"/>
      <c r="AZ258" s="176"/>
    </row>
    <row r="259" spans="1:52" s="165" customFormat="1">
      <c r="A259" s="19">
        <f t="shared" si="265"/>
        <v>3.0165593737105093E-2</v>
      </c>
      <c r="B259" s="26">
        <f t="shared" si="251"/>
        <v>0.9995450529775618</v>
      </c>
      <c r="C259" s="26">
        <f t="shared" si="252"/>
        <v>1.2071589753049008</v>
      </c>
      <c r="D259" s="26">
        <f t="shared" si="253"/>
        <v>0.41863382578919456</v>
      </c>
      <c r="E259" s="26">
        <f t="shared" si="254"/>
        <v>3.0161019015993627E-2</v>
      </c>
      <c r="F259" s="77">
        <f t="shared" si="255"/>
        <v>1.0868816322497576</v>
      </c>
      <c r="G259" s="77">
        <f t="shared" si="256"/>
        <v>5.7421703555464478E-2</v>
      </c>
      <c r="H259" s="75">
        <f t="shared" si="257"/>
        <v>4.5631354763716776E-2</v>
      </c>
      <c r="I259" s="75">
        <f t="shared" si="258"/>
        <v>-0.18321833377031421</v>
      </c>
      <c r="J259" s="77">
        <f t="shared" si="259"/>
        <v>-5.24546760141597E-2</v>
      </c>
      <c r="K259" s="77">
        <f t="shared" si="260"/>
        <v>-1.738363411650361</v>
      </c>
      <c r="L259" s="91">
        <f t="shared" si="261"/>
        <v>1.739154634873056</v>
      </c>
      <c r="M259" s="93"/>
      <c r="N259" s="75">
        <f t="shared" si="262"/>
        <v>-4.685798971060251E-11</v>
      </c>
      <c r="O259" s="75">
        <f t="shared" si="263"/>
        <v>3.0663882588644858E-2</v>
      </c>
      <c r="P259" s="75">
        <f t="shared" si="264"/>
        <v>3.0165593738633211E-2</v>
      </c>
      <c r="AF259" s="176"/>
      <c r="AG259" s="176"/>
      <c r="AH259" s="176"/>
      <c r="AI259" s="176"/>
      <c r="AJ259" s="176"/>
      <c r="AK259" s="176"/>
      <c r="AL259" s="176"/>
      <c r="AM259" s="176"/>
      <c r="AN259" s="176"/>
      <c r="AR259" s="92"/>
      <c r="AS259" s="176"/>
      <c r="AT259" s="178"/>
      <c r="AU259" s="178"/>
      <c r="AV259" s="178"/>
      <c r="AW259" s="178"/>
      <c r="AX259" s="178"/>
      <c r="AY259" s="178"/>
      <c r="AZ259" s="176"/>
    </row>
    <row r="260" spans="1:52" s="165" customFormat="1">
      <c r="A260" s="19">
        <f t="shared" si="265"/>
        <v>3.0165593738633211E-2</v>
      </c>
      <c r="B260" s="26">
        <f t="shared" si="251"/>
        <v>0.99954505297751572</v>
      </c>
      <c r="C260" s="26">
        <f t="shared" si="252"/>
        <v>1.2071589753048546</v>
      </c>
      <c r="D260" s="26">
        <f t="shared" si="253"/>
        <v>0.4186338257935982</v>
      </c>
      <c r="E260" s="26">
        <f t="shared" si="254"/>
        <v>3.0161019017521051E-2</v>
      </c>
      <c r="F260" s="77">
        <f t="shared" si="255"/>
        <v>1.0868816322061068</v>
      </c>
      <c r="G260" s="77">
        <f t="shared" si="256"/>
        <v>5.7421703526614805E-2</v>
      </c>
      <c r="H260" s="75">
        <f t="shared" si="257"/>
        <v>4.5631354765191499E-2</v>
      </c>
      <c r="I260" s="75">
        <f t="shared" si="258"/>
        <v>-0.18321833372144161</v>
      </c>
      <c r="J260" s="77">
        <f t="shared" si="259"/>
        <v>-5.2454676014711467E-2</v>
      </c>
      <c r="K260" s="77">
        <f t="shared" si="260"/>
        <v>-1.7383634115805318</v>
      </c>
      <c r="L260" s="91">
        <f t="shared" si="261"/>
        <v>1.7391546348032751</v>
      </c>
      <c r="M260" s="93"/>
      <c r="N260" s="75">
        <f t="shared" si="262"/>
        <v>2.0146107004848091E-12</v>
      </c>
      <c r="O260" s="75">
        <f t="shared" si="263"/>
        <v>3.0663882633565426E-2</v>
      </c>
      <c r="P260" s="75">
        <f t="shared" si="264"/>
        <v>3.016559373856751E-2</v>
      </c>
      <c r="AF260" s="176"/>
      <c r="AG260" s="176"/>
      <c r="AH260" s="176"/>
      <c r="AI260" s="176"/>
      <c r="AJ260" s="176"/>
      <c r="AK260" s="176"/>
      <c r="AL260" s="176"/>
      <c r="AM260" s="176"/>
      <c r="AN260" s="176"/>
      <c r="AR260" s="92"/>
      <c r="AS260" s="176"/>
      <c r="AT260" s="178"/>
      <c r="AU260" s="178"/>
      <c r="AV260" s="178"/>
      <c r="AW260" s="178"/>
      <c r="AX260" s="178"/>
      <c r="AY260" s="178"/>
      <c r="AZ260" s="176"/>
    </row>
    <row r="261" spans="1:52" s="165" customFormat="1">
      <c r="A261" s="19">
        <f t="shared" si="265"/>
        <v>3.016559373856751E-2</v>
      </c>
      <c r="B261" s="26">
        <f t="shared" si="251"/>
        <v>0.99954505297751772</v>
      </c>
      <c r="C261" s="26">
        <f t="shared" si="252"/>
        <v>1.2071589753048566</v>
      </c>
      <c r="D261" s="26">
        <f t="shared" si="253"/>
        <v>0.41863382579340885</v>
      </c>
      <c r="E261" s="26">
        <f t="shared" si="254"/>
        <v>3.0161019017455382E-2</v>
      </c>
      <c r="F261" s="77">
        <f t="shared" si="255"/>
        <v>1.0868816322079833</v>
      </c>
      <c r="G261" s="77">
        <f t="shared" si="256"/>
        <v>5.7421703527855014E-2</v>
      </c>
      <c r="H261" s="75">
        <f t="shared" si="257"/>
        <v>4.5631354765128085E-2</v>
      </c>
      <c r="I261" s="75">
        <f t="shared" si="258"/>
        <v>-0.18321833372354293</v>
      </c>
      <c r="J261" s="77">
        <f t="shared" si="259"/>
        <v>-5.2454676014687736E-2</v>
      </c>
      <c r="K261" s="77">
        <f t="shared" si="260"/>
        <v>-1.738363411583534</v>
      </c>
      <c r="L261" s="91">
        <f t="shared" si="261"/>
        <v>1.7391546348062754</v>
      </c>
      <c r="M261" s="93"/>
      <c r="N261" s="75">
        <f t="shared" si="262"/>
        <v>-8.6708418223224726E-14</v>
      </c>
      <c r="O261" s="75">
        <f t="shared" si="263"/>
        <v>3.0663882631634082E-2</v>
      </c>
      <c r="P261" s="75">
        <f t="shared" si="264"/>
        <v>3.0165593738570338E-2</v>
      </c>
      <c r="AF261" s="176"/>
      <c r="AG261" s="176"/>
      <c r="AH261" s="176"/>
      <c r="AI261" s="176"/>
      <c r="AJ261" s="176"/>
      <c r="AK261" s="176"/>
      <c r="AL261" s="176"/>
      <c r="AM261" s="176"/>
      <c r="AN261" s="176"/>
      <c r="AR261" s="92"/>
      <c r="AS261" s="176"/>
      <c r="AT261" s="178"/>
      <c r="AU261" s="178"/>
      <c r="AV261" s="178"/>
      <c r="AW261" s="178"/>
      <c r="AX261" s="178"/>
      <c r="AY261" s="178"/>
      <c r="AZ261" s="176"/>
    </row>
    <row r="262" spans="1:52" s="165" customFormat="1">
      <c r="A262" s="19">
        <f t="shared" si="265"/>
        <v>3.0165593738570338E-2</v>
      </c>
      <c r="B262" s="26">
        <f t="shared" si="251"/>
        <v>0.99954505297751761</v>
      </c>
      <c r="C262" s="26">
        <f t="shared" si="252"/>
        <v>1.2071589753048566</v>
      </c>
      <c r="D262" s="26">
        <f t="shared" si="253"/>
        <v>0.41863382579341696</v>
      </c>
      <c r="E262" s="26">
        <f t="shared" si="254"/>
        <v>3.0161019017458206E-2</v>
      </c>
      <c r="F262" s="77">
        <f t="shared" si="255"/>
        <v>1.0868816322079027</v>
      </c>
      <c r="G262" s="77">
        <f t="shared" si="256"/>
        <v>5.7421703527801744E-2</v>
      </c>
      <c r="H262" s="75">
        <f t="shared" si="257"/>
        <v>4.5631354765130777E-2</v>
      </c>
      <c r="I262" s="75">
        <f t="shared" si="258"/>
        <v>-0.18321833372345325</v>
      </c>
      <c r="J262" s="77">
        <f t="shared" si="259"/>
        <v>-5.2454676014688763E-2</v>
      </c>
      <c r="K262" s="77">
        <f t="shared" si="260"/>
        <v>-1.7383634115834046</v>
      </c>
      <c r="L262" s="91">
        <f t="shared" si="261"/>
        <v>1.7391546348061462</v>
      </c>
      <c r="M262" s="93"/>
      <c r="N262" s="75">
        <f t="shared" si="262"/>
        <v>2.9698465908722937E-15</v>
      </c>
      <c r="O262" s="75">
        <f t="shared" si="263"/>
        <v>3.0663882631717737E-2</v>
      </c>
      <c r="P262" s="75">
        <f t="shared" si="264"/>
        <v>3.0165593738570241E-2</v>
      </c>
      <c r="AF262" s="176"/>
      <c r="AG262" s="176"/>
      <c r="AH262" s="176"/>
      <c r="AI262" s="176"/>
      <c r="AJ262" s="176"/>
      <c r="AK262" s="176"/>
      <c r="AL262" s="176"/>
      <c r="AM262" s="176"/>
      <c r="AN262" s="176"/>
      <c r="AR262" s="92"/>
      <c r="AS262" s="176"/>
      <c r="AT262" s="178"/>
      <c r="AU262" s="178"/>
      <c r="AV262" s="178"/>
      <c r="AW262" s="178"/>
      <c r="AX262" s="178"/>
      <c r="AY262" s="178"/>
      <c r="AZ262" s="176"/>
    </row>
    <row r="263" spans="1:52" s="165" customFormat="1">
      <c r="A263" s="88" t="s">
        <v>60</v>
      </c>
      <c r="B263" s="8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AF263" s="176"/>
      <c r="AG263" s="176"/>
      <c r="AH263" s="176"/>
      <c r="AI263" s="176"/>
      <c r="AJ263" s="176"/>
      <c r="AK263" s="176"/>
      <c r="AL263" s="176"/>
      <c r="AM263" s="176"/>
      <c r="AN263" s="176"/>
      <c r="AR263" s="92"/>
      <c r="AS263" s="176"/>
      <c r="AT263" s="178"/>
      <c r="AU263" s="178"/>
      <c r="AV263" s="178"/>
      <c r="AW263" s="178"/>
      <c r="AX263" s="178"/>
      <c r="AY263" s="178"/>
      <c r="AZ263" s="176"/>
    </row>
    <row r="264" spans="1:52" s="165" customFormat="1">
      <c r="A264" s="26" t="s">
        <v>11</v>
      </c>
      <c r="B264" s="26" t="s">
        <v>13</v>
      </c>
      <c r="C264" s="26" t="s">
        <v>22</v>
      </c>
      <c r="D264" s="26" t="s">
        <v>18</v>
      </c>
      <c r="E264" s="26" t="s">
        <v>19</v>
      </c>
      <c r="F264" s="26" t="s">
        <v>20</v>
      </c>
      <c r="G264" s="26" t="s">
        <v>2</v>
      </c>
      <c r="H264" s="26" t="s">
        <v>1</v>
      </c>
      <c r="I264" s="26" t="s">
        <v>0</v>
      </c>
      <c r="J264" s="76" t="s">
        <v>3</v>
      </c>
      <c r="K264" s="76" t="s">
        <v>4</v>
      </c>
      <c r="L264" s="44" t="s">
        <v>7</v>
      </c>
      <c r="M264" s="28"/>
      <c r="N264" s="28"/>
      <c r="O264" s="28"/>
      <c r="P264" s="31"/>
      <c r="AF264" s="176"/>
      <c r="AG264" s="176"/>
      <c r="AH264" s="176"/>
      <c r="AI264" s="176"/>
      <c r="AJ264" s="176"/>
      <c r="AK264" s="176"/>
      <c r="AL264" s="176"/>
      <c r="AM264" s="176"/>
      <c r="AN264" s="176"/>
      <c r="AR264" s="92"/>
      <c r="AS264" s="176"/>
      <c r="AT264" s="178"/>
      <c r="AU264" s="178"/>
      <c r="AV264" s="178"/>
      <c r="AW264" s="178"/>
      <c r="AX264" s="178"/>
      <c r="AY264" s="178"/>
      <c r="AZ264" s="176"/>
    </row>
    <row r="265" spans="1:52" s="165" customFormat="1">
      <c r="A265" s="19">
        <f>$E249</f>
        <v>3.3507916956256968E-2</v>
      </c>
      <c r="B265" s="26">
        <f t="shared" ref="B265:B270" si="266">COS(A265)</f>
        <v>0.99943866227516254</v>
      </c>
      <c r="C265" s="26">
        <f t="shared" ref="C265:C270" si="267">($C$249+B265)</f>
        <v>1.2070525846025015</v>
      </c>
      <c r="D265" s="26">
        <f t="shared" ref="D265:D270" si="268">POWER(TAN(A265/2),$C$249)</f>
        <v>0.42786867474167328</v>
      </c>
      <c r="E265" s="26">
        <f t="shared" ref="E265:E270" si="269">SIN(A265)</f>
        <v>3.3501646968972933E-2</v>
      </c>
      <c r="F265" s="77">
        <f t="shared" ref="F265:F270" si="270">(C265*$H$249*D265/E265/$I$249/$J$249)</f>
        <v>1</v>
      </c>
      <c r="G265" s="77">
        <f t="shared" ref="G265:G270" si="271">$D$249*($C$249+$G$249)/9.81/SIN($C$246)/(1-$C$249*$C$246)*(F265-1)</f>
        <v>0</v>
      </c>
      <c r="H265" s="138">
        <f t="shared" ref="H265:H270" si="272">-(-$H$246+$K$249*((POWER(TAN(A265/2),2*$C$249-1)/(2*$C$249-1))+(POWER(TAN(A265/2),2*$C$249+1)/(2*$C$249+1))-(POWER(TAN($E$249/2),2*$C$249-1)/(2*$C$249-1))-(POWER(TAN($E$249/2),2*$C$249+1)/(2*$C$249+1))))</f>
        <v>4.8598359402941632E-2</v>
      </c>
      <c r="I265" s="138">
        <f t="shared" ref="I265:I270" si="273">-(-$I$246+0.5*$K$249*((POWER(TAN(A265/2),2*$C$249-2)/(2*$C$249-2))-(POWER(TAN(A265/2),2*$C$249+2)/(2*$C$249+2))-(POWER(TAN($E$249/2),2*$C$249-2)/(2*$C$249-2))+(POWER(TAN($E$249/2),2*$C$249+2)/(2*$C$249+2))))</f>
        <v>-8.9833694127151087E-2</v>
      </c>
      <c r="J265" s="77">
        <f t="shared" ref="J265:J270" si="274">-$D$249*SIN(A265)*($C$249+$G$249)/($C$249+B265)*F265</f>
        <v>-5.3611799447577373E-2</v>
      </c>
      <c r="K265" s="77">
        <f t="shared" ref="K265:K270" si="275">-$D$249*COS(A265)*($C$249+$G$249)/($C$249+B265)*F265</f>
        <v>-1.5993752537502097</v>
      </c>
      <c r="L265" s="91">
        <f t="shared" ref="L265:L270" si="276">SQRT(J265*J265+K265*K265)</f>
        <v>1.6002735476625722</v>
      </c>
      <c r="M265" s="28"/>
      <c r="N265" s="28"/>
      <c r="O265" s="28"/>
      <c r="P265" s="31"/>
      <c r="AF265" s="176"/>
      <c r="AG265" s="176"/>
      <c r="AH265" s="176"/>
      <c r="AI265" s="176"/>
      <c r="AJ265" s="176"/>
      <c r="AK265" s="176"/>
      <c r="AL265" s="176"/>
      <c r="AM265" s="176"/>
      <c r="AN265" s="176"/>
      <c r="AR265" s="92"/>
      <c r="AS265" s="176"/>
      <c r="AT265" s="178"/>
      <c r="AU265" s="178"/>
      <c r="AV265" s="178"/>
      <c r="AW265" s="178"/>
      <c r="AX265" s="178"/>
      <c r="AY265" s="178"/>
      <c r="AZ265" s="176"/>
    </row>
    <row r="266" spans="1:52" s="165" customFormat="1">
      <c r="A266" s="20">
        <f>A265-$F$249</f>
        <v>3.2859452312719639E-2</v>
      </c>
      <c r="B266" s="26">
        <f t="shared" si="266"/>
        <v>0.99946017677203303</v>
      </c>
      <c r="C266" s="26">
        <f t="shared" si="267"/>
        <v>1.207074099099372</v>
      </c>
      <c r="D266" s="26">
        <f t="shared" si="268"/>
        <v>0.42613590322264183</v>
      </c>
      <c r="E266" s="26">
        <f t="shared" si="269"/>
        <v>3.2853539334696862E-2</v>
      </c>
      <c r="F266" s="77">
        <f t="shared" si="270"/>
        <v>1.015615615670439</v>
      </c>
      <c r="G266" s="77">
        <f t="shared" si="271"/>
        <v>1.0320653867164378E-2</v>
      </c>
      <c r="H266" s="138">
        <f t="shared" si="272"/>
        <v>4.806026138049229E-2</v>
      </c>
      <c r="I266" s="138">
        <f t="shared" si="273"/>
        <v>-0.10604481610952178</v>
      </c>
      <c r="J266" s="77">
        <f t="shared" si="274"/>
        <v>-5.3394683765474973E-2</v>
      </c>
      <c r="K266" s="77">
        <f t="shared" si="275"/>
        <v>-1.6243564972181961</v>
      </c>
      <c r="L266" s="91">
        <f t="shared" si="276"/>
        <v>1.6252338361938514</v>
      </c>
      <c r="M266" s="28"/>
      <c r="N266" s="28"/>
      <c r="O266" s="28"/>
      <c r="P266" s="31"/>
      <c r="AF266" s="176"/>
      <c r="AG266" s="176"/>
      <c r="AH266" s="176"/>
      <c r="AI266" s="176"/>
      <c r="AJ266" s="176"/>
      <c r="AK266" s="176"/>
      <c r="AL266" s="176"/>
      <c r="AM266" s="176"/>
      <c r="AN266" s="176"/>
      <c r="AR266" s="92"/>
      <c r="AS266" s="176"/>
      <c r="AT266" s="178"/>
      <c r="AU266" s="178"/>
      <c r="AV266" s="178"/>
      <c r="AW266" s="178"/>
      <c r="AX266" s="178"/>
      <c r="AY266" s="178"/>
      <c r="AZ266" s="176"/>
    </row>
    <row r="267" spans="1:52" s="165" customFormat="1">
      <c r="A267" s="20">
        <f>A266-$F$249</f>
        <v>3.221098766918231E-2</v>
      </c>
      <c r="B267" s="26">
        <f t="shared" si="266"/>
        <v>0.99948127098952355</v>
      </c>
      <c r="C267" s="26">
        <f t="shared" si="267"/>
        <v>1.2070951933168625</v>
      </c>
      <c r="D267" s="26">
        <f t="shared" si="268"/>
        <v>0.42437583411269741</v>
      </c>
      <c r="E267" s="26">
        <f t="shared" si="269"/>
        <v>3.2205417885297911E-2</v>
      </c>
      <c r="F267" s="77">
        <f t="shared" si="270"/>
        <v>1.0317932980231517</v>
      </c>
      <c r="G267" s="77">
        <f t="shared" si="271"/>
        <v>2.1012788167789547E-2</v>
      </c>
      <c r="H267" s="138">
        <f t="shared" si="272"/>
        <v>4.7505075279275277E-2</v>
      </c>
      <c r="I267" s="138">
        <f t="shared" si="273"/>
        <v>-0.12310441177106128</v>
      </c>
      <c r="J267" s="77">
        <f t="shared" si="274"/>
        <v>-5.3174147704513786E-2</v>
      </c>
      <c r="K267" s="77">
        <f t="shared" si="275"/>
        <v>-1.6502367682598531</v>
      </c>
      <c r="L267" s="91">
        <f t="shared" si="276"/>
        <v>1.6510932382215202</v>
      </c>
      <c r="M267" s="45"/>
      <c r="N267" s="28"/>
      <c r="O267" s="28"/>
      <c r="P267" s="31"/>
      <c r="AF267" s="176"/>
      <c r="AG267" s="176"/>
      <c r="AH267" s="176"/>
      <c r="AI267" s="176"/>
      <c r="AJ267" s="176"/>
      <c r="AK267" s="176"/>
      <c r="AL267" s="176"/>
      <c r="AM267" s="176"/>
      <c r="AN267" s="176"/>
      <c r="AR267" s="92"/>
      <c r="AS267" s="176"/>
      <c r="AT267" s="178"/>
      <c r="AU267" s="178"/>
      <c r="AV267" s="178"/>
      <c r="AW267" s="178"/>
      <c r="AX267" s="178"/>
      <c r="AY267" s="178"/>
      <c r="AZ267" s="176"/>
    </row>
    <row r="268" spans="1:52" s="165" customFormat="1">
      <c r="A268" s="20">
        <f>A267-$F$249</f>
        <v>3.1562523025644981E-2</v>
      </c>
      <c r="B268" s="26">
        <f t="shared" si="266"/>
        <v>0.99950194491876365</v>
      </c>
      <c r="C268" s="26">
        <f t="shared" si="267"/>
        <v>1.2071158672461026</v>
      </c>
      <c r="D268" s="26">
        <f t="shared" si="268"/>
        <v>0.42258747403993441</v>
      </c>
      <c r="E268" s="26">
        <f t="shared" si="269"/>
        <v>3.1557282893315303E-2</v>
      </c>
      <c r="F268" s="77">
        <f t="shared" si="270"/>
        <v>1.0485652264695089</v>
      </c>
      <c r="G268" s="77">
        <f t="shared" si="271"/>
        <v>3.2097670879611212E-2</v>
      </c>
      <c r="H268" s="138">
        <f t="shared" si="272"/>
        <v>4.693189736910397E-2</v>
      </c>
      <c r="I268" s="138">
        <f t="shared" si="273"/>
        <v>-0.14107534325655305</v>
      </c>
      <c r="J268" s="77">
        <f t="shared" si="274"/>
        <v>-5.2950066795531811E-2</v>
      </c>
      <c r="K268" s="77">
        <f t="shared" si="275"/>
        <v>-1.6770675385656597</v>
      </c>
      <c r="L268" s="91">
        <f t="shared" si="276"/>
        <v>1.6779032267935872</v>
      </c>
      <c r="M268" s="45"/>
      <c r="N268" s="28"/>
      <c r="O268" s="28"/>
      <c r="P268" s="31"/>
      <c r="AF268" s="176"/>
      <c r="AG268" s="176"/>
      <c r="AH268" s="176"/>
      <c r="AI268" s="176"/>
      <c r="AJ268" s="176"/>
      <c r="AK268" s="176"/>
      <c r="AL268" s="176"/>
      <c r="AM268" s="176"/>
      <c r="AN268" s="176"/>
      <c r="AR268" s="92"/>
      <c r="AS268" s="176"/>
      <c r="AT268" s="178"/>
      <c r="AU268" s="178"/>
      <c r="AV268" s="178"/>
      <c r="AW268" s="178"/>
      <c r="AX268" s="178"/>
      <c r="AY268" s="178"/>
      <c r="AZ268" s="176"/>
    </row>
    <row r="269" spans="1:52" s="165" customFormat="1">
      <c r="A269" s="20">
        <f>A268-$F$249</f>
        <v>3.0914058382107656E-2</v>
      </c>
      <c r="B269" s="26">
        <f t="shared" si="266"/>
        <v>0.99952219855105995</v>
      </c>
      <c r="C269" s="26">
        <f t="shared" si="267"/>
        <v>1.2071361208783988</v>
      </c>
      <c r="D269" s="26">
        <f t="shared" si="268"/>
        <v>0.4207697721665985</v>
      </c>
      <c r="E269" s="26">
        <f t="shared" si="269"/>
        <v>3.0909134631293928E-2</v>
      </c>
      <c r="F269" s="77">
        <f t="shared" si="270"/>
        <v>1.065966134852482</v>
      </c>
      <c r="G269" s="77">
        <f t="shared" si="271"/>
        <v>4.359825825221629E-2</v>
      </c>
      <c r="H269" s="138">
        <f t="shared" si="272"/>
        <v>4.6339756252621746E-2</v>
      </c>
      <c r="I269" s="138">
        <f t="shared" si="273"/>
        <v>-0.1600265548742987</v>
      </c>
      <c r="J269" s="77">
        <f t="shared" si="274"/>
        <v>-5.2722309368915775E-2</v>
      </c>
      <c r="K269" s="77">
        <f t="shared" si="275"/>
        <v>-1.7049043657066572</v>
      </c>
      <c r="L269" s="91">
        <f t="shared" si="276"/>
        <v>1.7057193608887748</v>
      </c>
      <c r="M269" s="45"/>
      <c r="N269" s="28"/>
      <c r="O269" s="28"/>
      <c r="P269" s="89"/>
      <c r="AF269" s="176"/>
      <c r="AG269" s="176"/>
      <c r="AH269" s="176"/>
      <c r="AI269" s="176"/>
      <c r="AJ269" s="176"/>
      <c r="AK269" s="176"/>
      <c r="AL269" s="176"/>
      <c r="AM269" s="176"/>
      <c r="AN269" s="176"/>
      <c r="AR269" s="92"/>
      <c r="AS269" s="176"/>
      <c r="AT269" s="178"/>
      <c r="AU269" s="178"/>
      <c r="AV269" s="178"/>
      <c r="AW269" s="178"/>
      <c r="AX269" s="178"/>
      <c r="AY269" s="178"/>
      <c r="AZ269" s="176"/>
    </row>
    <row r="270" spans="1:52" s="165" customFormat="1">
      <c r="A270" s="20">
        <f>A269-$F$249</f>
        <v>3.026559373857033E-2</v>
      </c>
      <c r="B270" s="26">
        <f t="shared" si="266"/>
        <v>0.9995420318778957</v>
      </c>
      <c r="C270" s="26">
        <f t="shared" si="267"/>
        <v>1.2071559542052346</v>
      </c>
      <c r="D270" s="26">
        <f t="shared" si="268"/>
        <v>0.41892161557840629</v>
      </c>
      <c r="E270" s="26">
        <f t="shared" si="269"/>
        <v>3.0260973371784267E-2</v>
      </c>
      <c r="F270" s="77">
        <f t="shared" si="270"/>
        <v>1.0840335731674831</v>
      </c>
      <c r="G270" s="77">
        <f t="shared" si="271"/>
        <v>5.5539367783264758E-2</v>
      </c>
      <c r="H270" s="138">
        <f t="shared" si="272"/>
        <v>4.572760624704416E-2</v>
      </c>
      <c r="I270" s="138">
        <f t="shared" si="273"/>
        <v>-0.18003380536136199</v>
      </c>
      <c r="J270" s="77">
        <f t="shared" si="274"/>
        <v>-5.2490735976884459E-2</v>
      </c>
      <c r="K270" s="77">
        <f t="shared" si="275"/>
        <v>-1.7338073117641979</v>
      </c>
      <c r="L270" s="91">
        <f t="shared" si="276"/>
        <v>1.7346017040492003</v>
      </c>
      <c r="M270" s="45"/>
      <c r="N270" s="28"/>
      <c r="O270" s="28"/>
      <c r="P270" s="28"/>
      <c r="AF270" s="176"/>
      <c r="AG270" s="176"/>
      <c r="AH270" s="176"/>
      <c r="AI270" s="176"/>
      <c r="AJ270" s="176"/>
      <c r="AK270" s="176"/>
      <c r="AL270" s="176"/>
      <c r="AM270" s="176"/>
      <c r="AN270" s="176"/>
      <c r="AR270" s="92"/>
      <c r="AS270" s="176"/>
      <c r="AT270" s="178"/>
      <c r="AU270" s="178"/>
      <c r="AV270" s="178"/>
      <c r="AW270" s="178"/>
      <c r="AX270" s="178"/>
      <c r="AY270" s="178"/>
      <c r="AZ270" s="176"/>
    </row>
    <row r="271" spans="1:52" s="165" customFormat="1">
      <c r="A271" s="159"/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AF271" s="176"/>
      <c r="AG271" s="176"/>
      <c r="AH271" s="176"/>
      <c r="AI271" s="176"/>
      <c r="AJ271" s="176"/>
      <c r="AK271" s="176"/>
      <c r="AL271" s="176"/>
      <c r="AM271" s="176"/>
      <c r="AN271" s="176"/>
      <c r="AR271" s="92"/>
      <c r="AS271" s="176"/>
      <c r="AT271" s="178"/>
      <c r="AU271" s="178"/>
      <c r="AV271" s="178"/>
      <c r="AW271" s="178"/>
      <c r="AX271" s="178"/>
      <c r="AY271" s="178"/>
      <c r="AZ271" s="176"/>
    </row>
    <row r="272" spans="1:52" s="165" customFormat="1">
      <c r="A272" s="88" t="s">
        <v>73</v>
      </c>
      <c r="B272" s="88"/>
      <c r="C272" s="23" t="str">
        <f>CONCATENATE("m",Stufengrün!AH46)</f>
        <v>m-2</v>
      </c>
      <c r="D272" s="23" t="s">
        <v>30</v>
      </c>
      <c r="E272" s="28"/>
      <c r="F272" s="28"/>
      <c r="G272" s="28"/>
      <c r="H272" s="36" t="s">
        <v>57</v>
      </c>
      <c r="I272" s="36" t="s">
        <v>51</v>
      </c>
      <c r="J272" s="36" t="s">
        <v>58</v>
      </c>
      <c r="K272" s="36" t="s">
        <v>59</v>
      </c>
      <c r="L272" s="28"/>
      <c r="M272" s="28"/>
      <c r="N272" s="28"/>
      <c r="O272" s="28"/>
      <c r="P272" s="28"/>
      <c r="AF272" s="176"/>
      <c r="AG272" s="176"/>
      <c r="AH272" s="176"/>
      <c r="AI272" s="176"/>
      <c r="AJ272" s="176"/>
      <c r="AK272" s="176"/>
      <c r="AL272" s="176"/>
      <c r="AM272" s="176"/>
      <c r="AN272" s="176"/>
      <c r="AR272" s="92"/>
      <c r="AS272" s="176"/>
      <c r="AT272" s="178"/>
      <c r="AU272" s="178"/>
      <c r="AV272" s="178"/>
      <c r="AW272" s="178"/>
      <c r="AX272" s="178"/>
      <c r="AY272" s="178"/>
      <c r="AZ272" s="176"/>
    </row>
    <row r="273" spans="1:52" s="165" customFormat="1">
      <c r="A273" s="88" t="s">
        <v>69</v>
      </c>
      <c r="B273" s="88"/>
      <c r="C273" s="36">
        <f>Stufengrün!AI46</f>
        <v>0.26129405619084795</v>
      </c>
      <c r="D273" s="26">
        <f>Stufengrün!AK45</f>
        <v>-0.27035186996590777</v>
      </c>
      <c r="E273" s="28"/>
      <c r="F273" s="28"/>
      <c r="G273" s="28"/>
      <c r="H273" s="78">
        <f>H262</f>
        <v>4.5631354765130777E-2</v>
      </c>
      <c r="I273" s="78">
        <f>I262</f>
        <v>-0.18321833372345325</v>
      </c>
      <c r="J273" s="78">
        <f>J262</f>
        <v>-5.2454676014688763E-2</v>
      </c>
      <c r="K273" s="78">
        <f>K262</f>
        <v>-1.7383634115834046</v>
      </c>
      <c r="L273" s="28"/>
      <c r="M273" s="28"/>
      <c r="N273" s="28"/>
      <c r="O273" s="28"/>
      <c r="P273" s="28"/>
      <c r="AF273" s="176"/>
      <c r="AG273" s="176"/>
      <c r="AH273" s="176"/>
      <c r="AI273" s="176"/>
      <c r="AJ273" s="176"/>
      <c r="AK273" s="176"/>
      <c r="AL273" s="176"/>
      <c r="AM273" s="176"/>
      <c r="AN273" s="176"/>
      <c r="AR273" s="92"/>
      <c r="AS273" s="176"/>
      <c r="AT273" s="178"/>
      <c r="AU273" s="178"/>
      <c r="AV273" s="178"/>
      <c r="AW273" s="178"/>
      <c r="AX273" s="178"/>
      <c r="AY273" s="178"/>
      <c r="AZ273" s="176"/>
    </row>
    <row r="274" spans="1:52" s="165" customFormat="1">
      <c r="A274" s="95"/>
      <c r="B274" s="95"/>
      <c r="C274" s="28"/>
      <c r="D274" s="28"/>
      <c r="E274" s="28"/>
      <c r="F274" s="28"/>
      <c r="G274" s="28"/>
      <c r="H274" s="37" t="s">
        <v>8</v>
      </c>
      <c r="I274" s="37" t="s">
        <v>8</v>
      </c>
      <c r="J274" s="37" t="s">
        <v>9</v>
      </c>
      <c r="K274" s="37" t="s">
        <v>9</v>
      </c>
      <c r="L274" s="28"/>
      <c r="M274" s="28"/>
      <c r="N274" s="28"/>
      <c r="O274" s="28"/>
      <c r="P274" s="28"/>
      <c r="AF274" s="176"/>
      <c r="AG274" s="176"/>
      <c r="AH274" s="176"/>
      <c r="AI274" s="176"/>
      <c r="AJ274" s="176"/>
      <c r="AK274" s="176"/>
      <c r="AL274" s="176"/>
      <c r="AM274" s="176"/>
      <c r="AN274" s="176"/>
      <c r="AR274" s="92"/>
      <c r="AS274" s="176"/>
      <c r="AT274" s="178"/>
      <c r="AU274" s="178"/>
      <c r="AV274" s="178"/>
      <c r="AW274" s="178"/>
      <c r="AX274" s="178"/>
      <c r="AY274" s="178"/>
      <c r="AZ274" s="176"/>
    </row>
    <row r="275" spans="1:52" s="165" customFormat="1">
      <c r="A275" s="88" t="s">
        <v>68</v>
      </c>
      <c r="B275" s="88"/>
      <c r="C275" s="115" t="s">
        <v>15</v>
      </c>
      <c r="D275" s="115" t="s">
        <v>55</v>
      </c>
      <c r="E275" s="115" t="s">
        <v>12</v>
      </c>
      <c r="F275" s="115" t="s">
        <v>10</v>
      </c>
      <c r="G275" s="115" t="s">
        <v>14</v>
      </c>
      <c r="H275" s="115" t="s">
        <v>21</v>
      </c>
      <c r="I275" s="115" t="s">
        <v>16</v>
      </c>
      <c r="J275" s="115" t="s">
        <v>17</v>
      </c>
      <c r="K275" s="115" t="s">
        <v>23</v>
      </c>
      <c r="L275" s="28"/>
      <c r="M275" s="28"/>
      <c r="N275" s="28"/>
      <c r="O275" s="28"/>
      <c r="P275" s="28"/>
      <c r="AF275" s="176"/>
      <c r="AG275" s="176"/>
      <c r="AH275" s="176"/>
      <c r="AI275" s="176"/>
      <c r="AJ275" s="176"/>
      <c r="AK275" s="176"/>
      <c r="AL275" s="176"/>
      <c r="AM275" s="176"/>
      <c r="AN275" s="176"/>
      <c r="AR275" s="92"/>
      <c r="AS275" s="176"/>
      <c r="AT275" s="178"/>
      <c r="AU275" s="178"/>
      <c r="AV275" s="178"/>
      <c r="AW275" s="178"/>
      <c r="AX275" s="178"/>
      <c r="AY275" s="178"/>
      <c r="AZ275" s="176"/>
    </row>
    <row r="276" spans="1:52" s="165" customFormat="1">
      <c r="A276" s="28"/>
      <c r="B276" s="28"/>
      <c r="C276" s="23">
        <f>Mü/TAN($C273)</f>
        <v>0.26177261284076359</v>
      </c>
      <c r="D276" s="42">
        <f>SQRT($J273*$J273+$K273*$K273)</f>
        <v>1.7391546348061462</v>
      </c>
      <c r="E276" s="20">
        <f>ATAN($J273/$K273)</f>
        <v>3.0165593738570345E-2</v>
      </c>
      <c r="F276" s="23">
        <f>($E276-A289-0.0001)/5</f>
        <v>3.8423294390125873E-4</v>
      </c>
      <c r="G276" s="23">
        <f>COS($E276)</f>
        <v>0.99954505297751761</v>
      </c>
      <c r="H276" s="23">
        <f>SIN($E276)</f>
        <v>3.0161019017458213E-2</v>
      </c>
      <c r="I276" s="23">
        <f>$C276+$G276</f>
        <v>1.2613176658182812</v>
      </c>
      <c r="J276" s="23">
        <f>POWER(TAN($E276/2),$C276)</f>
        <v>0.33356852478458821</v>
      </c>
      <c r="K276" s="23">
        <f>-$D276*$D276*SIN($E276)*SIN($E276)/(2*9.81*SIN($C273)*POWER(TAN($E276/2),2*$C276))</f>
        <v>-4.8789113904172529E-3</v>
      </c>
      <c r="L276" s="28"/>
      <c r="M276" s="28"/>
      <c r="N276" s="28"/>
      <c r="O276" s="28"/>
      <c r="P276" s="28"/>
      <c r="AF276" s="176"/>
      <c r="AG276" s="176"/>
      <c r="AH276" s="176"/>
      <c r="AI276" s="176"/>
      <c r="AJ276" s="176"/>
      <c r="AK276" s="176"/>
      <c r="AL276" s="176"/>
      <c r="AM276" s="176"/>
      <c r="AN276" s="176"/>
      <c r="AR276" s="92"/>
      <c r="AS276" s="176"/>
      <c r="AT276" s="178"/>
      <c r="AU276" s="178"/>
      <c r="AV276" s="178"/>
      <c r="AW276" s="178"/>
      <c r="AX276" s="178"/>
      <c r="AY276" s="178"/>
      <c r="AZ276" s="176"/>
    </row>
    <row r="277" spans="1:52" s="165" customFormat="1">
      <c r="A277" s="88" t="s">
        <v>70</v>
      </c>
      <c r="B277" s="8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45"/>
      <c r="N277" s="28"/>
      <c r="O277" s="28"/>
      <c r="P277" s="28"/>
      <c r="AF277" s="176"/>
      <c r="AG277" s="176"/>
      <c r="AH277" s="176"/>
      <c r="AI277" s="176"/>
      <c r="AJ277" s="176"/>
      <c r="AK277" s="176"/>
      <c r="AL277" s="176"/>
      <c r="AM277" s="176"/>
      <c r="AN277" s="176"/>
      <c r="AR277" s="92"/>
      <c r="AS277" s="176"/>
      <c r="AT277" s="178"/>
      <c r="AU277" s="178"/>
      <c r="AV277" s="178"/>
      <c r="AW277" s="178"/>
      <c r="AX277" s="178"/>
      <c r="AY277" s="178"/>
      <c r="AZ277" s="176"/>
    </row>
    <row r="278" spans="1:52" s="165" customFormat="1">
      <c r="A278" s="115" t="s">
        <v>11</v>
      </c>
      <c r="B278" s="115" t="s">
        <v>13</v>
      </c>
      <c r="C278" s="117" t="s">
        <v>22</v>
      </c>
      <c r="D278" s="117" t="s">
        <v>18</v>
      </c>
      <c r="E278" s="115" t="s">
        <v>19</v>
      </c>
      <c r="F278" s="117" t="s">
        <v>20</v>
      </c>
      <c r="G278" s="117" t="s">
        <v>2</v>
      </c>
      <c r="H278" s="117" t="s">
        <v>65</v>
      </c>
      <c r="I278" s="117" t="s">
        <v>66</v>
      </c>
      <c r="J278" s="118" t="s">
        <v>3</v>
      </c>
      <c r="K278" s="118" t="s">
        <v>4</v>
      </c>
      <c r="L278" s="116" t="s">
        <v>7</v>
      </c>
      <c r="M278" s="93"/>
      <c r="N278" s="117" t="s">
        <v>61</v>
      </c>
      <c r="O278" s="117" t="s">
        <v>62</v>
      </c>
      <c r="P278" s="115" t="s">
        <v>63</v>
      </c>
      <c r="AF278" s="176"/>
      <c r="AG278" s="176"/>
      <c r="AH278" s="176"/>
      <c r="AI278" s="176"/>
      <c r="AJ278" s="176"/>
      <c r="AK278" s="176"/>
      <c r="AL278" s="176"/>
      <c r="AM278" s="176"/>
      <c r="AN278" s="176"/>
      <c r="AR278" s="92"/>
      <c r="AS278" s="176"/>
      <c r="AT278" s="178"/>
      <c r="AU278" s="178"/>
      <c r="AV278" s="178"/>
      <c r="AW278" s="178"/>
      <c r="AX278" s="178"/>
      <c r="AY278" s="178"/>
      <c r="AZ278" s="176"/>
    </row>
    <row r="279" spans="1:52" s="165" customFormat="1">
      <c r="A279" s="19">
        <f>$E276</f>
        <v>3.0165593738570345E-2</v>
      </c>
      <c r="B279" s="26">
        <f>COS(A279)</f>
        <v>0.99954505297751761</v>
      </c>
      <c r="C279" s="26">
        <f>($C$276+B279)</f>
        <v>1.2613176658182812</v>
      </c>
      <c r="D279" s="26">
        <f>POWER(TAN(A279/2),$C$276)</f>
        <v>0.33356852478458821</v>
      </c>
      <c r="E279" s="26">
        <f>SIN(A279)</f>
        <v>3.0161019017458213E-2</v>
      </c>
      <c r="F279" s="77">
        <f>(C279*$H$276*D279/E279/$I$276/$J$276)</f>
        <v>1.0000000000000002</v>
      </c>
      <c r="G279" s="77">
        <f>$D$276*($C$276+$G$276)/9.81/SIN($C$273)/(1-$C$276*$C$273)*(F279-1)</f>
        <v>2.0631361365428128E-16</v>
      </c>
      <c r="H279" s="75">
        <f>-(-$H$273+$K$276*((POWER(TAN(A279/2),2*$C$276-1)/(2*$C$276-1))+(POWER(TAN(A279/2),2*$C$276+1)/(2*$C$276+1))-(POWER(TAN($E$276/2),2*$C$276-1)/(2*$C$276-1))-(POWER(TAN($E$276/2),2*$C$276+1)/(2*$C$276+1))))</f>
        <v>4.5631354765130777E-2</v>
      </c>
      <c r="I279" s="75">
        <f>-(-$I$273+0.5*$K$276*((POWER(TAN(A279/2),2*$C$276-2)/(2*$C$276-2))-(POWER(TAN(A279/2),2*$C$276+2)/(2*$C$276+2))-(POWER(TAN($E$276/2),2*$C$276-2)/(2*$C$276-2))+(POWER(TAN($E$276/2),2*$C$276+2)/(2*$C$276+2))))</f>
        <v>-0.18321833372345325</v>
      </c>
      <c r="J279" s="77">
        <f>-$D$276*SIN(A279)*($C$276+$G$276)/($C$276+B279)*F279</f>
        <v>-5.2454676014688791E-2</v>
      </c>
      <c r="K279" s="77">
        <f>-$D$276*COS(A279)*($C$276+$G$276)/($C$276+B279)*F279</f>
        <v>-1.738363411583405</v>
      </c>
      <c r="L279" s="91">
        <f>SQRT(J279*J279+K279*K279)</f>
        <v>1.7391546348061464</v>
      </c>
      <c r="M279" s="93"/>
      <c r="N279" s="75">
        <f>-(-$I$273+0.5*$K$276*((POWER(TAN(A279/2),2*$C$276-2)/(2*$C$276-2))-(POWER(TAN(A279/2),2*$C$276+2)/(2*$C$276+2))-(POWER(TAN($E$276/2),2*$C$276-2)/(2*$C$276-2))+(POWER(TAN($E$276/2),2*$C$276+2)/(2*$C$276+2))))-$D$273</f>
        <v>8.7133536242454512E-2</v>
      </c>
      <c r="O279" s="75">
        <f>-(-$I$273+0.5*$K$276*((POWER(TAN((A279+$M$9)/2),2*$C$276-2)/(2*$C$276-2))-(POWER(TAN((A279+$M$9)/2),2*$C$276+2)/(2*$C$276+2))-(POWER(TAN($E$276/2),2*$C$276-2)/(2*$C$276-2))+(POWER(TAN($E$276/2),2*$C$276+2)/(2*$C$276+2))))-$D$273</f>
        <v>0.12512386107988921</v>
      </c>
      <c r="P279" s="75">
        <f>A279-N279/(O279-N279)*$M$9</f>
        <v>2.787202197746249E-2</v>
      </c>
      <c r="AF279" s="176"/>
      <c r="AG279" s="176"/>
      <c r="AH279" s="176"/>
      <c r="AI279" s="176"/>
      <c r="AJ279" s="176"/>
      <c r="AK279" s="176"/>
      <c r="AL279" s="176"/>
      <c r="AM279" s="176"/>
      <c r="AN279" s="176"/>
      <c r="AR279" s="92"/>
      <c r="AS279" s="176"/>
      <c r="AT279" s="178"/>
      <c r="AU279" s="178"/>
      <c r="AV279" s="178"/>
      <c r="AW279" s="178"/>
      <c r="AX279" s="178"/>
      <c r="AY279" s="178"/>
      <c r="AZ279" s="176"/>
    </row>
    <row r="280" spans="1:52" s="165" customFormat="1">
      <c r="A280" s="19">
        <f>P279</f>
        <v>2.787202197746249E-2</v>
      </c>
      <c r="B280" s="26">
        <f t="shared" ref="B280:B289" si="277">COS(A280)</f>
        <v>0.99961160034043095</v>
      </c>
      <c r="C280" s="26">
        <f t="shared" ref="C280:C289" si="278">($C$276+B280)</f>
        <v>1.2613842131811945</v>
      </c>
      <c r="D280" s="26">
        <f t="shared" ref="D280:D289" si="279">POWER(TAN(A280/2),$C$276)</f>
        <v>0.32673348192951457</v>
      </c>
      <c r="E280" s="26">
        <f t="shared" ref="E280:E289" si="280">SIN(A280)</f>
        <v>2.7868413389402127E-2</v>
      </c>
      <c r="F280" s="77">
        <f t="shared" ref="F280:F289" si="281">(C280*$H$276*D280/E280/$I$276/$J$276)</f>
        <v>1.0601449671743364</v>
      </c>
      <c r="G280" s="77">
        <f t="shared" ref="G280:G289" si="282">$D$276*($C$276+$G$276)/9.81/SIN($C$273)/(1-$C$276*$C$273)*(F280-1)</f>
        <v>5.5883931631867431E-2</v>
      </c>
      <c r="H280" s="75">
        <f t="shared" ref="H280:H289" si="283">-(-$H$273+$K$276*((POWER(TAN(A280/2),2*$C$276-1)/(2*$C$276-1))+(POWER(TAN(A280/2),2*$C$276+1)/(2*$C$276+1))-(POWER(TAN($E$276/2),2*$C$276-1)/(2*$C$276-1))-(POWER(TAN($E$276/2),2*$C$276+1)/(2*$C$276+1))))</f>
        <v>4.2730019687744918E-2</v>
      </c>
      <c r="I280" s="75">
        <f t="shared" ref="I280:I289" si="284">-(-$I$273+0.5*$K$276*((POWER(TAN(A280/2),2*$C$276-2)/(2*$C$276-2))-(POWER(TAN(A280/2),2*$C$276+2)/(2*$C$276+2))-(POWER(TAN($E$276/2),2*$C$276-2)/(2*$C$276-2))+(POWER(TAN($E$276/2),2*$C$276+2)/(2*$C$276+2))))</f>
        <v>-0.28330053586141302</v>
      </c>
      <c r="J280" s="77">
        <f t="shared" ref="J280:J289" si="285">-$D$276*SIN(A280)*($C$276+$G$276)/($C$276+B280)*F280</f>
        <v>-5.1379844512702985E-2</v>
      </c>
      <c r="K280" s="77">
        <f t="shared" ref="K280:K289" si="286">-$D$276*COS(A280)*($C$276+$G$276)/($C$276+B280)*F280</f>
        <v>-1.8429426850011061</v>
      </c>
      <c r="L280" s="91">
        <f t="shared" ref="L280:L289" si="287">SQRT(J280*J280+K280*K280)</f>
        <v>1.8436587614364095</v>
      </c>
      <c r="M280" s="93"/>
      <c r="N280" s="75">
        <f t="shared" ref="N280:N289" si="288">-(-$I$273+0.5*$K$276*((POWER(TAN(A280/2),2*$C$276-2)/(2*$C$276-2))-(POWER(TAN(A280/2),2*$C$276+2)/(2*$C$276+2))-(POWER(TAN($E$276/2),2*$C$276-2)/(2*$C$276-2))+(POWER(TAN($E$276/2),2*$C$276+2)/(2*$C$276+2))))-$D$273</f>
        <v>-1.2948665895505251E-2</v>
      </c>
      <c r="O280" s="75">
        <f t="shared" ref="O280:O289" si="289">-(-$I$273+0.5*$K$276*((POWER(TAN((A280+$M$9)/2),2*$C$276-2)/(2*$C$276-2))-(POWER(TAN((A280+$M$9)/2),2*$C$276+2)/(2*$C$276+2))-(POWER(TAN($E$276/2),2*$C$276-2)/(2*$C$276-2))+(POWER(TAN($E$276/2),2*$C$276+2)/(2*$C$276+2))))-$D$273</f>
        <v>3.3109446645133073E-2</v>
      </c>
      <c r="P280" s="75">
        <f t="shared" ref="P280:P289" si="290">A280-N280/(O280-N280)*$M$9</f>
        <v>2.8153159548701005E-2</v>
      </c>
      <c r="AF280" s="176"/>
      <c r="AG280" s="176"/>
      <c r="AH280" s="176"/>
      <c r="AI280" s="176"/>
      <c r="AJ280" s="176"/>
      <c r="AK280" s="176"/>
      <c r="AL280" s="176"/>
      <c r="AM280" s="176"/>
      <c r="AN280" s="176"/>
      <c r="AR280" s="92"/>
      <c r="AS280" s="176"/>
      <c r="AT280" s="178"/>
      <c r="AU280" s="178"/>
      <c r="AV280" s="178"/>
      <c r="AW280" s="178"/>
      <c r="AX280" s="178"/>
      <c r="AY280" s="178"/>
      <c r="AZ280" s="176"/>
    </row>
    <row r="281" spans="1:52" s="165" customFormat="1">
      <c r="A281" s="19">
        <f t="shared" ref="A281:A289" si="291">P280</f>
        <v>2.8153159548701005E-2</v>
      </c>
      <c r="B281" s="26">
        <f t="shared" si="277"/>
        <v>0.99960372597866209</v>
      </c>
      <c r="C281" s="26">
        <f t="shared" si="278"/>
        <v>1.2613763388194257</v>
      </c>
      <c r="D281" s="26">
        <f t="shared" si="279"/>
        <v>0.32759311793054385</v>
      </c>
      <c r="E281" s="26">
        <f t="shared" si="280"/>
        <v>2.8149440661865203E-2</v>
      </c>
      <c r="F281" s="77">
        <f t="shared" si="281"/>
        <v>1.0523159370799233</v>
      </c>
      <c r="G281" s="77">
        <f t="shared" si="282"/>
        <v>4.8609557680148026E-2</v>
      </c>
      <c r="H281" s="75">
        <f t="shared" si="283"/>
        <v>4.3104317076565257E-2</v>
      </c>
      <c r="I281" s="75">
        <f t="shared" si="284"/>
        <v>-0.26994199782602124</v>
      </c>
      <c r="J281" s="77">
        <f t="shared" si="285"/>
        <v>-5.1515024916650484E-2</v>
      </c>
      <c r="K281" s="77">
        <f t="shared" si="286"/>
        <v>-1.8293298069090431</v>
      </c>
      <c r="L281" s="91">
        <f t="shared" si="287"/>
        <v>1.8300550101671917</v>
      </c>
      <c r="M281" s="93"/>
      <c r="N281" s="75">
        <f t="shared" si="288"/>
        <v>4.098721398865246E-4</v>
      </c>
      <c r="O281" s="75">
        <f t="shared" si="289"/>
        <v>4.5356582279265367E-2</v>
      </c>
      <c r="P281" s="75">
        <f t="shared" si="290"/>
        <v>2.8144040479950134E-2</v>
      </c>
      <c r="AF281" s="176"/>
      <c r="AG281" s="176"/>
      <c r="AH281" s="176"/>
      <c r="AI281" s="176"/>
      <c r="AJ281" s="176"/>
      <c r="AK281" s="176"/>
      <c r="AL281" s="176"/>
      <c r="AM281" s="176"/>
      <c r="AN281" s="176"/>
      <c r="AR281" s="92"/>
      <c r="AS281" s="176"/>
      <c r="AT281" s="178"/>
      <c r="AU281" s="178"/>
      <c r="AV281" s="178"/>
      <c r="AW281" s="178"/>
      <c r="AX281" s="178"/>
      <c r="AY281" s="178"/>
      <c r="AZ281" s="176"/>
    </row>
    <row r="282" spans="1:52" s="165" customFormat="1">
      <c r="A282" s="19">
        <f t="shared" si="291"/>
        <v>2.8144040479950134E-2</v>
      </c>
      <c r="B282" s="26">
        <f t="shared" si="277"/>
        <v>0.99960398263378458</v>
      </c>
      <c r="C282" s="26">
        <f t="shared" si="278"/>
        <v>1.2613765954745482</v>
      </c>
      <c r="D282" s="26">
        <f t="shared" si="279"/>
        <v>0.32756533413289962</v>
      </c>
      <c r="E282" s="26">
        <f t="shared" si="280"/>
        <v>2.8140325205594088E-2</v>
      </c>
      <c r="F282" s="77">
        <f t="shared" si="281"/>
        <v>1.0525677486475522</v>
      </c>
      <c r="G282" s="77">
        <f t="shared" si="282"/>
        <v>4.8843529383693823E-2</v>
      </c>
      <c r="H282" s="75">
        <f t="shared" si="283"/>
        <v>4.3092262908643091E-2</v>
      </c>
      <c r="I282" s="75">
        <f t="shared" si="284"/>
        <v>-0.27037011802836464</v>
      </c>
      <c r="J282" s="77">
        <f t="shared" si="285"/>
        <v>-5.1510655829055001E-2</v>
      </c>
      <c r="K282" s="77">
        <f t="shared" si="286"/>
        <v>-1.8297676497557203</v>
      </c>
      <c r="L282" s="91">
        <f t="shared" si="287"/>
        <v>1.8304925565968608</v>
      </c>
      <c r="M282" s="93"/>
      <c r="N282" s="75">
        <f t="shared" si="288"/>
        <v>-1.8248062456871494E-5</v>
      </c>
      <c r="O282" s="75">
        <f t="shared" si="289"/>
        <v>4.4963917888511368E-2</v>
      </c>
      <c r="P282" s="75">
        <f t="shared" si="290"/>
        <v>2.8144446153222442E-2</v>
      </c>
      <c r="AF282" s="176"/>
      <c r="AG282" s="176"/>
      <c r="AH282" s="176"/>
      <c r="AI282" s="176"/>
      <c r="AJ282" s="176"/>
      <c r="AK282" s="176"/>
      <c r="AL282" s="176"/>
      <c r="AM282" s="176"/>
      <c r="AN282" s="176"/>
      <c r="AR282" s="92"/>
      <c r="AS282" s="176"/>
      <c r="AT282" s="178"/>
      <c r="AU282" s="178"/>
      <c r="AV282" s="178"/>
      <c r="AW282" s="178"/>
      <c r="AX282" s="178"/>
      <c r="AY282" s="178"/>
      <c r="AZ282" s="176"/>
    </row>
    <row r="283" spans="1:52" s="165" customFormat="1">
      <c r="A283" s="19">
        <f t="shared" si="291"/>
        <v>2.8144446153222442E-2</v>
      </c>
      <c r="B283" s="26">
        <f t="shared" si="277"/>
        <v>0.99960397121792444</v>
      </c>
      <c r="C283" s="26">
        <f t="shared" si="278"/>
        <v>1.2613765840586879</v>
      </c>
      <c r="D283" s="26">
        <f t="shared" si="279"/>
        <v>0.32756657027135144</v>
      </c>
      <c r="E283" s="26">
        <f t="shared" si="280"/>
        <v>2.8140730718210417E-2</v>
      </c>
      <c r="F283" s="77">
        <f t="shared" si="281"/>
        <v>1.052556543479247</v>
      </c>
      <c r="G283" s="77">
        <f t="shared" si="282"/>
        <v>4.8833118057710762E-2</v>
      </c>
      <c r="H283" s="75">
        <f t="shared" si="283"/>
        <v>4.3092799276010167E-2</v>
      </c>
      <c r="I283" s="75">
        <f t="shared" si="284"/>
        <v>-0.27035106526027192</v>
      </c>
      <c r="J283" s="77">
        <f t="shared" si="285"/>
        <v>-5.1510850215626819E-2</v>
      </c>
      <c r="K283" s="77">
        <f t="shared" si="286"/>
        <v>-1.8297481665261721</v>
      </c>
      <c r="L283" s="91">
        <f t="shared" si="287"/>
        <v>1.8304730865532619</v>
      </c>
      <c r="M283" s="93"/>
      <c r="N283" s="75">
        <f t="shared" si="288"/>
        <v>8.0470563584844612E-7</v>
      </c>
      <c r="O283" s="75">
        <f t="shared" si="289"/>
        <v>4.4981392525678149E-2</v>
      </c>
      <c r="P283" s="75">
        <f t="shared" si="290"/>
        <v>2.814442826315753E-2</v>
      </c>
      <c r="AF283" s="176"/>
      <c r="AG283" s="176"/>
      <c r="AH283" s="176"/>
      <c r="AI283" s="176"/>
      <c r="AJ283" s="176"/>
      <c r="AK283" s="176"/>
      <c r="AL283" s="176"/>
      <c r="AM283" s="176"/>
      <c r="AN283" s="176"/>
      <c r="AR283" s="92"/>
      <c r="AS283" s="176"/>
      <c r="AT283" s="178"/>
      <c r="AU283" s="178"/>
      <c r="AV283" s="178"/>
      <c r="AW283" s="178"/>
      <c r="AX283" s="178"/>
      <c r="AY283" s="178"/>
      <c r="AZ283" s="176"/>
    </row>
    <row r="284" spans="1:52" s="165" customFormat="1">
      <c r="A284" s="19">
        <f t="shared" si="291"/>
        <v>2.814442826315753E-2</v>
      </c>
      <c r="B284" s="26">
        <f t="shared" si="277"/>
        <v>0.99960397172136384</v>
      </c>
      <c r="C284" s="26">
        <f t="shared" si="278"/>
        <v>1.2613765845621274</v>
      </c>
      <c r="D284" s="26">
        <f t="shared" si="279"/>
        <v>0.32756651575830792</v>
      </c>
      <c r="E284" s="26">
        <f t="shared" si="280"/>
        <v>2.814071283523048E-2</v>
      </c>
      <c r="F284" s="77">
        <f t="shared" si="281"/>
        <v>1.0525570376177622</v>
      </c>
      <c r="G284" s="77">
        <f t="shared" si="282"/>
        <v>4.8833577188446026E-2</v>
      </c>
      <c r="H284" s="75">
        <f t="shared" si="283"/>
        <v>4.3092775622616875E-2</v>
      </c>
      <c r="I284" s="75">
        <f t="shared" si="284"/>
        <v>-0.27035190546707516</v>
      </c>
      <c r="J284" s="77">
        <f t="shared" si="285"/>
        <v>-5.1510841643283109E-2</v>
      </c>
      <c r="K284" s="77">
        <f t="shared" si="286"/>
        <v>-1.82974902572024</v>
      </c>
      <c r="L284" s="91">
        <f t="shared" si="287"/>
        <v>1.8304739451658323</v>
      </c>
      <c r="M284" s="93"/>
      <c r="N284" s="75">
        <f t="shared" si="288"/>
        <v>-3.5501167394702549E-8</v>
      </c>
      <c r="O284" s="75">
        <f t="shared" si="289"/>
        <v>4.4980621912320856E-2</v>
      </c>
      <c r="P284" s="75">
        <f t="shared" si="290"/>
        <v>2.8144429052411608E-2</v>
      </c>
      <c r="AF284" s="176"/>
      <c r="AG284" s="176"/>
      <c r="AH284" s="176"/>
      <c r="AI284" s="176"/>
      <c r="AJ284" s="176"/>
      <c r="AK284" s="176"/>
      <c r="AL284" s="176"/>
      <c r="AM284" s="176"/>
      <c r="AN284" s="176"/>
      <c r="AR284" s="92"/>
      <c r="AS284" s="176"/>
      <c r="AT284" s="178"/>
      <c r="AU284" s="178"/>
      <c r="AV284" s="178"/>
      <c r="AW284" s="178"/>
      <c r="AX284" s="178"/>
      <c r="AY284" s="178"/>
      <c r="AZ284" s="176"/>
    </row>
    <row r="285" spans="1:52" s="165" customFormat="1">
      <c r="A285" s="19">
        <f t="shared" si="291"/>
        <v>2.8144429052411608E-2</v>
      </c>
      <c r="B285" s="26">
        <f t="shared" si="277"/>
        <v>0.9996039716991536</v>
      </c>
      <c r="C285" s="26">
        <f t="shared" si="278"/>
        <v>1.2613765845399172</v>
      </c>
      <c r="D285" s="26">
        <f t="shared" si="279"/>
        <v>0.32756651816325461</v>
      </c>
      <c r="E285" s="26">
        <f t="shared" si="280"/>
        <v>2.8140713624171993E-2</v>
      </c>
      <c r="F285" s="77">
        <f t="shared" si="281"/>
        <v>1.052557015817895</v>
      </c>
      <c r="G285" s="77">
        <f t="shared" si="282"/>
        <v>4.8833556933014062E-2</v>
      </c>
      <c r="H285" s="75">
        <f t="shared" si="283"/>
        <v>4.309277666613158E-2</v>
      </c>
      <c r="I285" s="75">
        <f t="shared" si="284"/>
        <v>-0.27035186839973269</v>
      </c>
      <c r="J285" s="77">
        <f t="shared" si="285"/>
        <v>-5.1510842021468384E-2</v>
      </c>
      <c r="K285" s="77">
        <f t="shared" si="286"/>
        <v>-1.8297489878152475</v>
      </c>
      <c r="L285" s="91">
        <f t="shared" si="287"/>
        <v>1.8304739072864937</v>
      </c>
      <c r="M285" s="93"/>
      <c r="N285" s="75">
        <f t="shared" si="288"/>
        <v>1.5661750785156414E-9</v>
      </c>
      <c r="O285" s="75">
        <f t="shared" si="289"/>
        <v>4.4980655909412748E-2</v>
      </c>
      <c r="P285" s="75">
        <f t="shared" si="290"/>
        <v>2.8144429017592749E-2</v>
      </c>
      <c r="AF285" s="176"/>
      <c r="AG285" s="176"/>
      <c r="AH285" s="176"/>
      <c r="AI285" s="176"/>
      <c r="AJ285" s="176"/>
      <c r="AK285" s="176"/>
      <c r="AL285" s="176"/>
      <c r="AM285" s="176"/>
      <c r="AN285" s="176"/>
      <c r="AR285" s="92"/>
      <c r="AS285" s="176"/>
      <c r="AT285" s="178"/>
      <c r="AU285" s="178"/>
      <c r="AV285" s="178"/>
      <c r="AW285" s="178"/>
      <c r="AX285" s="178"/>
      <c r="AY285" s="178"/>
      <c r="AZ285" s="176"/>
    </row>
    <row r="286" spans="1:52" s="165" customFormat="1">
      <c r="A286" s="19">
        <f t="shared" si="291"/>
        <v>2.8144429017592749E-2</v>
      </c>
      <c r="B286" s="26">
        <f t="shared" si="277"/>
        <v>0.99960397170013349</v>
      </c>
      <c r="C286" s="26">
        <f t="shared" si="278"/>
        <v>1.2613765845408971</v>
      </c>
      <c r="D286" s="26">
        <f t="shared" si="279"/>
        <v>0.32756651805715759</v>
      </c>
      <c r="E286" s="26">
        <f t="shared" si="280"/>
        <v>2.8140713589366925E-2</v>
      </c>
      <c r="F286" s="77">
        <f t="shared" si="281"/>
        <v>1.0525570167796212</v>
      </c>
      <c r="G286" s="77">
        <f t="shared" si="282"/>
        <v>4.883355782660577E-2</v>
      </c>
      <c r="H286" s="75">
        <f t="shared" si="283"/>
        <v>4.3092776620095696E-2</v>
      </c>
      <c r="I286" s="75">
        <f t="shared" si="284"/>
        <v>-0.27035187003500266</v>
      </c>
      <c r="J286" s="77">
        <f t="shared" si="285"/>
        <v>-5.1510842004784299E-2</v>
      </c>
      <c r="K286" s="77">
        <f t="shared" si="286"/>
        <v>-1.8297489894874701</v>
      </c>
      <c r="L286" s="91">
        <f t="shared" si="287"/>
        <v>1.8304739089575848</v>
      </c>
      <c r="M286" s="93"/>
      <c r="N286" s="75">
        <f t="shared" si="288"/>
        <v>-6.9094896471000311E-11</v>
      </c>
      <c r="O286" s="75">
        <f t="shared" si="289"/>
        <v>4.4980654409590454E-2</v>
      </c>
      <c r="P286" s="75">
        <f t="shared" si="290"/>
        <v>2.814442901912885E-2</v>
      </c>
      <c r="AF286" s="176"/>
      <c r="AG286" s="176"/>
      <c r="AH286" s="176"/>
      <c r="AI286" s="176"/>
      <c r="AJ286" s="176"/>
      <c r="AK286" s="176"/>
      <c r="AL286" s="176"/>
      <c r="AM286" s="176"/>
      <c r="AN286" s="176"/>
      <c r="AR286" s="92"/>
      <c r="AS286" s="176"/>
      <c r="AT286" s="178"/>
      <c r="AU286" s="178"/>
      <c r="AV286" s="178"/>
      <c r="AW286" s="178"/>
      <c r="AX286" s="178"/>
      <c r="AY286" s="178"/>
      <c r="AZ286" s="176"/>
    </row>
    <row r="287" spans="1:52" s="165" customFormat="1">
      <c r="A287" s="19">
        <f t="shared" si="291"/>
        <v>2.814442901912885E-2</v>
      </c>
      <c r="B287" s="26">
        <f t="shared" si="277"/>
        <v>0.99960397170009019</v>
      </c>
      <c r="C287" s="26">
        <f t="shared" si="278"/>
        <v>1.2613765845408538</v>
      </c>
      <c r="D287" s="26">
        <f t="shared" si="279"/>
        <v>0.32756651806183823</v>
      </c>
      <c r="E287" s="26">
        <f t="shared" si="280"/>
        <v>2.8140713590902415E-2</v>
      </c>
      <c r="F287" s="77">
        <f t="shared" si="281"/>
        <v>1.0525570167371927</v>
      </c>
      <c r="G287" s="77">
        <f t="shared" si="282"/>
        <v>4.8833557787183159E-2</v>
      </c>
      <c r="H287" s="75">
        <f t="shared" si="283"/>
        <v>4.3092776622126648E-2</v>
      </c>
      <c r="I287" s="75">
        <f t="shared" si="284"/>
        <v>-0.27035186996285948</v>
      </c>
      <c r="J287" s="77">
        <f t="shared" si="285"/>
        <v>-5.1510842005520342E-2</v>
      </c>
      <c r="K287" s="77">
        <f t="shared" si="286"/>
        <v>-1.8297489894136969</v>
      </c>
      <c r="L287" s="91">
        <f t="shared" si="287"/>
        <v>1.8304739088838615</v>
      </c>
      <c r="M287" s="93"/>
      <c r="N287" s="75">
        <f t="shared" si="288"/>
        <v>3.0482838475620611E-12</v>
      </c>
      <c r="O287" s="75">
        <f t="shared" si="289"/>
        <v>4.4980654475758469E-2</v>
      </c>
      <c r="P287" s="75">
        <f t="shared" si="290"/>
        <v>2.8144429019061081E-2</v>
      </c>
      <c r="AF287" s="176"/>
      <c r="AG287" s="176"/>
      <c r="AH287" s="176"/>
      <c r="AI287" s="176"/>
      <c r="AJ287" s="176"/>
      <c r="AK287" s="176"/>
      <c r="AL287" s="176"/>
      <c r="AM287" s="176"/>
      <c r="AN287" s="176"/>
      <c r="AR287" s="92"/>
      <c r="AS287" s="176"/>
      <c r="AT287" s="178"/>
      <c r="AU287" s="178"/>
      <c r="AV287" s="178"/>
      <c r="AW287" s="178"/>
      <c r="AX287" s="178"/>
      <c r="AY287" s="178"/>
      <c r="AZ287" s="176"/>
    </row>
    <row r="288" spans="1:52" s="165" customFormat="1">
      <c r="A288" s="19">
        <f t="shared" si="291"/>
        <v>2.8144429019061081E-2</v>
      </c>
      <c r="B288" s="26">
        <f t="shared" si="277"/>
        <v>0.99960397170009219</v>
      </c>
      <c r="C288" s="26">
        <f t="shared" si="278"/>
        <v>1.2613765845408558</v>
      </c>
      <c r="D288" s="26">
        <f t="shared" si="279"/>
        <v>0.32756651806163173</v>
      </c>
      <c r="E288" s="26">
        <f t="shared" si="280"/>
        <v>2.8140713590834674E-2</v>
      </c>
      <c r="F288" s="77">
        <f t="shared" si="281"/>
        <v>1.0525570167390645</v>
      </c>
      <c r="G288" s="77">
        <f t="shared" si="282"/>
        <v>4.8833557788922385E-2</v>
      </c>
      <c r="H288" s="75">
        <f t="shared" si="283"/>
        <v>4.3092776622037067E-2</v>
      </c>
      <c r="I288" s="75">
        <f t="shared" si="284"/>
        <v>-0.27035186996604132</v>
      </c>
      <c r="J288" s="77">
        <f t="shared" si="285"/>
        <v>-5.1510842005487868E-2</v>
      </c>
      <c r="K288" s="77">
        <f t="shared" si="286"/>
        <v>-1.8297489894169514</v>
      </c>
      <c r="L288" s="91">
        <f t="shared" si="287"/>
        <v>1.8304739088871136</v>
      </c>
      <c r="M288" s="93"/>
      <c r="N288" s="75">
        <f t="shared" si="288"/>
        <v>-1.3355982986240633E-13</v>
      </c>
      <c r="O288" s="75">
        <f t="shared" si="289"/>
        <v>4.4980654472839249E-2</v>
      </c>
      <c r="P288" s="75">
        <f t="shared" si="290"/>
        <v>2.8144429019064051E-2</v>
      </c>
      <c r="AF288" s="176"/>
      <c r="AG288" s="176"/>
      <c r="AH288" s="176"/>
      <c r="AI288" s="176"/>
      <c r="AJ288" s="176"/>
      <c r="AK288" s="176"/>
      <c r="AL288" s="176"/>
      <c r="AM288" s="176"/>
      <c r="AN288" s="176"/>
      <c r="AR288" s="92"/>
      <c r="AS288" s="176"/>
      <c r="AT288" s="178"/>
      <c r="AU288" s="178"/>
      <c r="AV288" s="178"/>
      <c r="AW288" s="178"/>
      <c r="AX288" s="178"/>
      <c r="AY288" s="178"/>
      <c r="AZ288" s="176"/>
    </row>
    <row r="289" spans="1:52" s="165" customFormat="1">
      <c r="A289" s="19">
        <f t="shared" si="291"/>
        <v>2.8144429019064051E-2</v>
      </c>
      <c r="B289" s="26">
        <f t="shared" si="277"/>
        <v>0.99960397170009208</v>
      </c>
      <c r="C289" s="26">
        <f t="shared" si="278"/>
        <v>1.2613765845408555</v>
      </c>
      <c r="D289" s="26">
        <f t="shared" si="279"/>
        <v>0.32756651806164083</v>
      </c>
      <c r="E289" s="26">
        <f t="shared" si="280"/>
        <v>2.8140713590837644E-2</v>
      </c>
      <c r="F289" s="77">
        <f t="shared" si="281"/>
        <v>1.0525570167389826</v>
      </c>
      <c r="G289" s="77">
        <f t="shared" si="282"/>
        <v>4.8833557788846252E-2</v>
      </c>
      <c r="H289" s="75">
        <f t="shared" si="283"/>
        <v>4.3092776622040987E-2</v>
      </c>
      <c r="I289" s="75">
        <f t="shared" si="284"/>
        <v>-0.27035186996590144</v>
      </c>
      <c r="J289" s="77">
        <f t="shared" si="285"/>
        <v>-5.1510842005489305E-2</v>
      </c>
      <c r="K289" s="77">
        <f t="shared" si="286"/>
        <v>-1.8297489894168091</v>
      </c>
      <c r="L289" s="91">
        <f t="shared" si="287"/>
        <v>1.8304739088869715</v>
      </c>
      <c r="M289" s="93"/>
      <c r="N289" s="75">
        <f t="shared" si="288"/>
        <v>6.3282712403633923E-15</v>
      </c>
      <c r="O289" s="75">
        <f t="shared" si="289"/>
        <v>4.4980654472966813E-2</v>
      </c>
      <c r="P289" s="75">
        <f t="shared" si="290"/>
        <v>2.8144429019063909E-2</v>
      </c>
      <c r="AF289" s="176"/>
      <c r="AG289" s="176"/>
      <c r="AH289" s="176"/>
      <c r="AI289" s="176"/>
      <c r="AJ289" s="176"/>
      <c r="AK289" s="176"/>
      <c r="AL289" s="176"/>
      <c r="AM289" s="176"/>
      <c r="AN289" s="176"/>
      <c r="AR289" s="92"/>
      <c r="AS289" s="176"/>
      <c r="AT289" s="178"/>
      <c r="AU289" s="178"/>
      <c r="AV289" s="178"/>
      <c r="AW289" s="178"/>
      <c r="AX289" s="178"/>
      <c r="AY289" s="178"/>
      <c r="AZ289" s="176"/>
    </row>
    <row r="290" spans="1:52" s="165" customFormat="1">
      <c r="A290" s="88" t="s">
        <v>60</v>
      </c>
      <c r="B290" s="8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AF290" s="176"/>
      <c r="AG290" s="176"/>
      <c r="AH290" s="176"/>
      <c r="AI290" s="176"/>
      <c r="AJ290" s="176"/>
      <c r="AK290" s="176"/>
      <c r="AL290" s="176"/>
      <c r="AM290" s="176"/>
      <c r="AN290" s="176"/>
      <c r="AR290" s="92"/>
      <c r="AS290" s="176"/>
      <c r="AT290" s="178"/>
      <c r="AU290" s="178"/>
      <c r="AV290" s="178"/>
      <c r="AW290" s="178"/>
      <c r="AX290" s="178"/>
      <c r="AY290" s="178"/>
      <c r="AZ290" s="176"/>
    </row>
    <row r="291" spans="1:52" s="165" customFormat="1">
      <c r="A291" s="26" t="s">
        <v>11</v>
      </c>
      <c r="B291" s="26" t="s">
        <v>13</v>
      </c>
      <c r="C291" s="26" t="s">
        <v>22</v>
      </c>
      <c r="D291" s="26" t="s">
        <v>18</v>
      </c>
      <c r="E291" s="26" t="s">
        <v>19</v>
      </c>
      <c r="F291" s="26" t="s">
        <v>20</v>
      </c>
      <c r="G291" s="26" t="s">
        <v>2</v>
      </c>
      <c r="H291" s="26" t="s">
        <v>1</v>
      </c>
      <c r="I291" s="26" t="s">
        <v>0</v>
      </c>
      <c r="J291" s="76" t="s">
        <v>3</v>
      </c>
      <c r="K291" s="76" t="s">
        <v>4</v>
      </c>
      <c r="L291" s="44" t="s">
        <v>7</v>
      </c>
      <c r="M291" s="28"/>
      <c r="N291" s="28"/>
      <c r="O291" s="28"/>
      <c r="P291" s="31"/>
      <c r="AF291" s="176"/>
      <c r="AG291" s="176"/>
      <c r="AH291" s="176"/>
      <c r="AI291" s="176"/>
      <c r="AJ291" s="176"/>
      <c r="AK291" s="176"/>
      <c r="AL291" s="176"/>
      <c r="AM291" s="176"/>
      <c r="AN291" s="176"/>
      <c r="AR291" s="92"/>
      <c r="AS291" s="176"/>
      <c r="AT291" s="178"/>
      <c r="AU291" s="178"/>
      <c r="AV291" s="178"/>
      <c r="AW291" s="178"/>
      <c r="AX291" s="178"/>
      <c r="AY291" s="178"/>
      <c r="AZ291" s="176"/>
    </row>
    <row r="292" spans="1:52" s="165" customFormat="1">
      <c r="A292" s="19">
        <f>$E276</f>
        <v>3.0165593738570345E-2</v>
      </c>
      <c r="B292" s="26">
        <f t="shared" ref="B292:B297" si="292">COS(A292)</f>
        <v>0.99954505297751761</v>
      </c>
      <c r="C292" s="26">
        <f t="shared" ref="C292:C297" si="293">($C$276+B292)</f>
        <v>1.2613176658182812</v>
      </c>
      <c r="D292" s="26">
        <f t="shared" ref="D292:D297" si="294">POWER(TAN(A292/2),$C$276)</f>
        <v>0.33356852478458821</v>
      </c>
      <c r="E292" s="26">
        <f t="shared" ref="E292:E297" si="295">SIN(A292)</f>
        <v>3.0161019017458213E-2</v>
      </c>
      <c r="F292" s="77">
        <f t="shared" ref="F292:F297" si="296">(C292*$H$276*D292/E292/$I$276/$J$276)</f>
        <v>1.0000000000000002</v>
      </c>
      <c r="G292" s="77">
        <f t="shared" ref="G292:G297" si="297">$D$276*($C$276+$G$276)/9.81/SIN($C$273)/(1-$C$276*$C$273)*(F292-1)</f>
        <v>2.0631361365428128E-16</v>
      </c>
      <c r="H292" s="121">
        <f t="shared" ref="H292:H297" si="298">-(-$H$273+$K$276*((POWER(TAN(A292/2),2*$C$276-1)/(2*$C$276-1))+(POWER(TAN(A292/2),2*$C$276+1)/(2*$C$276+1))-(POWER(TAN($E$276/2),2*$C$276-1)/(2*$C$276-1))-(POWER(TAN($E$276/2),2*$C$276+1)/(2*$C$276+1))))</f>
        <v>4.5631354765130777E-2</v>
      </c>
      <c r="I292" s="121">
        <f t="shared" ref="I292:I297" si="299">-(-$I$273+0.5*$K$276*((POWER(TAN(A292/2),2*$C$276-2)/(2*$C$276-2))-(POWER(TAN(A292/2),2*$C$276+2)/(2*$C$276+2))-(POWER(TAN($E$276/2),2*$C$276-2)/(2*$C$276-2))+(POWER(TAN($E$276/2),2*$C$276+2)/(2*$C$276+2))))</f>
        <v>-0.18321833372345325</v>
      </c>
      <c r="J292" s="77">
        <f t="shared" ref="J292:J297" si="300">-$D$276*SIN(A292)*($C$276+$G$276)/($C$276+B292)*F292</f>
        <v>-5.2454676014688791E-2</v>
      </c>
      <c r="K292" s="77">
        <f t="shared" ref="K292:K297" si="301">-$D$276*COS(A292)*($C$276+$G$276)/($C$276+B292)*F292</f>
        <v>-1.738363411583405</v>
      </c>
      <c r="L292" s="91">
        <f t="shared" ref="L292:L297" si="302">SQRT(J292*J292+K292*K292)</f>
        <v>1.7391546348061464</v>
      </c>
      <c r="M292" s="28"/>
      <c r="N292" s="28"/>
      <c r="O292" s="28"/>
      <c r="P292" s="31"/>
      <c r="AF292" s="176"/>
      <c r="AG292" s="176"/>
      <c r="AH292" s="176"/>
      <c r="AI292" s="176"/>
      <c r="AJ292" s="176"/>
      <c r="AK292" s="176"/>
      <c r="AL292" s="176"/>
      <c r="AM292" s="176"/>
      <c r="AN292" s="176"/>
      <c r="AR292" s="92"/>
      <c r="AS292" s="176"/>
      <c r="AT292" s="178"/>
      <c r="AU292" s="178"/>
      <c r="AV292" s="178"/>
      <c r="AW292" s="178"/>
      <c r="AX292" s="178"/>
      <c r="AY292" s="178"/>
      <c r="AZ292" s="176"/>
    </row>
    <row r="293" spans="1:52" s="165" customFormat="1">
      <c r="A293" s="20">
        <f>A292-$F$276</f>
        <v>2.9781360794669087E-2</v>
      </c>
      <c r="B293" s="26">
        <f t="shared" si="292"/>
        <v>0.999556568050467</v>
      </c>
      <c r="C293" s="26">
        <f t="shared" si="293"/>
        <v>1.2613291808912306</v>
      </c>
      <c r="D293" s="26">
        <f t="shared" si="294"/>
        <v>0.33245086628537313</v>
      </c>
      <c r="E293" s="26">
        <f t="shared" si="295"/>
        <v>2.9776958662230475E-2</v>
      </c>
      <c r="F293" s="77">
        <f t="shared" si="296"/>
        <v>1.0095132929429707</v>
      </c>
      <c r="G293" s="77">
        <f t="shared" si="297"/>
        <v>8.839313368945485E-3</v>
      </c>
      <c r="H293" s="121">
        <f t="shared" si="298"/>
        <v>4.5168407630230806E-2</v>
      </c>
      <c r="I293" s="121">
        <f t="shared" si="299"/>
        <v>-0.19865945798041421</v>
      </c>
      <c r="J293" s="77">
        <f t="shared" si="300"/>
        <v>-5.2278920779660974E-2</v>
      </c>
      <c r="K293" s="77">
        <f t="shared" si="301"/>
        <v>-1.7549051677390448</v>
      </c>
      <c r="L293" s="91">
        <f t="shared" si="302"/>
        <v>1.7556836939822309</v>
      </c>
      <c r="M293" s="28"/>
      <c r="N293" s="28"/>
      <c r="O293" s="28"/>
      <c r="P293" s="31"/>
      <c r="AF293" s="176"/>
      <c r="AG293" s="176"/>
      <c r="AH293" s="176"/>
      <c r="AI293" s="176"/>
      <c r="AJ293" s="176"/>
      <c r="AK293" s="176"/>
      <c r="AL293" s="176"/>
      <c r="AM293" s="176"/>
      <c r="AN293" s="176"/>
      <c r="AR293" s="92"/>
      <c r="AS293" s="176"/>
      <c r="AT293" s="178"/>
      <c r="AU293" s="178"/>
      <c r="AV293" s="178"/>
      <c r="AW293" s="178"/>
      <c r="AX293" s="178"/>
      <c r="AY293" s="178"/>
      <c r="AZ293" s="176"/>
    </row>
    <row r="294" spans="1:52" s="165" customFormat="1">
      <c r="A294" s="20">
        <f>A293-$F$276</f>
        <v>2.939712785076783E-2</v>
      </c>
      <c r="B294" s="26">
        <f t="shared" si="292"/>
        <v>0.99956793555392898</v>
      </c>
      <c r="C294" s="26">
        <f t="shared" si="293"/>
        <v>1.2613405483946925</v>
      </c>
      <c r="D294" s="26">
        <f t="shared" si="294"/>
        <v>0.33132251629976944</v>
      </c>
      <c r="E294" s="26">
        <f t="shared" si="295"/>
        <v>2.9392893910882831E-2</v>
      </c>
      <c r="F294" s="77">
        <f t="shared" si="296"/>
        <v>1.0192422758761879</v>
      </c>
      <c r="G294" s="77">
        <f t="shared" si="297"/>
        <v>1.7879035936447497E-2</v>
      </c>
      <c r="H294" s="121">
        <f t="shared" si="298"/>
        <v>4.4696560964278834E-2</v>
      </c>
      <c r="I294" s="121">
        <f t="shared" si="299"/>
        <v>-0.21460191894960789</v>
      </c>
      <c r="J294" s="77">
        <f t="shared" si="300"/>
        <v>-5.2101484275529658E-2</v>
      </c>
      <c r="K294" s="77">
        <f t="shared" si="301"/>
        <v>-1.7718218979895763</v>
      </c>
      <c r="L294" s="91">
        <f t="shared" si="302"/>
        <v>1.7725877701425952</v>
      </c>
      <c r="M294" s="45"/>
      <c r="N294" s="28"/>
      <c r="O294" s="28"/>
      <c r="P294" s="31"/>
      <c r="AF294" s="176"/>
      <c r="AG294" s="176"/>
      <c r="AH294" s="176"/>
      <c r="AI294" s="176"/>
      <c r="AJ294" s="176"/>
      <c r="AK294" s="176"/>
      <c r="AL294" s="176"/>
      <c r="AM294" s="176"/>
      <c r="AN294" s="176"/>
      <c r="AR294" s="92"/>
      <c r="AS294" s="176"/>
      <c r="AT294" s="178"/>
      <c r="AU294" s="178"/>
      <c r="AV294" s="178"/>
      <c r="AW294" s="178"/>
      <c r="AX294" s="178"/>
      <c r="AY294" s="178"/>
      <c r="AZ294" s="176"/>
    </row>
    <row r="295" spans="1:52" s="165" customFormat="1">
      <c r="A295" s="20">
        <f>A294-$F$276</f>
        <v>2.9012894906866572E-2</v>
      </c>
      <c r="B295" s="26">
        <f t="shared" si="292"/>
        <v>0.99957915548622556</v>
      </c>
      <c r="C295" s="26">
        <f t="shared" si="293"/>
        <v>1.261351768326989</v>
      </c>
      <c r="D295" s="26">
        <f t="shared" si="294"/>
        <v>0.33018323065421495</v>
      </c>
      <c r="E295" s="26">
        <f t="shared" si="295"/>
        <v>2.9008824820116665E-2</v>
      </c>
      <c r="F295" s="77">
        <f t="shared" si="296"/>
        <v>1.0291947573808216</v>
      </c>
      <c r="G295" s="77">
        <f t="shared" si="297"/>
        <v>2.7126423076259509E-2</v>
      </c>
      <c r="H295" s="121">
        <f t="shared" si="298"/>
        <v>4.4215523862311354E-2</v>
      </c>
      <c r="I295" s="121">
        <f t="shared" si="299"/>
        <v>-0.23106887067037729</v>
      </c>
      <c r="J295" s="77">
        <f t="shared" si="300"/>
        <v>-5.1922328105251478E-2</v>
      </c>
      <c r="K295" s="77">
        <f t="shared" si="301"/>
        <v>-1.7891271776833484</v>
      </c>
      <c r="L295" s="91">
        <f t="shared" si="302"/>
        <v>1.7898804390464333</v>
      </c>
      <c r="M295" s="45"/>
      <c r="N295" s="28"/>
      <c r="O295" s="28"/>
      <c r="P295" s="31"/>
      <c r="AF295" s="176"/>
      <c r="AG295" s="176"/>
      <c r="AH295" s="176"/>
      <c r="AI295" s="176"/>
      <c r="AJ295" s="176"/>
      <c r="AK295" s="176"/>
      <c r="AL295" s="176"/>
      <c r="AM295" s="176"/>
      <c r="AN295" s="176"/>
      <c r="AR295" s="92"/>
      <c r="AS295" s="176"/>
      <c r="AT295" s="178"/>
      <c r="AU295" s="178"/>
      <c r="AV295" s="178"/>
      <c r="AW295" s="178"/>
      <c r="AX295" s="178"/>
      <c r="AY295" s="178"/>
      <c r="AZ295" s="176"/>
    </row>
    <row r="296" spans="1:52" s="165" customFormat="1">
      <c r="A296" s="20">
        <f>A295-$F$276</f>
        <v>2.8628661962965315E-2</v>
      </c>
      <c r="B296" s="26">
        <f t="shared" si="292"/>
        <v>0.99959022784569995</v>
      </c>
      <c r="C296" s="26">
        <f t="shared" si="293"/>
        <v>1.2613628406864636</v>
      </c>
      <c r="D296" s="26">
        <f t="shared" si="294"/>
        <v>0.32903275627666451</v>
      </c>
      <c r="E296" s="26">
        <f t="shared" si="295"/>
        <v>2.8624751446634001E-2</v>
      </c>
      <c r="F296" s="77">
        <f t="shared" si="296"/>
        <v>1.0393789371309725</v>
      </c>
      <c r="G296" s="77">
        <f t="shared" si="297"/>
        <v>3.6589093547662335E-2</v>
      </c>
      <c r="H296" s="121">
        <f t="shared" si="298"/>
        <v>4.3724991893077922E-2</v>
      </c>
      <c r="I296" s="121">
        <f t="shared" si="299"/>
        <v>-0.24808486267640639</v>
      </c>
      <c r="J296" s="77">
        <f t="shared" si="300"/>
        <v>-5.1741412472469342E-2</v>
      </c>
      <c r="K296" s="77">
        <f t="shared" si="301"/>
        <v>-1.8068352620925823</v>
      </c>
      <c r="L296" s="91">
        <f t="shared" si="302"/>
        <v>1.8075759563862916</v>
      </c>
      <c r="M296" s="45"/>
      <c r="N296" s="28"/>
      <c r="O296" s="28"/>
      <c r="P296" s="89"/>
      <c r="AF296" s="176"/>
      <c r="AG296" s="176"/>
      <c r="AH296" s="176"/>
      <c r="AI296" s="176"/>
      <c r="AJ296" s="176"/>
      <c r="AK296" s="176"/>
      <c r="AL296" s="176"/>
      <c r="AM296" s="176"/>
      <c r="AN296" s="176"/>
      <c r="AR296" s="92"/>
      <c r="AS296" s="176"/>
      <c r="AT296" s="178"/>
      <c r="AU296" s="178"/>
      <c r="AV296" s="178"/>
      <c r="AW296" s="178"/>
      <c r="AX296" s="178"/>
      <c r="AY296" s="178"/>
      <c r="AZ296" s="176"/>
    </row>
    <row r="297" spans="1:52" s="165" customFormat="1">
      <c r="A297" s="20">
        <f>A296-$F$276</f>
        <v>2.8244429019064057E-2</v>
      </c>
      <c r="B297" s="26">
        <f t="shared" si="292"/>
        <v>0.9996011526307178</v>
      </c>
      <c r="C297" s="26">
        <f t="shared" si="293"/>
        <v>1.2613737654714814</v>
      </c>
      <c r="D297" s="26">
        <f t="shared" si="294"/>
        <v>0.32787083074787776</v>
      </c>
      <c r="E297" s="26">
        <f t="shared" si="295"/>
        <v>2.8240673847137489E-2</v>
      </c>
      <c r="F297" s="77">
        <f t="shared" si="296"/>
        <v>1.04980343105861</v>
      </c>
      <c r="G297" s="77">
        <f t="shared" si="297"/>
        <v>4.6275052877564254E-2</v>
      </c>
      <c r="H297" s="121">
        <f t="shared" si="298"/>
        <v>4.3224646278215047E-2</v>
      </c>
      <c r="I297" s="121">
        <f t="shared" si="299"/>
        <v>-0.26567594429440033</v>
      </c>
      <c r="J297" s="77">
        <f t="shared" si="300"/>
        <v>-5.155869611095093E-2</v>
      </c>
      <c r="K297" s="77">
        <f t="shared" si="301"/>
        <v>-1.8249611301632391</v>
      </c>
      <c r="L297" s="91">
        <f t="shared" si="302"/>
        <v>1.8256893015382842</v>
      </c>
      <c r="M297" s="45"/>
      <c r="N297" s="28"/>
      <c r="O297" s="28"/>
      <c r="P297" s="28"/>
      <c r="AF297" s="176"/>
      <c r="AG297" s="176"/>
      <c r="AH297" s="176"/>
      <c r="AI297" s="176"/>
      <c r="AJ297" s="176"/>
      <c r="AK297" s="176"/>
      <c r="AL297" s="176"/>
      <c r="AM297" s="176"/>
      <c r="AN297" s="176"/>
      <c r="AR297" s="92"/>
      <c r="AS297" s="176"/>
      <c r="AT297" s="178"/>
      <c r="AU297" s="178"/>
      <c r="AV297" s="178"/>
      <c r="AW297" s="178"/>
      <c r="AX297" s="178"/>
      <c r="AY297" s="178"/>
      <c r="AZ297" s="176"/>
    </row>
    <row r="298" spans="1:52" s="165" customFormat="1">
      <c r="A298" s="159"/>
      <c r="B298" s="159"/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AF298" s="176"/>
      <c r="AG298" s="176"/>
      <c r="AH298" s="176"/>
      <c r="AI298" s="176"/>
      <c r="AJ298" s="176"/>
      <c r="AK298" s="176"/>
      <c r="AL298" s="176"/>
      <c r="AM298" s="176"/>
      <c r="AN298" s="176"/>
      <c r="AR298" s="92"/>
      <c r="AS298" s="176"/>
      <c r="AT298" s="178"/>
      <c r="AU298" s="178"/>
      <c r="AV298" s="178"/>
      <c r="AW298" s="178"/>
      <c r="AX298" s="178"/>
      <c r="AY298" s="178"/>
      <c r="AZ298" s="176"/>
    </row>
    <row r="299" spans="1:52" s="165" customFormat="1">
      <c r="A299" s="88" t="s">
        <v>73</v>
      </c>
      <c r="B299" s="88"/>
      <c r="C299" s="23" t="str">
        <f>CONCATENATE("m",Stufengrün!AH45)</f>
        <v>m-3</v>
      </c>
      <c r="D299" s="23" t="s">
        <v>30</v>
      </c>
      <c r="E299" s="28"/>
      <c r="F299" s="28"/>
      <c r="G299" s="28"/>
      <c r="H299" s="36" t="s">
        <v>57</v>
      </c>
      <c r="I299" s="36" t="s">
        <v>51</v>
      </c>
      <c r="J299" s="36" t="s">
        <v>58</v>
      </c>
      <c r="K299" s="36" t="s">
        <v>59</v>
      </c>
      <c r="L299" s="28"/>
      <c r="M299" s="28"/>
      <c r="N299" s="28"/>
      <c r="O299" s="28"/>
      <c r="P299" s="28"/>
      <c r="AF299" s="176"/>
      <c r="AG299" s="176"/>
      <c r="AH299" s="176"/>
      <c r="AI299" s="176"/>
      <c r="AJ299" s="176"/>
      <c r="AK299" s="176"/>
      <c r="AL299" s="176"/>
      <c r="AM299" s="176"/>
      <c r="AN299" s="176"/>
      <c r="AR299" s="92"/>
      <c r="AS299" s="176"/>
      <c r="AT299" s="178"/>
      <c r="AU299" s="178"/>
      <c r="AV299" s="178"/>
      <c r="AW299" s="178"/>
      <c r="AX299" s="178"/>
      <c r="AY299" s="178"/>
      <c r="AZ299" s="176"/>
    </row>
    <row r="300" spans="1:52" s="165" customFormat="1">
      <c r="A300" s="88" t="s">
        <v>69</v>
      </c>
      <c r="B300" s="88"/>
      <c r="C300" s="36">
        <f>Stufengrün!AI45</f>
        <v>0.20050769073300986</v>
      </c>
      <c r="D300" s="26">
        <f>Stufengrün!AK44</f>
        <v>-0.36836040959449939</v>
      </c>
      <c r="E300" s="28"/>
      <c r="F300" s="28"/>
      <c r="G300" s="28"/>
      <c r="H300" s="78">
        <f>H289</f>
        <v>4.3092776622040987E-2</v>
      </c>
      <c r="I300" s="78">
        <f>I289</f>
        <v>-0.27035186996590144</v>
      </c>
      <c r="J300" s="78">
        <f>J289</f>
        <v>-5.1510842005489305E-2</v>
      </c>
      <c r="K300" s="78">
        <f>K289</f>
        <v>-1.8297489894168091</v>
      </c>
      <c r="L300" s="28"/>
      <c r="M300" s="28"/>
      <c r="N300" s="28"/>
      <c r="O300" s="28"/>
      <c r="P300" s="28"/>
      <c r="AF300" s="176"/>
      <c r="AG300" s="176"/>
      <c r="AH300" s="176"/>
      <c r="AI300" s="176"/>
      <c r="AJ300" s="176"/>
      <c r="AK300" s="176"/>
      <c r="AL300" s="176"/>
      <c r="AM300" s="176"/>
      <c r="AN300" s="176"/>
      <c r="AR300" s="92"/>
      <c r="AS300" s="176"/>
      <c r="AT300" s="178"/>
      <c r="AU300" s="178"/>
      <c r="AV300" s="178"/>
      <c r="AW300" s="178"/>
      <c r="AX300" s="178"/>
      <c r="AY300" s="178"/>
      <c r="AZ300" s="176"/>
    </row>
    <row r="301" spans="1:52" s="165" customFormat="1">
      <c r="A301" s="95"/>
      <c r="B301" s="95"/>
      <c r="C301" s="28"/>
      <c r="D301" s="28"/>
      <c r="E301" s="28"/>
      <c r="F301" s="28"/>
      <c r="G301" s="28"/>
      <c r="H301" s="37" t="s">
        <v>8</v>
      </c>
      <c r="I301" s="37" t="s">
        <v>8</v>
      </c>
      <c r="J301" s="37" t="s">
        <v>9</v>
      </c>
      <c r="K301" s="37" t="s">
        <v>9</v>
      </c>
      <c r="L301" s="28"/>
      <c r="M301" s="28"/>
      <c r="N301" s="28"/>
      <c r="O301" s="28"/>
      <c r="P301" s="28"/>
      <c r="AF301" s="176"/>
      <c r="AG301" s="176"/>
      <c r="AH301" s="176"/>
      <c r="AI301" s="176"/>
      <c r="AJ301" s="176"/>
      <c r="AK301" s="176"/>
      <c r="AL301" s="176"/>
      <c r="AM301" s="176"/>
      <c r="AN301" s="176"/>
      <c r="AR301" s="92"/>
      <c r="AS301" s="176"/>
      <c r="AT301" s="178"/>
      <c r="AU301" s="178"/>
      <c r="AV301" s="178"/>
      <c r="AW301" s="178"/>
      <c r="AX301" s="178"/>
      <c r="AY301" s="178"/>
      <c r="AZ301" s="176"/>
    </row>
    <row r="302" spans="1:52" s="165" customFormat="1">
      <c r="A302" s="88" t="s">
        <v>68</v>
      </c>
      <c r="B302" s="88"/>
      <c r="C302" s="115" t="s">
        <v>15</v>
      </c>
      <c r="D302" s="115" t="s">
        <v>55</v>
      </c>
      <c r="E302" s="115" t="s">
        <v>12</v>
      </c>
      <c r="F302" s="115" t="s">
        <v>10</v>
      </c>
      <c r="G302" s="115" t="s">
        <v>14</v>
      </c>
      <c r="H302" s="115" t="s">
        <v>21</v>
      </c>
      <c r="I302" s="115" t="s">
        <v>16</v>
      </c>
      <c r="J302" s="115" t="s">
        <v>17</v>
      </c>
      <c r="K302" s="115" t="s">
        <v>23</v>
      </c>
      <c r="L302" s="28"/>
      <c r="M302" s="28"/>
      <c r="N302" s="28"/>
      <c r="O302" s="28"/>
      <c r="P302" s="28"/>
      <c r="AF302" s="176"/>
      <c r="AG302" s="176"/>
      <c r="AH302" s="176"/>
      <c r="AI302" s="176"/>
      <c r="AJ302" s="176"/>
      <c r="AK302" s="176"/>
      <c r="AL302" s="176"/>
      <c r="AM302" s="176"/>
      <c r="AN302" s="176"/>
      <c r="AR302" s="92"/>
      <c r="AS302" s="176"/>
      <c r="AT302" s="178"/>
      <c r="AU302" s="178"/>
      <c r="AV302" s="178"/>
      <c r="AW302" s="178"/>
      <c r="AX302" s="178"/>
      <c r="AY302" s="178"/>
      <c r="AZ302" s="176"/>
    </row>
    <row r="303" spans="1:52" s="165" customFormat="1">
      <c r="A303" s="28"/>
      <c r="B303" s="28"/>
      <c r="C303" s="23">
        <f>Mü/TAN($C300)</f>
        <v>0.3444226903742672</v>
      </c>
      <c r="D303" s="42">
        <f>SQRT($J300*$J300+$K300*$K300)</f>
        <v>1.8304739088869715</v>
      </c>
      <c r="E303" s="20">
        <f>ATAN($J300/$K300)</f>
        <v>2.8144429019064051E-2</v>
      </c>
      <c r="F303" s="23">
        <f>($E303-A316-0.0001)/5</f>
        <v>2.818953851293492E-4</v>
      </c>
      <c r="G303" s="23">
        <f>COS($E303)</f>
        <v>0.99960397170009208</v>
      </c>
      <c r="H303" s="23">
        <f>SIN($E303)</f>
        <v>2.8140713590837644E-2</v>
      </c>
      <c r="I303" s="23">
        <f>$C303+$G303</f>
        <v>1.3440266620743593</v>
      </c>
      <c r="J303" s="23">
        <f>POWER(TAN($E303/2),$C303)</f>
        <v>0.23028406466393966</v>
      </c>
      <c r="K303" s="23">
        <f>-$D303*$D303*SIN($E303)*SIN($E303)/(2*9.81*SIN($C300)*POWER(TAN($E303/2),2*$C303))</f>
        <v>-1.2804228356792359E-2</v>
      </c>
      <c r="L303" s="28"/>
      <c r="M303" s="28"/>
      <c r="N303" s="28"/>
      <c r="O303" s="28"/>
      <c r="P303" s="28"/>
      <c r="AF303" s="176"/>
      <c r="AG303" s="176"/>
      <c r="AH303" s="176"/>
      <c r="AI303" s="176"/>
      <c r="AJ303" s="176"/>
      <c r="AK303" s="176"/>
      <c r="AL303" s="176"/>
      <c r="AM303" s="176"/>
      <c r="AN303" s="176"/>
      <c r="AR303" s="92"/>
      <c r="AS303" s="176"/>
      <c r="AT303" s="178"/>
      <c r="AU303" s="178"/>
      <c r="AV303" s="178"/>
      <c r="AW303" s="178"/>
      <c r="AX303" s="178"/>
      <c r="AY303" s="178"/>
      <c r="AZ303" s="176"/>
    </row>
    <row r="304" spans="1:52" s="165" customFormat="1">
      <c r="A304" s="88" t="s">
        <v>70</v>
      </c>
      <c r="B304" s="8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45"/>
      <c r="N304" s="28"/>
      <c r="O304" s="28"/>
      <c r="P304" s="28"/>
      <c r="AF304" s="176"/>
      <c r="AG304" s="176"/>
      <c r="AH304" s="176"/>
      <c r="AI304" s="176"/>
      <c r="AJ304" s="176"/>
      <c r="AK304" s="176"/>
      <c r="AL304" s="176"/>
      <c r="AM304" s="176"/>
      <c r="AN304" s="176"/>
      <c r="AR304" s="92"/>
      <c r="AS304" s="176"/>
      <c r="AT304" s="178"/>
      <c r="AU304" s="178"/>
      <c r="AV304" s="178"/>
      <c r="AW304" s="178"/>
      <c r="AX304" s="178"/>
      <c r="AY304" s="178"/>
      <c r="AZ304" s="176"/>
    </row>
    <row r="305" spans="1:52" s="165" customFormat="1">
      <c r="A305" s="115" t="s">
        <v>11</v>
      </c>
      <c r="B305" s="115" t="s">
        <v>13</v>
      </c>
      <c r="C305" s="117" t="s">
        <v>22</v>
      </c>
      <c r="D305" s="117" t="s">
        <v>18</v>
      </c>
      <c r="E305" s="115" t="s">
        <v>19</v>
      </c>
      <c r="F305" s="117" t="s">
        <v>20</v>
      </c>
      <c r="G305" s="117" t="s">
        <v>2</v>
      </c>
      <c r="H305" s="117" t="s">
        <v>65</v>
      </c>
      <c r="I305" s="117" t="s">
        <v>66</v>
      </c>
      <c r="J305" s="118" t="s">
        <v>3</v>
      </c>
      <c r="K305" s="118" t="s">
        <v>4</v>
      </c>
      <c r="L305" s="116" t="s">
        <v>7</v>
      </c>
      <c r="M305" s="93"/>
      <c r="N305" s="117" t="s">
        <v>61</v>
      </c>
      <c r="O305" s="117" t="s">
        <v>62</v>
      </c>
      <c r="P305" s="115" t="s">
        <v>63</v>
      </c>
      <c r="AF305" s="176"/>
      <c r="AG305" s="176"/>
      <c r="AH305" s="176"/>
      <c r="AI305" s="176"/>
      <c r="AJ305" s="176"/>
      <c r="AK305" s="176"/>
      <c r="AL305" s="176"/>
      <c r="AM305" s="176"/>
      <c r="AN305" s="176"/>
      <c r="AR305" s="92"/>
      <c r="AS305" s="176"/>
      <c r="AT305" s="178"/>
      <c r="AU305" s="178"/>
      <c r="AV305" s="178"/>
      <c r="AW305" s="178"/>
      <c r="AX305" s="178"/>
      <c r="AY305" s="178"/>
      <c r="AZ305" s="176"/>
    </row>
    <row r="306" spans="1:52" s="165" customFormat="1">
      <c r="A306" s="19">
        <f>$E303</f>
        <v>2.8144429019064051E-2</v>
      </c>
      <c r="B306" s="26">
        <f>COS(A306)</f>
        <v>0.99960397170009208</v>
      </c>
      <c r="C306" s="26">
        <f>($C$303+B306)</f>
        <v>1.3440266620743593</v>
      </c>
      <c r="D306" s="26">
        <f>POWER(TAN(A306/2),$C$303)</f>
        <v>0.23028406466393966</v>
      </c>
      <c r="E306" s="26">
        <f>SIN(A306)</f>
        <v>2.8140713590837644E-2</v>
      </c>
      <c r="F306" s="77">
        <f>(C306*$H$303*D306/E306/$I$303/$J$303)</f>
        <v>0.99999999999999989</v>
      </c>
      <c r="G306" s="77">
        <f>$D$303*($C$303+$G$303)/9.81/SIN($C$300)/(1-$C$303*$C$300)*(F306-1)</f>
        <v>-1.5016667561068882E-16</v>
      </c>
      <c r="H306" s="75">
        <f>-(-$H$300+$K$303*((POWER(TAN(A306/2),2*$C$303-1)/(2*$C$303-1))+(POWER(TAN(A306/2),2*$C$303+1)/(2*$C$303+1))-(POWER(TAN($E$303/2),2*$C$303-1)/(2*$C$303-1))-(POWER(TAN($E$303/2),2*$C$303+1)/(2*$C$303+1))))</f>
        <v>4.3092776622040987E-2</v>
      </c>
      <c r="I306" s="75">
        <f>-(-$I$300+0.5*$K$303*((POWER(TAN(A306/2),2*$C$303-2)/(2*$C$303-2))-(POWER(TAN(A306/2),2*$C$303+2)/(2*$C$303+2))-(POWER(TAN($E$303/2),2*$C$303-2)/(2*$C$303-2))+(POWER(TAN($E$303/2),2*$C$303+2)/(2*$C$303+2))))</f>
        <v>-0.27035186996590138</v>
      </c>
      <c r="J306" s="77">
        <f>-$D$303*SIN(A306)*($C$303+$G$303)/($C$303+B306)*F306</f>
        <v>-5.1510842005489298E-2</v>
      </c>
      <c r="K306" s="77">
        <f>-$D$303*COS(A306)*($C$303+$G$303)/($C$303+B306)*F306</f>
        <v>-1.8297489894168089</v>
      </c>
      <c r="L306" s="91">
        <f>SQRT(J306*J306+K306*K306)</f>
        <v>1.8304739088869713</v>
      </c>
      <c r="M306" s="93"/>
      <c r="N306" s="75">
        <f>-(-$I$300+0.5*$K$303*((POWER(TAN(A306/2),2*$C$303-2)/(2*$C$303-2))-(POWER(TAN(A306/2),2*$C$303+2)/(2*$C$303+2))-(POWER(TAN($E$303/2),2*$C$303-2)/(2*$C$303-2))+(POWER(TAN($E$303/2),2*$C$303+2)/(2*$C$303+2))))-$D$300</f>
        <v>9.8008539628598013E-2</v>
      </c>
      <c r="O306" s="75">
        <f>-(-$I$300+0.5*$K$303*((POWER(TAN((A306+$M$9)/2),2*$C$303-2)/(2*$C$303-2))-(POWER(TAN((A306+$M$9)/2),2*$C$303+2)/(2*$C$303+2))-(POWER(TAN($E$303/2),2*$C$303-2)/(2*$C$303-2))+(POWER(TAN($E$303/2),2*$C$303+2)/(2*$C$303+2))))-$D$300</f>
        <v>0.15651829082866112</v>
      </c>
      <c r="P306" s="75">
        <f>A306-N306/(O306-N306)*$M$9</f>
        <v>2.6469348581728464E-2</v>
      </c>
      <c r="AF306" s="176"/>
      <c r="AG306" s="176"/>
      <c r="AH306" s="176"/>
      <c r="AI306" s="176"/>
      <c r="AJ306" s="176"/>
      <c r="AK306" s="176"/>
      <c r="AL306" s="176"/>
      <c r="AM306" s="176"/>
      <c r="AN306" s="176"/>
      <c r="AR306" s="92"/>
      <c r="AS306" s="176"/>
      <c r="AT306" s="178"/>
      <c r="AU306" s="178"/>
      <c r="AV306" s="178"/>
      <c r="AW306" s="178"/>
      <c r="AX306" s="178"/>
      <c r="AY306" s="178"/>
      <c r="AZ306" s="176"/>
    </row>
    <row r="307" spans="1:52" s="165" customFormat="1">
      <c r="A307" s="19">
        <f>P306</f>
        <v>2.6469348581728464E-2</v>
      </c>
      <c r="B307" s="26">
        <f t="shared" ref="B307:B316" si="303">COS(A307)</f>
        <v>0.99964970724557567</v>
      </c>
      <c r="C307" s="26">
        <f t="shared" ref="C307:C316" si="304">($C$303+B307)</f>
        <v>1.344072397619843</v>
      </c>
      <c r="D307" s="26">
        <f t="shared" ref="D307:D316" si="305">POWER(TAN(A307/2),$C$303)</f>
        <v>0.22546760967331458</v>
      </c>
      <c r="E307" s="26">
        <f t="shared" ref="E307:E316" si="306">SIN(A307)</f>
        <v>2.6466257835872233E-2</v>
      </c>
      <c r="F307" s="77">
        <f t="shared" ref="F307:F316" si="307">(C307*$H$303*D307/E307/$I$303/$J$303)</f>
        <v>1.0410644567963017</v>
      </c>
      <c r="G307" s="77">
        <f t="shared" ref="G307:G316" si="308">$D$303*($C$303+$G$303)/9.81/SIN($C$300)/(1-$C$303*$C$300)*(F307-1)</f>
        <v>5.5543010963417655E-2</v>
      </c>
      <c r="H307" s="75">
        <f t="shared" ref="H307:H316" si="309">-(-$H$300+$K$303*((POWER(TAN(A307/2),2*$C$303-1)/(2*$C$303-1))+(POWER(TAN(A307/2),2*$C$303+1)/(2*$C$303+1))-(POWER(TAN($E$303/2),2*$C$303-1)/(2*$C$303-1))-(POWER(TAN($E$303/2),2*$C$303+1)/(2*$C$303+1))))</f>
        <v>4.010273141027404E-2</v>
      </c>
      <c r="I307" s="75">
        <f t="shared" ref="I307:I316" si="310">-(-$I$300+0.5*$K$303*((POWER(TAN(A307/2),2*$C$303-2)/(2*$C$303-2))-(POWER(TAN(A307/2),2*$C$303+2)/(2*$C$303+2))-(POWER(TAN($E$303/2),2*$C$303-2)/(2*$C$303-2))+(POWER(TAN($E$303/2),2*$C$303+2)/(2*$C$303+2))))</f>
        <v>-0.37990190378135685</v>
      </c>
      <c r="J307" s="77">
        <f t="shared" ref="J307:J316" si="311">-$D$303*SIN(A307)*($C$303+$G$303)/($C$303+B307)*F307</f>
        <v>-5.0433478478791552E-2</v>
      </c>
      <c r="K307" s="77">
        <f t="shared" ref="K307:K316" si="312">-$D$303*COS(A307)*($C$303+$G$303)/($C$303+B307)*F307</f>
        <v>-1.9049089716176899</v>
      </c>
      <c r="L307" s="91">
        <f t="shared" ref="L307:L316" si="313">SQRT(J307*J307+K307*K307)</f>
        <v>1.9055764812520739</v>
      </c>
      <c r="M307" s="93"/>
      <c r="N307" s="75">
        <f t="shared" ref="N307:N316" si="314">-(-$I$300+0.5*$K$303*((POWER(TAN(A307/2),2*$C$303-2)/(2*$C$303-2))-(POWER(TAN(A307/2),2*$C$303+2)/(2*$C$303+2))-(POWER(TAN($E$303/2),2*$C$303-2)/(2*$C$303-2))+(POWER(TAN($E$303/2),2*$C$303+2)/(2*$C$303+2))))-$D$300</f>
        <v>-1.1541494186857459E-2</v>
      </c>
      <c r="O307" s="75">
        <f t="shared" ref="O307:O316" si="315">-(-$I$300+0.5*$K$303*((POWER(TAN((A307+$M$9)/2),2*$C$303-2)/(2*$C$303-2))-(POWER(TAN((A307+$M$9)/2),2*$C$303+2)/(2*$C$303+2))-(POWER(TAN($E$303/2),2*$C$303-2)/(2*$C$303-2))+(POWER(TAN($E$303/2),2*$C$303+2)/(2*$C$303+2))))-$D$300</f>
        <v>5.5714316112532247E-2</v>
      </c>
      <c r="P307" s="75">
        <f t="shared" ref="P307:P316" si="316">A307-N307/(O307-N307)*$M$9</f>
        <v>2.6640954486638099E-2</v>
      </c>
      <c r="AF307" s="176"/>
      <c r="AG307" s="176"/>
      <c r="AH307" s="176"/>
      <c r="AI307" s="176"/>
      <c r="AJ307" s="176"/>
      <c r="AK307" s="176"/>
      <c r="AL307" s="176"/>
      <c r="AM307" s="176"/>
      <c r="AN307" s="176"/>
      <c r="AR307" s="92"/>
      <c r="AS307" s="176"/>
      <c r="AT307" s="178"/>
      <c r="AU307" s="178"/>
      <c r="AV307" s="178"/>
      <c r="AW307" s="178"/>
      <c r="AX307" s="178"/>
      <c r="AY307" s="178"/>
      <c r="AZ307" s="176"/>
    </row>
    <row r="308" spans="1:52" s="165" customFormat="1">
      <c r="A308" s="19">
        <f t="shared" ref="A308:A316" si="317">P307</f>
        <v>2.6640954486638099E-2</v>
      </c>
      <c r="B308" s="26">
        <f t="shared" si="303"/>
        <v>0.999645150760337</v>
      </c>
      <c r="C308" s="26">
        <f t="shared" si="304"/>
        <v>1.3440678411346041</v>
      </c>
      <c r="D308" s="26">
        <f t="shared" si="305"/>
        <v>0.22597006259529531</v>
      </c>
      <c r="E308" s="26">
        <f t="shared" si="306"/>
        <v>2.6637803237937858E-2</v>
      </c>
      <c r="F308" s="77">
        <f t="shared" si="307"/>
        <v>1.0366616313777819</v>
      </c>
      <c r="G308" s="77">
        <f t="shared" si="308"/>
        <v>4.9587832213485131E-2</v>
      </c>
      <c r="H308" s="75">
        <f t="shared" si="309"/>
        <v>4.042031574393988E-2</v>
      </c>
      <c r="I308" s="75">
        <f t="shared" si="310"/>
        <v>-0.36794519425717176</v>
      </c>
      <c r="J308" s="77">
        <f t="shared" si="311"/>
        <v>-5.054586911735838E-2</v>
      </c>
      <c r="K308" s="77">
        <f t="shared" si="312"/>
        <v>-1.8968505962297795</v>
      </c>
      <c r="L308" s="91">
        <f t="shared" si="313"/>
        <v>1.8975239311539918</v>
      </c>
      <c r="M308" s="93"/>
      <c r="N308" s="75">
        <f t="shared" si="314"/>
        <v>4.152153373276346E-4</v>
      </c>
      <c r="O308" s="75">
        <f t="shared" si="315"/>
        <v>6.6691963876283622E-2</v>
      </c>
      <c r="P308" s="75">
        <f t="shared" si="316"/>
        <v>2.6634689614771556E-2</v>
      </c>
      <c r="AF308" s="176"/>
      <c r="AG308" s="176"/>
      <c r="AH308" s="176"/>
      <c r="AI308" s="176"/>
      <c r="AJ308" s="176"/>
      <c r="AK308" s="176"/>
      <c r="AL308" s="176"/>
      <c r="AM308" s="176"/>
      <c r="AN308" s="176"/>
      <c r="AR308" s="92"/>
      <c r="AS308" s="176"/>
      <c r="AT308" s="178"/>
      <c r="AU308" s="178"/>
      <c r="AV308" s="178"/>
      <c r="AW308" s="178"/>
      <c r="AX308" s="178"/>
      <c r="AY308" s="178"/>
      <c r="AZ308" s="176"/>
    </row>
    <row r="309" spans="1:52" s="165" customFormat="1">
      <c r="A309" s="19">
        <f t="shared" si="317"/>
        <v>2.6634689614771556E-2</v>
      </c>
      <c r="B309" s="26">
        <f t="shared" si="303"/>
        <v>0.99964531762314379</v>
      </c>
      <c r="C309" s="26">
        <f t="shared" si="304"/>
        <v>1.344068007997411</v>
      </c>
      <c r="D309" s="26">
        <f t="shared" si="305"/>
        <v>0.22595175674474516</v>
      </c>
      <c r="E309" s="26">
        <f t="shared" si="306"/>
        <v>2.6631540588633623E-2</v>
      </c>
      <c r="F309" s="77">
        <f t="shared" si="307"/>
        <v>1.0368215407404129</v>
      </c>
      <c r="G309" s="77">
        <f t="shared" si="308"/>
        <v>4.9804122606070242E-2</v>
      </c>
      <c r="H309" s="75">
        <f t="shared" si="309"/>
        <v>4.0408768787437377E-2</v>
      </c>
      <c r="I309" s="75">
        <f t="shared" si="310"/>
        <v>-0.36837857148057723</v>
      </c>
      <c r="J309" s="77">
        <f t="shared" si="311"/>
        <v>-5.0541774392971583E-2</v>
      </c>
      <c r="K309" s="77">
        <f t="shared" si="312"/>
        <v>-1.897143274462425</v>
      </c>
      <c r="L309" s="91">
        <f t="shared" si="313"/>
        <v>1.8978163964927699</v>
      </c>
      <c r="M309" s="93"/>
      <c r="N309" s="75">
        <f t="shared" si="314"/>
        <v>-1.8161886077838751E-5</v>
      </c>
      <c r="O309" s="75">
        <f t="shared" si="315"/>
        <v>6.6293969289038801E-2</v>
      </c>
      <c r="P309" s="75">
        <f t="shared" si="316"/>
        <v>2.6634963499591061E-2</v>
      </c>
      <c r="AF309" s="176"/>
      <c r="AG309" s="176"/>
      <c r="AH309" s="176"/>
      <c r="AI309" s="176"/>
      <c r="AJ309" s="176"/>
      <c r="AK309" s="176"/>
      <c r="AL309" s="176"/>
      <c r="AM309" s="176"/>
      <c r="AN309" s="176"/>
      <c r="AR309" s="92"/>
      <c r="AS309" s="176"/>
      <c r="AT309" s="178"/>
      <c r="AU309" s="178"/>
      <c r="AV309" s="178"/>
      <c r="AW309" s="178"/>
      <c r="AX309" s="178"/>
      <c r="AY309" s="178"/>
      <c r="AZ309" s="176"/>
    </row>
    <row r="310" spans="1:52" s="165" customFormat="1">
      <c r="A310" s="19">
        <f t="shared" si="317"/>
        <v>2.6634963499591061E-2</v>
      </c>
      <c r="B310" s="26">
        <f t="shared" si="303"/>
        <v>0.99964531032913162</v>
      </c>
      <c r="C310" s="26">
        <f t="shared" si="304"/>
        <v>1.3440680007033987</v>
      </c>
      <c r="D310" s="26">
        <f t="shared" si="305"/>
        <v>0.22595255709057235</v>
      </c>
      <c r="E310" s="26">
        <f t="shared" si="306"/>
        <v>2.6631814376310011E-2</v>
      </c>
      <c r="F310" s="77">
        <f t="shared" si="307"/>
        <v>1.036814548594378</v>
      </c>
      <c r="G310" s="77">
        <f t="shared" si="308"/>
        <v>4.9794665161015092E-2</v>
      </c>
      <c r="H310" s="75">
        <f t="shared" si="309"/>
        <v>4.0409273666435631E-2</v>
      </c>
      <c r="I310" s="75">
        <f t="shared" si="310"/>
        <v>-0.36835962036775038</v>
      </c>
      <c r="J310" s="77">
        <f t="shared" si="311"/>
        <v>-5.0541953417462572E-2</v>
      </c>
      <c r="K310" s="77">
        <f t="shared" si="312"/>
        <v>-1.8971304769074573</v>
      </c>
      <c r="L310" s="91">
        <f t="shared" si="313"/>
        <v>1.8978036082446386</v>
      </c>
      <c r="M310" s="93"/>
      <c r="N310" s="75">
        <f t="shared" si="314"/>
        <v>7.892267490094973E-7</v>
      </c>
      <c r="O310" s="75">
        <f t="shared" si="315"/>
        <v>6.6311372994155404E-2</v>
      </c>
      <c r="P310" s="75">
        <f t="shared" si="316"/>
        <v>2.6634951597618493E-2</v>
      </c>
      <c r="AF310" s="176"/>
      <c r="AG310" s="176"/>
      <c r="AH310" s="176"/>
      <c r="AI310" s="176"/>
      <c r="AJ310" s="176"/>
      <c r="AK310" s="176"/>
      <c r="AL310" s="176"/>
      <c r="AM310" s="176"/>
      <c r="AN310" s="176"/>
      <c r="AR310" s="92"/>
      <c r="AS310" s="176"/>
      <c r="AT310" s="178"/>
      <c r="AU310" s="178"/>
      <c r="AV310" s="178"/>
      <c r="AW310" s="178"/>
      <c r="AX310" s="178"/>
      <c r="AY310" s="178"/>
      <c r="AZ310" s="176"/>
    </row>
    <row r="311" spans="1:52" s="165" customFormat="1">
      <c r="A311" s="19">
        <f t="shared" si="317"/>
        <v>2.6634951597618493E-2</v>
      </c>
      <c r="B311" s="26">
        <f t="shared" si="303"/>
        <v>0.99964531064610263</v>
      </c>
      <c r="C311" s="26">
        <f t="shared" si="304"/>
        <v>1.3440680010203698</v>
      </c>
      <c r="D311" s="26">
        <f t="shared" si="305"/>
        <v>0.22595252231075721</v>
      </c>
      <c r="E311" s="26">
        <f t="shared" si="306"/>
        <v>2.6631802478558949E-2</v>
      </c>
      <c r="F311" s="77">
        <f t="shared" si="307"/>
        <v>1.0368148524434668</v>
      </c>
      <c r="G311" s="77">
        <f t="shared" si="308"/>
        <v>4.9795076141570686E-2</v>
      </c>
      <c r="H311" s="75">
        <f t="shared" si="309"/>
        <v>4.0409251726492901E-2</v>
      </c>
      <c r="I311" s="75">
        <f t="shared" si="310"/>
        <v>-0.36836044390029238</v>
      </c>
      <c r="J311" s="77">
        <f t="shared" si="311"/>
        <v>-5.0541945637777225E-2</v>
      </c>
      <c r="K311" s="77">
        <f t="shared" si="312"/>
        <v>-1.8971310330350613</v>
      </c>
      <c r="L311" s="91">
        <f t="shared" si="313"/>
        <v>1.8978041639678027</v>
      </c>
      <c r="M311" s="93"/>
      <c r="N311" s="75">
        <f t="shared" si="314"/>
        <v>-3.4305792984135053E-8</v>
      </c>
      <c r="O311" s="75">
        <f t="shared" si="315"/>
        <v>6.6310616704881142E-2</v>
      </c>
      <c r="P311" s="75">
        <f t="shared" si="316"/>
        <v>2.6634952114968156E-2</v>
      </c>
      <c r="AF311" s="176"/>
      <c r="AG311" s="176"/>
      <c r="AH311" s="176"/>
      <c r="AI311" s="176"/>
      <c r="AJ311" s="176"/>
      <c r="AK311" s="176"/>
      <c r="AL311" s="176"/>
      <c r="AM311" s="176"/>
      <c r="AN311" s="176"/>
      <c r="AR311" s="92"/>
      <c r="AS311" s="176"/>
      <c r="AT311" s="178"/>
      <c r="AU311" s="178"/>
      <c r="AV311" s="178"/>
      <c r="AW311" s="178"/>
      <c r="AX311" s="178"/>
      <c r="AY311" s="178"/>
      <c r="AZ311" s="176"/>
    </row>
    <row r="312" spans="1:52" s="165" customFormat="1">
      <c r="A312" s="19">
        <f t="shared" si="317"/>
        <v>2.6634952114968156E-2</v>
      </c>
      <c r="B312" s="26">
        <f t="shared" si="303"/>
        <v>0.99964531063232465</v>
      </c>
      <c r="C312" s="26">
        <f t="shared" si="304"/>
        <v>1.3440680010065917</v>
      </c>
      <c r="D312" s="26">
        <f t="shared" si="305"/>
        <v>0.22595252382255099</v>
      </c>
      <c r="E312" s="26">
        <f t="shared" si="306"/>
        <v>2.6631802995725113E-2</v>
      </c>
      <c r="F312" s="77">
        <f t="shared" si="307"/>
        <v>1.0368148392358845</v>
      </c>
      <c r="G312" s="77">
        <f t="shared" si="308"/>
        <v>4.9795058277243502E-2</v>
      </c>
      <c r="H312" s="75">
        <f t="shared" si="309"/>
        <v>4.0409252680168851E-2</v>
      </c>
      <c r="I312" s="75">
        <f t="shared" si="310"/>
        <v>-0.36836040810332726</v>
      </c>
      <c r="J312" s="77">
        <f t="shared" si="311"/>
        <v>-5.054194597594118E-2</v>
      </c>
      <c r="K312" s="77">
        <f t="shared" si="312"/>
        <v>-1.8971310088615445</v>
      </c>
      <c r="L312" s="91">
        <f t="shared" si="313"/>
        <v>1.8978041398118659</v>
      </c>
      <c r="M312" s="93"/>
      <c r="N312" s="75">
        <f t="shared" si="314"/>
        <v>1.4911721302190983E-9</v>
      </c>
      <c r="O312" s="75">
        <f t="shared" si="315"/>
        <v>6.6310649578942893E-2</v>
      </c>
      <c r="P312" s="75">
        <f t="shared" si="316"/>
        <v>2.6634952092480485E-2</v>
      </c>
      <c r="AF312" s="176"/>
      <c r="AG312" s="176"/>
      <c r="AH312" s="176"/>
      <c r="AI312" s="176"/>
      <c r="AJ312" s="176"/>
      <c r="AK312" s="176"/>
      <c r="AL312" s="176"/>
      <c r="AM312" s="176"/>
      <c r="AN312" s="176"/>
      <c r="AR312" s="92"/>
      <c r="AS312" s="176"/>
      <c r="AT312" s="178"/>
      <c r="AU312" s="178"/>
      <c r="AV312" s="178"/>
      <c r="AW312" s="178"/>
      <c r="AX312" s="178"/>
      <c r="AY312" s="178"/>
      <c r="AZ312" s="176"/>
    </row>
    <row r="313" spans="1:52" s="165" customFormat="1">
      <c r="A313" s="19">
        <f t="shared" si="317"/>
        <v>2.6634952092480485E-2</v>
      </c>
      <c r="B313" s="26">
        <f t="shared" si="303"/>
        <v>0.99964531063292361</v>
      </c>
      <c r="C313" s="26">
        <f t="shared" si="304"/>
        <v>1.3440680010071908</v>
      </c>
      <c r="D313" s="26">
        <f t="shared" si="305"/>
        <v>0.22595252375683778</v>
      </c>
      <c r="E313" s="26">
        <f t="shared" si="306"/>
        <v>2.6631802973245418E-2</v>
      </c>
      <c r="F313" s="77">
        <f t="shared" si="307"/>
        <v>1.0368148398099797</v>
      </c>
      <c r="G313" s="77">
        <f t="shared" si="308"/>
        <v>4.9795059053753879E-2</v>
      </c>
      <c r="H313" s="75">
        <f t="shared" si="309"/>
        <v>4.0409252638715379E-2</v>
      </c>
      <c r="I313" s="75">
        <f t="shared" si="310"/>
        <v>-0.36836040965931566</v>
      </c>
      <c r="J313" s="77">
        <f t="shared" si="311"/>
        <v>-5.0541945961242188E-2</v>
      </c>
      <c r="K313" s="77">
        <f t="shared" si="312"/>
        <v>-1.8971310099122967</v>
      </c>
      <c r="L313" s="91">
        <f t="shared" si="313"/>
        <v>1.897804140861854</v>
      </c>
      <c r="M313" s="93"/>
      <c r="N313" s="75">
        <f t="shared" si="314"/>
        <v>-6.4816263467548652E-11</v>
      </c>
      <c r="O313" s="75">
        <f t="shared" si="315"/>
        <v>6.6310648150003537E-2</v>
      </c>
      <c r="P313" s="75">
        <f t="shared" si="316"/>
        <v>2.663495209345795E-2</v>
      </c>
      <c r="AF313" s="176"/>
      <c r="AG313" s="176"/>
      <c r="AH313" s="176"/>
      <c r="AI313" s="176"/>
      <c r="AJ313" s="176"/>
      <c r="AK313" s="176"/>
      <c r="AL313" s="176"/>
      <c r="AM313" s="176"/>
      <c r="AN313" s="176"/>
      <c r="AR313" s="92"/>
      <c r="AS313" s="176"/>
      <c r="AT313" s="178"/>
      <c r="AU313" s="178"/>
      <c r="AV313" s="178"/>
      <c r="AW313" s="178"/>
      <c r="AX313" s="178"/>
      <c r="AY313" s="178"/>
      <c r="AZ313" s="176"/>
    </row>
    <row r="314" spans="1:52" s="165" customFormat="1">
      <c r="A314" s="19">
        <f t="shared" si="317"/>
        <v>2.663495209345795E-2</v>
      </c>
      <c r="B314" s="26">
        <f t="shared" si="303"/>
        <v>0.99964531063289752</v>
      </c>
      <c r="C314" s="26">
        <f t="shared" si="304"/>
        <v>1.3440680010071646</v>
      </c>
      <c r="D314" s="26">
        <f t="shared" si="305"/>
        <v>0.2259525237596941</v>
      </c>
      <c r="E314" s="26">
        <f t="shared" si="306"/>
        <v>2.6631802974222536E-2</v>
      </c>
      <c r="F314" s="77">
        <f t="shared" si="307"/>
        <v>1.0368148397850254</v>
      </c>
      <c r="G314" s="77">
        <f t="shared" si="308"/>
        <v>4.9795059020001219E-2</v>
      </c>
      <c r="H314" s="75">
        <f t="shared" si="309"/>
        <v>4.0409252640517181E-2</v>
      </c>
      <c r="I314" s="75">
        <f t="shared" si="310"/>
        <v>-0.36836040959168331</v>
      </c>
      <c r="J314" s="77">
        <f t="shared" si="311"/>
        <v>-5.05419459618811E-2</v>
      </c>
      <c r="K314" s="77">
        <f t="shared" si="312"/>
        <v>-1.8971310098666236</v>
      </c>
      <c r="L314" s="91">
        <f t="shared" si="313"/>
        <v>1.8978041408162141</v>
      </c>
      <c r="M314" s="93"/>
      <c r="N314" s="75">
        <f t="shared" si="314"/>
        <v>2.8160807019617096E-12</v>
      </c>
      <c r="O314" s="75">
        <f t="shared" si="315"/>
        <v>6.6310648212115075E-2</v>
      </c>
      <c r="P314" s="75">
        <f t="shared" si="316"/>
        <v>2.663495209341548E-2</v>
      </c>
      <c r="AF314" s="176"/>
      <c r="AG314" s="176"/>
      <c r="AH314" s="176"/>
      <c r="AI314" s="176"/>
      <c r="AJ314" s="176"/>
      <c r="AK314" s="176"/>
      <c r="AL314" s="176"/>
      <c r="AM314" s="176"/>
      <c r="AN314" s="176"/>
      <c r="AR314" s="92"/>
      <c r="AS314" s="176"/>
      <c r="AT314" s="178"/>
      <c r="AU314" s="178"/>
      <c r="AV314" s="178"/>
      <c r="AW314" s="178"/>
      <c r="AX314" s="178"/>
      <c r="AY314" s="178"/>
      <c r="AZ314" s="176"/>
    </row>
    <row r="315" spans="1:52" s="165" customFormat="1">
      <c r="A315" s="19">
        <f t="shared" si="317"/>
        <v>2.663495209341548E-2</v>
      </c>
      <c r="B315" s="26">
        <f t="shared" si="303"/>
        <v>0.99964531063289863</v>
      </c>
      <c r="C315" s="26">
        <f t="shared" si="304"/>
        <v>1.3440680010071659</v>
      </c>
      <c r="D315" s="26">
        <f t="shared" si="305"/>
        <v>0.22595252375957001</v>
      </c>
      <c r="E315" s="26">
        <f t="shared" si="306"/>
        <v>2.6631802974180083E-2</v>
      </c>
      <c r="F315" s="77">
        <f t="shared" si="307"/>
        <v>1.0368148397861097</v>
      </c>
      <c r="G315" s="77">
        <f t="shared" si="308"/>
        <v>4.9795059021467747E-2</v>
      </c>
      <c r="H315" s="75">
        <f t="shared" si="309"/>
        <v>4.0409252640438917E-2</v>
      </c>
      <c r="I315" s="75">
        <f t="shared" si="310"/>
        <v>-0.3683604095946203</v>
      </c>
      <c r="J315" s="77">
        <f t="shared" si="311"/>
        <v>-5.0541945961853331E-2</v>
      </c>
      <c r="K315" s="77">
        <f t="shared" si="312"/>
        <v>-1.8971310098686076</v>
      </c>
      <c r="L315" s="91">
        <f t="shared" si="313"/>
        <v>1.8978041408181967</v>
      </c>
      <c r="M315" s="93"/>
      <c r="N315" s="75">
        <f t="shared" si="314"/>
        <v>-1.2090328738167955E-13</v>
      </c>
      <c r="O315" s="75">
        <f t="shared" si="315"/>
        <v>6.6310648209416401E-2</v>
      </c>
      <c r="P315" s="75">
        <f t="shared" si="316"/>
        <v>2.6634952093417305E-2</v>
      </c>
      <c r="AF315" s="176"/>
      <c r="AG315" s="176"/>
      <c r="AH315" s="176"/>
      <c r="AI315" s="176"/>
      <c r="AJ315" s="176"/>
      <c r="AK315" s="176"/>
      <c r="AL315" s="176"/>
      <c r="AM315" s="176"/>
      <c r="AN315" s="176"/>
      <c r="AR315" s="92"/>
      <c r="AS315" s="176"/>
      <c r="AT315" s="178"/>
      <c r="AU315" s="178"/>
      <c r="AV315" s="178"/>
      <c r="AW315" s="178"/>
      <c r="AX315" s="178"/>
      <c r="AY315" s="178"/>
      <c r="AZ315" s="176"/>
    </row>
    <row r="316" spans="1:52" s="165" customFormat="1">
      <c r="A316" s="19">
        <f t="shared" si="317"/>
        <v>2.6634952093417305E-2</v>
      </c>
      <c r="B316" s="26">
        <f t="shared" si="303"/>
        <v>0.99964531063289863</v>
      </c>
      <c r="C316" s="26">
        <f t="shared" si="304"/>
        <v>1.3440680010071659</v>
      </c>
      <c r="D316" s="26">
        <f t="shared" si="305"/>
        <v>0.22595252375957534</v>
      </c>
      <c r="E316" s="26">
        <f t="shared" si="306"/>
        <v>2.6631802974181905E-2</v>
      </c>
      <c r="F316" s="77">
        <f t="shared" si="307"/>
        <v>1.0368148397860633</v>
      </c>
      <c r="G316" s="77">
        <f t="shared" si="308"/>
        <v>4.9795059021404978E-2</v>
      </c>
      <c r="H316" s="75">
        <f t="shared" si="309"/>
        <v>4.0409252640442282E-2</v>
      </c>
      <c r="I316" s="75">
        <f t="shared" si="310"/>
        <v>-0.3683604095944944</v>
      </c>
      <c r="J316" s="77">
        <f t="shared" si="311"/>
        <v>-5.0541945961854531E-2</v>
      </c>
      <c r="K316" s="77">
        <f t="shared" si="312"/>
        <v>-1.8971310098685228</v>
      </c>
      <c r="L316" s="91">
        <f t="shared" si="313"/>
        <v>1.8978041408181119</v>
      </c>
      <c r="M316" s="93"/>
      <c r="N316" s="75">
        <f t="shared" si="314"/>
        <v>4.9960036108132044E-15</v>
      </c>
      <c r="O316" s="75">
        <f t="shared" si="315"/>
        <v>6.6310648209531586E-2</v>
      </c>
      <c r="P316" s="75">
        <f t="shared" si="316"/>
        <v>2.6634952093417229E-2</v>
      </c>
      <c r="AF316" s="176"/>
      <c r="AG316" s="176"/>
      <c r="AH316" s="176"/>
      <c r="AI316" s="176"/>
      <c r="AJ316" s="176"/>
      <c r="AK316" s="176"/>
      <c r="AL316" s="176"/>
      <c r="AM316" s="176"/>
      <c r="AN316" s="176"/>
      <c r="AR316" s="92"/>
      <c r="AS316" s="176"/>
      <c r="AT316" s="178"/>
      <c r="AU316" s="178"/>
      <c r="AV316" s="178"/>
      <c r="AW316" s="178"/>
      <c r="AX316" s="178"/>
      <c r="AY316" s="178"/>
      <c r="AZ316" s="176"/>
    </row>
    <row r="317" spans="1:52" s="165" customFormat="1">
      <c r="A317" s="88" t="s">
        <v>60</v>
      </c>
      <c r="B317" s="8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AF317" s="176"/>
      <c r="AG317" s="176"/>
      <c r="AH317" s="176"/>
      <c r="AI317" s="176"/>
      <c r="AJ317" s="176"/>
      <c r="AK317" s="176"/>
      <c r="AL317" s="176"/>
      <c r="AM317" s="176"/>
      <c r="AN317" s="176"/>
      <c r="AR317" s="92"/>
      <c r="AS317" s="176"/>
      <c r="AT317" s="178"/>
      <c r="AU317" s="178"/>
      <c r="AV317" s="178"/>
      <c r="AW317" s="178"/>
      <c r="AX317" s="178"/>
      <c r="AY317" s="178"/>
      <c r="AZ317" s="176"/>
    </row>
    <row r="318" spans="1:52" s="165" customFormat="1">
      <c r="A318" s="26" t="s">
        <v>11</v>
      </c>
      <c r="B318" s="26" t="s">
        <v>13</v>
      </c>
      <c r="C318" s="26" t="s">
        <v>22</v>
      </c>
      <c r="D318" s="26" t="s">
        <v>18</v>
      </c>
      <c r="E318" s="26" t="s">
        <v>19</v>
      </c>
      <c r="F318" s="26" t="s">
        <v>20</v>
      </c>
      <c r="G318" s="26" t="s">
        <v>2</v>
      </c>
      <c r="H318" s="26" t="s">
        <v>1</v>
      </c>
      <c r="I318" s="26" t="s">
        <v>0</v>
      </c>
      <c r="J318" s="76" t="s">
        <v>3</v>
      </c>
      <c r="K318" s="76" t="s">
        <v>4</v>
      </c>
      <c r="L318" s="44" t="s">
        <v>7</v>
      </c>
      <c r="M318" s="28"/>
      <c r="N318" s="28"/>
      <c r="O318" s="28"/>
      <c r="P318" s="31"/>
      <c r="AF318" s="176"/>
      <c r="AG318" s="176"/>
      <c r="AH318" s="176"/>
      <c r="AI318" s="176"/>
      <c r="AJ318" s="176"/>
      <c r="AK318" s="176"/>
      <c r="AL318" s="176"/>
      <c r="AM318" s="176"/>
      <c r="AN318" s="176"/>
      <c r="AR318" s="92"/>
      <c r="AS318" s="176"/>
      <c r="AT318" s="178"/>
      <c r="AU318" s="178"/>
      <c r="AV318" s="178"/>
      <c r="AW318" s="178"/>
      <c r="AX318" s="178"/>
      <c r="AY318" s="178"/>
      <c r="AZ318" s="176"/>
    </row>
    <row r="319" spans="1:52" s="165" customFormat="1">
      <c r="A319" s="19">
        <f>$E303</f>
        <v>2.8144429019064051E-2</v>
      </c>
      <c r="B319" s="26">
        <f t="shared" ref="B319:B324" si="318">COS(A319)</f>
        <v>0.99960397170009208</v>
      </c>
      <c r="C319" s="26">
        <f t="shared" ref="C319:C324" si="319">($C$303+B319)</f>
        <v>1.3440266620743593</v>
      </c>
      <c r="D319" s="26">
        <f t="shared" ref="D319:D324" si="320">POWER(TAN(A319/2),$C$303)</f>
        <v>0.23028406466393966</v>
      </c>
      <c r="E319" s="26">
        <f t="shared" ref="E319:E324" si="321">SIN(A319)</f>
        <v>2.8140713590837644E-2</v>
      </c>
      <c r="F319" s="77">
        <f t="shared" ref="F319:F324" si="322">(C319*$H$303*D319/E319/$I$303/$J$303)</f>
        <v>0.99999999999999989</v>
      </c>
      <c r="G319" s="77">
        <f t="shared" ref="G319:G324" si="323">$D$303*($C$303+$G$303)/9.81/SIN($C$300)/(1-$C$303*$C$300)*(F319-1)</f>
        <v>-1.5016667561068882E-16</v>
      </c>
      <c r="H319" s="139">
        <f t="shared" ref="H319:H324" si="324">-(-$H$300+$K$303*((POWER(TAN(A319/2),2*$C$303-1)/(2*$C$303-1))+(POWER(TAN(A319/2),2*$C$303+1)/(2*$C$303+1))-(POWER(TAN($E$303/2),2*$C$303-1)/(2*$C$303-1))-(POWER(TAN($E$303/2),2*$C$303+1)/(2*$C$303+1))))</f>
        <v>4.3092776622040987E-2</v>
      </c>
      <c r="I319" s="139">
        <f t="shared" ref="I319:I324" si="325">-(-$I$300+0.5*$K$303*((POWER(TAN(A319/2),2*$C$303-2)/(2*$C$303-2))-(POWER(TAN(A319/2),2*$C$303+2)/(2*$C$303+2))-(POWER(TAN($E$303/2),2*$C$303-2)/(2*$C$303-2))+(POWER(TAN($E$303/2),2*$C$303+2)/(2*$C$303+2))))</f>
        <v>-0.27035186996590138</v>
      </c>
      <c r="J319" s="77">
        <f t="shared" ref="J319:J324" si="326">-$D$303*SIN(A319)*($C$303+$G$303)/($C$303+B319)*F319</f>
        <v>-5.1510842005489298E-2</v>
      </c>
      <c r="K319" s="77">
        <f t="shared" ref="K319:K324" si="327">-$D$303*COS(A319)*($C$303+$G$303)/($C$303+B319)*F319</f>
        <v>-1.8297489894168089</v>
      </c>
      <c r="L319" s="91">
        <f t="shared" ref="L319:L324" si="328">SQRT(J319*J319+K319*K319)</f>
        <v>1.8304739088869713</v>
      </c>
      <c r="M319" s="28"/>
      <c r="N319" s="28"/>
      <c r="O319" s="28"/>
      <c r="P319" s="31"/>
      <c r="AF319" s="176"/>
      <c r="AG319" s="176"/>
      <c r="AH319" s="176"/>
      <c r="AI319" s="176"/>
      <c r="AJ319" s="176"/>
      <c r="AK319" s="176"/>
      <c r="AL319" s="176"/>
      <c r="AM319" s="176"/>
      <c r="AN319" s="176"/>
      <c r="AR319" s="92"/>
      <c r="AS319" s="176"/>
      <c r="AT319" s="178"/>
      <c r="AU319" s="178"/>
      <c r="AV319" s="178"/>
      <c r="AW319" s="178"/>
      <c r="AX319" s="178"/>
      <c r="AY319" s="178"/>
      <c r="AZ319" s="176"/>
    </row>
    <row r="320" spans="1:52" s="165" customFormat="1">
      <c r="A320" s="20">
        <f>A319-$F$303</f>
        <v>2.7862533633934702E-2</v>
      </c>
      <c r="B320" s="26">
        <f t="shared" si="318"/>
        <v>0.99961186472051389</v>
      </c>
      <c r="C320" s="26">
        <f t="shared" si="319"/>
        <v>1.344034555094781</v>
      </c>
      <c r="D320" s="26">
        <f t="shared" si="320"/>
        <v>0.22948691612967609</v>
      </c>
      <c r="E320" s="26">
        <f t="shared" si="321"/>
        <v>2.78589287298894E-2</v>
      </c>
      <c r="F320" s="77">
        <f t="shared" si="322"/>
        <v>1.0066240162260105</v>
      </c>
      <c r="G320" s="77">
        <f t="shared" si="323"/>
        <v>8.9595196081174722E-3</v>
      </c>
      <c r="H320" s="139">
        <f t="shared" si="324"/>
        <v>4.2606154319478166E-2</v>
      </c>
      <c r="I320" s="139">
        <f t="shared" si="325"/>
        <v>-0.28772487385108669</v>
      </c>
      <c r="J320" s="77">
        <f t="shared" si="326"/>
        <v>-5.133253269753401E-2</v>
      </c>
      <c r="K320" s="77">
        <f t="shared" si="327"/>
        <v>-1.8418730033777733</v>
      </c>
      <c r="L320" s="91">
        <f t="shared" si="328"/>
        <v>1.8425881768547747</v>
      </c>
      <c r="M320" s="28"/>
      <c r="N320" s="28"/>
      <c r="O320" s="28"/>
      <c r="P320" s="31"/>
      <c r="AF320" s="176"/>
      <c r="AG320" s="176"/>
      <c r="AH320" s="176"/>
      <c r="AI320" s="176"/>
      <c r="AJ320" s="176"/>
      <c r="AK320" s="176"/>
      <c r="AL320" s="176"/>
      <c r="AM320" s="176"/>
      <c r="AN320" s="176"/>
      <c r="AR320" s="92"/>
      <c r="AS320" s="176"/>
      <c r="AT320" s="178"/>
      <c r="AU320" s="178"/>
      <c r="AV320" s="178"/>
      <c r="AW320" s="178"/>
      <c r="AX320" s="178"/>
      <c r="AY320" s="178"/>
      <c r="AZ320" s="176"/>
    </row>
    <row r="321" spans="1:52" s="165" customFormat="1">
      <c r="A321" s="20">
        <f>A320-$F$303</f>
        <v>2.7580638248805352E-2</v>
      </c>
      <c r="B321" s="26">
        <f t="shared" si="318"/>
        <v>0.99961967830677123</v>
      </c>
      <c r="C321" s="26">
        <f t="shared" si="319"/>
        <v>1.3440423686810385</v>
      </c>
      <c r="D321" s="26">
        <f t="shared" si="320"/>
        <v>0.22868446510614063</v>
      </c>
      <c r="E321" s="26">
        <f t="shared" si="321"/>
        <v>2.7577141655131171E-2</v>
      </c>
      <c r="F321" s="77">
        <f t="shared" si="322"/>
        <v>1.0133598848912255</v>
      </c>
      <c r="G321" s="77">
        <f t="shared" si="323"/>
        <v>1.8070328719170282E-2</v>
      </c>
      <c r="H321" s="139">
        <f t="shared" si="324"/>
        <v>4.2113036600095993E-2</v>
      </c>
      <c r="I321" s="139">
        <f t="shared" si="325"/>
        <v>-0.30550889297573042</v>
      </c>
      <c r="J321" s="77">
        <f t="shared" si="326"/>
        <v>-5.1153037307999361E-2</v>
      </c>
      <c r="K321" s="77">
        <f t="shared" si="327"/>
        <v>-1.8542016913026358</v>
      </c>
      <c r="L321" s="91">
        <f t="shared" si="328"/>
        <v>1.8549071527317449</v>
      </c>
      <c r="M321" s="45"/>
      <c r="N321" s="28"/>
      <c r="O321" s="28"/>
      <c r="P321" s="31"/>
      <c r="AF321" s="176"/>
      <c r="AG321" s="176"/>
      <c r="AH321" s="176"/>
      <c r="AI321" s="176"/>
      <c r="AJ321" s="176"/>
      <c r="AK321" s="176"/>
      <c r="AL321" s="176"/>
      <c r="AM321" s="176"/>
      <c r="AN321" s="176"/>
      <c r="AR321" s="92"/>
      <c r="AS321" s="176"/>
      <c r="AT321" s="178"/>
      <c r="AU321" s="178"/>
      <c r="AV321" s="178"/>
      <c r="AW321" s="178"/>
      <c r="AX321" s="178"/>
      <c r="AY321" s="178"/>
      <c r="AZ321" s="176"/>
    </row>
    <row r="322" spans="1:52" s="165" customFormat="1">
      <c r="A322" s="20">
        <f>A321-$F$303</f>
        <v>2.7298742863676003E-2</v>
      </c>
      <c r="B322" s="26">
        <f t="shared" si="318"/>
        <v>0.99962741245824327</v>
      </c>
      <c r="C322" s="26">
        <f t="shared" si="319"/>
        <v>1.3440501028325105</v>
      </c>
      <c r="D322" s="26">
        <f t="shared" si="320"/>
        <v>0.22787662153024651</v>
      </c>
      <c r="E322" s="26">
        <f t="shared" si="321"/>
        <v>2.7295352388955172E-2</v>
      </c>
      <c r="F322" s="77">
        <f t="shared" si="322"/>
        <v>1.0202106679739609</v>
      </c>
      <c r="G322" s="77">
        <f t="shared" si="323"/>
        <v>2.7336568907367177E-2</v>
      </c>
      <c r="H322" s="139">
        <f t="shared" si="324"/>
        <v>4.1613268971117855E-2</v>
      </c>
      <c r="I322" s="139">
        <f t="shared" si="325"/>
        <v>-0.32371800317823368</v>
      </c>
      <c r="J322" s="77">
        <f t="shared" si="326"/>
        <v>-5.0972335691221143E-2</v>
      </c>
      <c r="K322" s="77">
        <f t="shared" si="327"/>
        <v>-1.8667406563538698</v>
      </c>
      <c r="L322" s="91">
        <f t="shared" si="328"/>
        <v>1.8674364399064014</v>
      </c>
      <c r="M322" s="45"/>
      <c r="N322" s="28"/>
      <c r="O322" s="28"/>
      <c r="P322" s="31"/>
      <c r="AF322" s="176"/>
      <c r="AG322" s="176"/>
      <c r="AH322" s="176"/>
      <c r="AI322" s="176"/>
      <c r="AJ322" s="176"/>
      <c r="AK322" s="176"/>
      <c r="AL322" s="176"/>
      <c r="AM322" s="176"/>
      <c r="AN322" s="176"/>
      <c r="AR322" s="92"/>
      <c r="AS322" s="176"/>
      <c r="AT322" s="178"/>
      <c r="AU322" s="178"/>
      <c r="AV322" s="178"/>
      <c r="AW322" s="178"/>
      <c r="AX322" s="178"/>
      <c r="AY322" s="178"/>
      <c r="AZ322" s="176"/>
    </row>
    <row r="323" spans="1:52" s="165" customFormat="1">
      <c r="A323" s="20">
        <f>A322-$F$303</f>
        <v>2.7016847478546654E-2</v>
      </c>
      <c r="B323" s="26">
        <f t="shared" si="318"/>
        <v>0.99963506717431527</v>
      </c>
      <c r="C323" s="26">
        <f t="shared" si="319"/>
        <v>1.3440577575485824</v>
      </c>
      <c r="D323" s="26">
        <f t="shared" si="320"/>
        <v>0.22706329286079274</v>
      </c>
      <c r="E323" s="26">
        <f t="shared" si="321"/>
        <v>2.7013560953753787E-2</v>
      </c>
      <c r="F323" s="77">
        <f t="shared" si="322"/>
        <v>1.0271795440371645</v>
      </c>
      <c r="G323" s="77">
        <f t="shared" si="323"/>
        <v>3.676253943709492E-2</v>
      </c>
      <c r="H323" s="139">
        <f t="shared" si="324"/>
        <v>4.11066916211347E-2</v>
      </c>
      <c r="I323" s="139">
        <f t="shared" si="325"/>
        <v>-0.34236691448768364</v>
      </c>
      <c r="J323" s="77">
        <f t="shared" si="326"/>
        <v>-5.0790407147220905E-2</v>
      </c>
      <c r="K323" s="77">
        <f t="shared" si="327"/>
        <v>-1.8794957150352205</v>
      </c>
      <c r="L323" s="91">
        <f t="shared" si="328"/>
        <v>1.8801818551124077</v>
      </c>
      <c r="M323" s="45"/>
      <c r="N323" s="28"/>
      <c r="O323" s="28"/>
      <c r="P323" s="89"/>
      <c r="AF323" s="176"/>
      <c r="AG323" s="176"/>
      <c r="AH323" s="176"/>
      <c r="AI323" s="176"/>
      <c r="AJ323" s="176"/>
      <c r="AK323" s="176"/>
      <c r="AL323" s="176"/>
      <c r="AM323" s="176"/>
      <c r="AN323" s="176"/>
      <c r="AR323" s="92"/>
      <c r="AS323" s="176"/>
      <c r="AT323" s="178"/>
      <c r="AU323" s="178"/>
      <c r="AV323" s="178"/>
      <c r="AW323" s="178"/>
      <c r="AX323" s="178"/>
      <c r="AY323" s="178"/>
      <c r="AZ323" s="176"/>
    </row>
    <row r="324" spans="1:52" s="165" customFormat="1">
      <c r="A324" s="20">
        <f>A323-$F$303</f>
        <v>2.6734952093417304E-2</v>
      </c>
      <c r="B324" s="26">
        <f t="shared" si="318"/>
        <v>0.99964264245437906</v>
      </c>
      <c r="C324" s="26">
        <f t="shared" si="319"/>
        <v>1.3440653328286463</v>
      </c>
      <c r="D324" s="26">
        <f t="shared" si="320"/>
        <v>0.22624438398361346</v>
      </c>
      <c r="E324" s="26">
        <f t="shared" si="321"/>
        <v>2.6731767371919575E-2</v>
      </c>
      <c r="F324" s="77">
        <f t="shared" si="322"/>
        <v>1.0342698139411517</v>
      </c>
      <c r="G324" s="77">
        <f t="shared" si="323"/>
        <v>4.635270498985633E-2</v>
      </c>
      <c r="H324" s="75">
        <f t="shared" si="324"/>
        <v>4.0593139179201397E-2</v>
      </c>
      <c r="I324" s="75">
        <f t="shared" si="325"/>
        <v>-0.36147100669702348</v>
      </c>
      <c r="J324" s="77">
        <f t="shared" si="326"/>
        <v>-5.0607230400489277E-2</v>
      </c>
      <c r="K324" s="77">
        <f t="shared" si="327"/>
        <v>-1.8924729076456102</v>
      </c>
      <c r="L324" s="91">
        <f t="shared" si="328"/>
        <v>1.8931494388825827</v>
      </c>
      <c r="M324" s="45"/>
      <c r="N324" s="28"/>
      <c r="O324" s="28"/>
      <c r="P324" s="28"/>
      <c r="AF324" s="176"/>
      <c r="AG324" s="176"/>
      <c r="AH324" s="176"/>
      <c r="AI324" s="176"/>
      <c r="AJ324" s="176"/>
      <c r="AK324" s="176"/>
      <c r="AL324" s="176"/>
      <c r="AM324" s="176"/>
      <c r="AN324" s="176"/>
      <c r="AR324" s="92"/>
      <c r="AS324" s="176"/>
      <c r="AT324" s="178"/>
      <c r="AU324" s="178"/>
      <c r="AV324" s="178"/>
      <c r="AW324" s="178"/>
      <c r="AX324" s="178"/>
      <c r="AY324" s="178"/>
      <c r="AZ324" s="176"/>
    </row>
    <row r="325" spans="1:52" s="165" customFormat="1">
      <c r="A325" s="159"/>
      <c r="B325" s="159"/>
      <c r="C325" s="159"/>
      <c r="D325" s="159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AF325" s="176"/>
      <c r="AG325" s="176"/>
      <c r="AH325" s="176"/>
      <c r="AI325" s="176"/>
      <c r="AJ325" s="176"/>
      <c r="AK325" s="176"/>
      <c r="AL325" s="176"/>
      <c r="AM325" s="176"/>
      <c r="AN325" s="176"/>
      <c r="AR325" s="92"/>
      <c r="AS325" s="176"/>
      <c r="AT325" s="178"/>
      <c r="AU325" s="178"/>
      <c r="AV325" s="178"/>
      <c r="AW325" s="178"/>
      <c r="AX325" s="178"/>
      <c r="AY325" s="178"/>
      <c r="AZ325" s="176"/>
    </row>
    <row r="326" spans="1:52" s="165" customFormat="1">
      <c r="A326" s="88" t="s">
        <v>73</v>
      </c>
      <c r="B326" s="88"/>
      <c r="C326" s="23" t="str">
        <f>CONCATENATE("m",Stufengrün!AH44)</f>
        <v>m-4</v>
      </c>
      <c r="D326" s="23" t="s">
        <v>30</v>
      </c>
      <c r="E326" s="28"/>
      <c r="F326" s="28"/>
      <c r="G326" s="28"/>
      <c r="H326" s="36" t="s">
        <v>57</v>
      </c>
      <c r="I326" s="36" t="s">
        <v>51</v>
      </c>
      <c r="J326" s="36" t="s">
        <v>58</v>
      </c>
      <c r="K326" s="36" t="s">
        <v>59</v>
      </c>
      <c r="L326" s="28"/>
      <c r="M326" s="28"/>
      <c r="N326" s="28"/>
      <c r="O326" s="28"/>
      <c r="P326" s="28"/>
      <c r="AF326" s="176"/>
      <c r="AG326" s="176"/>
      <c r="AH326" s="176"/>
      <c r="AI326" s="176"/>
      <c r="AJ326" s="176"/>
      <c r="AK326" s="176"/>
      <c r="AL326" s="176"/>
      <c r="AM326" s="176"/>
      <c r="AN326" s="176"/>
      <c r="AR326" s="92"/>
      <c r="AS326" s="176"/>
      <c r="AT326" s="178"/>
      <c r="AU326" s="178"/>
      <c r="AV326" s="178"/>
      <c r="AW326" s="178"/>
      <c r="AX326" s="178"/>
      <c r="AY326" s="178"/>
      <c r="AZ326" s="176"/>
    </row>
    <row r="327" spans="1:52" s="165" customFormat="1">
      <c r="A327" s="88" t="s">
        <v>69</v>
      </c>
      <c r="B327" s="88"/>
      <c r="C327" s="36">
        <f>Stufengrün!AI44</f>
        <v>0.14505155745746634</v>
      </c>
      <c r="D327" s="26">
        <f>Stufengrün!AK43</f>
        <v>-0.49075210650337253</v>
      </c>
      <c r="E327" s="28"/>
      <c r="F327" s="28"/>
      <c r="G327" s="28"/>
      <c r="H327" s="78">
        <f>H316</f>
        <v>4.0409252640442282E-2</v>
      </c>
      <c r="I327" s="78">
        <f>I316</f>
        <v>-0.3683604095944944</v>
      </c>
      <c r="J327" s="78">
        <f>J316</f>
        <v>-5.0541945961854531E-2</v>
      </c>
      <c r="K327" s="78">
        <f>K316</f>
        <v>-1.8971310098685228</v>
      </c>
      <c r="L327" s="28"/>
      <c r="M327" s="28"/>
      <c r="N327" s="28"/>
      <c r="O327" s="28"/>
      <c r="P327" s="28"/>
      <c r="AF327" s="176"/>
      <c r="AG327" s="176"/>
      <c r="AH327" s="176"/>
      <c r="AI327" s="176"/>
      <c r="AJ327" s="176"/>
      <c r="AK327" s="176"/>
      <c r="AL327" s="176"/>
      <c r="AM327" s="176"/>
      <c r="AN327" s="176"/>
      <c r="AR327" s="92"/>
      <c r="AS327" s="176"/>
      <c r="AT327" s="178"/>
      <c r="AU327" s="178"/>
      <c r="AV327" s="178"/>
      <c r="AW327" s="178"/>
      <c r="AX327" s="178"/>
      <c r="AY327" s="178"/>
      <c r="AZ327" s="176"/>
    </row>
    <row r="328" spans="1:52" s="165" customFormat="1">
      <c r="A328" s="95"/>
      <c r="B328" s="95"/>
      <c r="C328" s="28"/>
      <c r="D328" s="28"/>
      <c r="E328" s="28"/>
      <c r="F328" s="28"/>
      <c r="G328" s="28"/>
      <c r="H328" s="37" t="s">
        <v>8</v>
      </c>
      <c r="I328" s="37" t="s">
        <v>8</v>
      </c>
      <c r="J328" s="37" t="s">
        <v>9</v>
      </c>
      <c r="K328" s="37" t="s">
        <v>9</v>
      </c>
      <c r="L328" s="28"/>
      <c r="M328" s="28"/>
      <c r="N328" s="28"/>
      <c r="O328" s="28"/>
      <c r="P328" s="28"/>
      <c r="AF328" s="176"/>
      <c r="AG328" s="176"/>
      <c r="AH328" s="176"/>
      <c r="AI328" s="176"/>
      <c r="AJ328" s="176"/>
      <c r="AK328" s="176"/>
      <c r="AL328" s="176"/>
      <c r="AM328" s="176"/>
      <c r="AN328" s="176"/>
      <c r="AR328" s="92"/>
      <c r="AS328" s="176"/>
      <c r="AT328" s="178"/>
      <c r="AU328" s="178"/>
      <c r="AV328" s="178"/>
      <c r="AW328" s="178"/>
      <c r="AX328" s="178"/>
      <c r="AY328" s="178"/>
      <c r="AZ328" s="176"/>
    </row>
    <row r="329" spans="1:52" s="165" customFormat="1">
      <c r="A329" s="88" t="s">
        <v>68</v>
      </c>
      <c r="B329" s="88"/>
      <c r="C329" s="115" t="s">
        <v>15</v>
      </c>
      <c r="D329" s="115" t="s">
        <v>55</v>
      </c>
      <c r="E329" s="115" t="s">
        <v>12</v>
      </c>
      <c r="F329" s="115" t="s">
        <v>10</v>
      </c>
      <c r="G329" s="115" t="s">
        <v>14</v>
      </c>
      <c r="H329" s="115" t="s">
        <v>21</v>
      </c>
      <c r="I329" s="115" t="s">
        <v>16</v>
      </c>
      <c r="J329" s="115" t="s">
        <v>17</v>
      </c>
      <c r="K329" s="115" t="s">
        <v>23</v>
      </c>
      <c r="L329" s="28"/>
      <c r="M329" s="28"/>
      <c r="N329" s="28"/>
      <c r="O329" s="28"/>
      <c r="P329" s="28"/>
      <c r="AF329" s="176"/>
      <c r="AG329" s="176"/>
      <c r="AH329" s="176"/>
      <c r="AI329" s="176"/>
      <c r="AJ329" s="176"/>
      <c r="AK329" s="176"/>
      <c r="AL329" s="176"/>
      <c r="AM329" s="176"/>
      <c r="AN329" s="176"/>
      <c r="AR329" s="92"/>
      <c r="AS329" s="176"/>
      <c r="AT329" s="178"/>
      <c r="AU329" s="178"/>
      <c r="AV329" s="178"/>
      <c r="AW329" s="178"/>
      <c r="AX329" s="178"/>
      <c r="AY329" s="178"/>
      <c r="AZ329" s="176"/>
    </row>
    <row r="330" spans="1:52" s="165" customFormat="1">
      <c r="A330" s="28"/>
      <c r="B330" s="28"/>
      <c r="C330" s="23">
        <f>Mü/TAN($C327)</f>
        <v>0.47919773462141801</v>
      </c>
      <c r="D330" s="42">
        <f>SQRT($J327*$J327+$K327*$K327)</f>
        <v>1.8978041408181119</v>
      </c>
      <c r="E330" s="20">
        <f>ATAN($J327/$K327)</f>
        <v>2.6634952093417305E-2</v>
      </c>
      <c r="F330" s="23">
        <f>($E330-A343-0.0001)/5</f>
        <v>2.2470951164399303E-4</v>
      </c>
      <c r="G330" s="23">
        <f>COS($E330)</f>
        <v>0.99964531063289863</v>
      </c>
      <c r="H330" s="23">
        <f>SIN($E330)</f>
        <v>2.6631802974181905E-2</v>
      </c>
      <c r="I330" s="23">
        <f>$C330+$G330</f>
        <v>1.4788430452543166</v>
      </c>
      <c r="J330" s="23">
        <f>POWER(TAN($E330/2),$C330)</f>
        <v>0.12625236983383983</v>
      </c>
      <c r="K330" s="23">
        <f>-$D330*$D330*SIN($E330)*SIN($E330)/(2*9.81*SIN($C327)*POWER(TAN($E330/2),2*$C330))</f>
        <v>-5.6510276635504855E-2</v>
      </c>
      <c r="L330" s="28"/>
      <c r="M330" s="28"/>
      <c r="N330" s="28"/>
      <c r="O330" s="28"/>
      <c r="P330" s="28"/>
      <c r="AF330" s="176"/>
      <c r="AG330" s="176"/>
      <c r="AH330" s="176"/>
      <c r="AI330" s="176"/>
      <c r="AJ330" s="176"/>
      <c r="AK330" s="176"/>
      <c r="AL330" s="176"/>
      <c r="AM330" s="176"/>
      <c r="AN330" s="176"/>
      <c r="AR330" s="92"/>
      <c r="AS330" s="176"/>
      <c r="AT330" s="178"/>
      <c r="AU330" s="178"/>
      <c r="AV330" s="178"/>
      <c r="AW330" s="178"/>
      <c r="AX330" s="178"/>
      <c r="AY330" s="178"/>
      <c r="AZ330" s="176"/>
    </row>
    <row r="331" spans="1:52" s="165" customFormat="1">
      <c r="A331" s="88" t="s">
        <v>70</v>
      </c>
      <c r="B331" s="8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45"/>
      <c r="N331" s="28"/>
      <c r="O331" s="28"/>
      <c r="P331" s="28"/>
      <c r="AF331" s="176"/>
      <c r="AG331" s="176"/>
      <c r="AH331" s="176"/>
      <c r="AI331" s="176"/>
      <c r="AJ331" s="176"/>
      <c r="AK331" s="176"/>
      <c r="AL331" s="176"/>
      <c r="AM331" s="176"/>
      <c r="AN331" s="176"/>
      <c r="AR331" s="92"/>
      <c r="AS331" s="176"/>
      <c r="AT331" s="178"/>
      <c r="AU331" s="178"/>
      <c r="AV331" s="178"/>
      <c r="AW331" s="178"/>
      <c r="AX331" s="178"/>
      <c r="AY331" s="178"/>
      <c r="AZ331" s="176"/>
    </row>
    <row r="332" spans="1:52" s="165" customFormat="1">
      <c r="A332" s="115" t="s">
        <v>11</v>
      </c>
      <c r="B332" s="115" t="s">
        <v>13</v>
      </c>
      <c r="C332" s="117" t="s">
        <v>22</v>
      </c>
      <c r="D332" s="117" t="s">
        <v>18</v>
      </c>
      <c r="E332" s="115" t="s">
        <v>19</v>
      </c>
      <c r="F332" s="117" t="s">
        <v>20</v>
      </c>
      <c r="G332" s="117" t="s">
        <v>2</v>
      </c>
      <c r="H332" s="117" t="s">
        <v>65</v>
      </c>
      <c r="I332" s="117" t="s">
        <v>66</v>
      </c>
      <c r="J332" s="118" t="s">
        <v>3</v>
      </c>
      <c r="K332" s="118" t="s">
        <v>4</v>
      </c>
      <c r="L332" s="116" t="s">
        <v>7</v>
      </c>
      <c r="M332" s="93"/>
      <c r="N332" s="117" t="s">
        <v>61</v>
      </c>
      <c r="O332" s="117" t="s">
        <v>62</v>
      </c>
      <c r="P332" s="115" t="s">
        <v>63</v>
      </c>
      <c r="AF332" s="176"/>
      <c r="AG332" s="176"/>
      <c r="AH332" s="176"/>
      <c r="AI332" s="176"/>
      <c r="AJ332" s="176"/>
      <c r="AK332" s="176"/>
      <c r="AL332" s="176"/>
      <c r="AM332" s="176"/>
      <c r="AN332" s="176"/>
      <c r="AR332" s="92"/>
      <c r="AS332" s="176"/>
      <c r="AT332" s="178"/>
      <c r="AU332" s="178"/>
      <c r="AV332" s="178"/>
      <c r="AW332" s="178"/>
      <c r="AX332" s="178"/>
      <c r="AY332" s="178"/>
      <c r="AZ332" s="176"/>
    </row>
    <row r="333" spans="1:52" s="165" customFormat="1">
      <c r="A333" s="19">
        <f>$E330</f>
        <v>2.6634952093417305E-2</v>
      </c>
      <c r="B333" s="26">
        <f>COS(A333)</f>
        <v>0.99964531063289863</v>
      </c>
      <c r="C333" s="26">
        <f>($C$330+B333)</f>
        <v>1.4788430452543166</v>
      </c>
      <c r="D333" s="26">
        <f>POWER(TAN(A333/2),$C$330)</f>
        <v>0.12625236983383983</v>
      </c>
      <c r="E333" s="26">
        <f>SIN(A333)</f>
        <v>2.6631802974181905E-2</v>
      </c>
      <c r="F333" s="77">
        <f>(C333*$H$330*D333/E333/$I$330/$J$330)</f>
        <v>1</v>
      </c>
      <c r="G333" s="77">
        <f>$D$330*($C$330+$G$330)/9.81/SIN($C$327)/(1-$C$330*$C$327)*(F333-1)</f>
        <v>0</v>
      </c>
      <c r="H333" s="75">
        <f>-(-$H$327+$K$330*((POWER(TAN(A333/2),2*$C$330-1)/(2*$C$330-1))+(POWER(TAN(A333/2),2*$C$330+1)/(2*$C$330+1))-(POWER(TAN($E$330/2),2*$C$330-1)/(2*$C$330-1))-(POWER(TAN($E$330/2),2*$C$330+1)/(2*$C$330+1))))</f>
        <v>4.0409252640442248E-2</v>
      </c>
      <c r="I333" s="75">
        <f>-(-$I$327+0.5*$K$330*((POWER(TAN(A333/2),2*$C$330-2)/(2*$C$330-2))-(POWER(TAN(A333/2),2*$C$330+2)/(2*$C$330+2))-(POWER(TAN($E$330/2),2*$C$330-2)/(2*$C$330-2))+(POWER(TAN($E$330/2),2*$C$330+2)/(2*$C$330+2))))</f>
        <v>-0.36836040959449434</v>
      </c>
      <c r="J333" s="77">
        <f>-$D$330*SIN(A333)*($C$330+$G$330)/($C$330+B333)*F333</f>
        <v>-5.0541945961854524E-2</v>
      </c>
      <c r="K333" s="77">
        <f>-$D$330*COS(A333)*($C$330+$G$330)/($C$330+B333)*F333</f>
        <v>-1.8971310098685228</v>
      </c>
      <c r="L333" s="91">
        <f>SQRT(J333*J333+K333*K333)</f>
        <v>1.8978041408181119</v>
      </c>
      <c r="M333" s="93"/>
      <c r="N333" s="75">
        <f>-(-$I$327+0.5*$K$330*((POWER(TAN(A333/2),2*$C$330-2)/(2*$C$330-2))-(POWER(TAN(A333/2),2*$C$330+2)/(2*$C$330+2))-(POWER(TAN($E$330/2),2*$C$330-2)/(2*$C$330-2))+(POWER(TAN($E$330/2),2*$C$330+2)/(2*$C$330+2))))-$D$327</f>
        <v>0.12239169690887819</v>
      </c>
      <c r="O333" s="75">
        <f>-(-$I$327+0.5*$K$330*((POWER(TAN((A333+$M$9)/2),2*$C$330-2)/(2*$C$330-2))-(POWER(TAN((A333+$M$9)/2),2*$C$330+2)/(2*$C$330+2))-(POWER(TAN($E$330/2),2*$C$330-2)/(2*$C$330-2))+(POWER(TAN($E$330/2),2*$C$330+2)/(2*$C$330+2))))-$D$327</f>
        <v>0.21421310933416898</v>
      </c>
      <c r="P333" s="75">
        <f>A333-N333/(O333-N333)*$M$9</f>
        <v>2.5302020115176821E-2</v>
      </c>
      <c r="AF333" s="176"/>
      <c r="AG333" s="176"/>
      <c r="AH333" s="176"/>
      <c r="AI333" s="176"/>
      <c r="AJ333" s="176"/>
      <c r="AK333" s="176"/>
      <c r="AL333" s="176"/>
      <c r="AM333" s="176"/>
      <c r="AN333" s="176"/>
      <c r="AR333" s="92"/>
      <c r="AS333" s="176"/>
      <c r="AT333" s="178"/>
      <c r="AU333" s="178"/>
      <c r="AV333" s="178"/>
      <c r="AW333" s="178"/>
      <c r="AX333" s="178"/>
      <c r="AY333" s="178"/>
      <c r="AZ333" s="176"/>
    </row>
    <row r="334" spans="1:52" s="165" customFormat="1">
      <c r="A334" s="19">
        <f>P333</f>
        <v>2.5302020115176821E-2</v>
      </c>
      <c r="B334" s="26">
        <f t="shared" ref="B334:B343" si="329">COS(A334)</f>
        <v>0.99967992096560121</v>
      </c>
      <c r="C334" s="26">
        <f t="shared" ref="C334:C343" si="330">($C$330+B334)</f>
        <v>1.4788776555870191</v>
      </c>
      <c r="D334" s="26">
        <f t="shared" ref="D334:D343" si="331">POWER(TAN(A334/2),$C$330)</f>
        <v>0.12318385719897364</v>
      </c>
      <c r="E334" s="26">
        <f t="shared" ref="E334:E343" si="332">SIN(A334)</f>
        <v>2.5299320508845567E-2</v>
      </c>
      <c r="F334" s="77">
        <f t="shared" ref="F334:F343" si="333">(C334*$H$330*D334/E334/$I$330/$J$330)</f>
        <v>1.0271080573037337</v>
      </c>
      <c r="G334" s="77">
        <f t="shared" ref="G334:G343" si="334">$D$330*($C$330+$G$330)/9.81/SIN($C$327)/(1-$C$330*$C$327)*(F334-1)</f>
        <v>5.7662303731463728E-2</v>
      </c>
      <c r="H334" s="75">
        <f t="shared" ref="H334:H343" si="335">-(-$H$327+$K$330*((POWER(TAN(A334/2),2*$C$330-1)/(2*$C$330-1))+(POWER(TAN(A334/2),2*$C$330+1)/(2*$C$330+1))-(POWER(TAN($E$330/2),2*$C$330-1)/(2*$C$330-1))-(POWER(TAN($E$330/2),2*$C$330+1)/(2*$C$330+1))))</f>
        <v>3.6932277334565777E-2</v>
      </c>
      <c r="I334" s="75">
        <f t="shared" ref="I334:I343" si="336">-(-$I$327+0.5*$K$330*((POWER(TAN(A334/2),2*$C$330-2)/(2*$C$330-2))-(POWER(TAN(A334/2),2*$C$330+2)/(2*$C$330+2))-(POWER(TAN($E$330/2),2*$C$330-2)/(2*$C$330-2))+(POWER(TAN($E$330/2),2*$C$330+2)/(2*$C$330+2))))</f>
        <v>-0.5022824586682102</v>
      </c>
      <c r="J334" s="77">
        <f t="shared" ref="J334:J343" si="337">-$D$330*SIN(A334)*($C$330+$G$330)/($C$330+B334)*F334</f>
        <v>-4.9313544467460509E-2</v>
      </c>
      <c r="K334" s="77">
        <f t="shared" ref="K334:K343" si="338">-$D$330*COS(A334)*($C$330+$G$330)/($C$330+B334)*F334</f>
        <v>-1.9485804062811996</v>
      </c>
      <c r="L334" s="91">
        <f t="shared" ref="L334:L343" si="339">SQRT(J334*J334+K334*K334)</f>
        <v>1.9492043057132182</v>
      </c>
      <c r="M334" s="93"/>
      <c r="N334" s="75">
        <f t="shared" ref="N334:N343" si="340">-(-$I$327+0.5*$K$330*((POWER(TAN(A334/2),2*$C$330-2)/(2*$C$330-2))-(POWER(TAN(A334/2),2*$C$330+2)/(2*$C$330+2))-(POWER(TAN($E$330/2),2*$C$330-2)/(2*$C$330-2))+(POWER(TAN($E$330/2),2*$C$330+2)/(2*$C$330+2))))-$D$327</f>
        <v>-1.1530352164837665E-2</v>
      </c>
      <c r="O334" s="75">
        <f t="shared" ref="O334:O343" si="341">-(-$I$327+0.5*$K$330*((POWER(TAN((A334+$M$9)/2),2*$C$330-2)/(2*$C$330-2))-(POWER(TAN((A334+$M$9)/2),2*$C$330+2)/(2*$C$330+2))-(POWER(TAN($E$330/2),2*$C$330-2)/(2*$C$330-2))+(POWER(TAN($E$330/2),2*$C$330+2)/(2*$C$330+2))))-$D$327</f>
        <v>9.0239353432084279E-2</v>
      </c>
      <c r="P334" s="75">
        <f t="shared" ref="P334:P343" si="342">A334-N334/(O334-N334)*$M$9</f>
        <v>2.541531858742067E-2</v>
      </c>
      <c r="AF334" s="176"/>
      <c r="AG334" s="176"/>
      <c r="AH334" s="176"/>
      <c r="AI334" s="176"/>
      <c r="AJ334" s="176"/>
      <c r="AK334" s="176"/>
      <c r="AL334" s="176"/>
      <c r="AM334" s="176"/>
      <c r="AN334" s="176"/>
      <c r="AR334" s="92"/>
      <c r="AS334" s="176"/>
      <c r="AT334" s="178"/>
      <c r="AU334" s="178"/>
      <c r="AV334" s="178"/>
      <c r="AW334" s="178"/>
      <c r="AX334" s="178"/>
      <c r="AY334" s="178"/>
      <c r="AZ334" s="176"/>
    </row>
    <row r="335" spans="1:52" s="165" customFormat="1">
      <c r="A335" s="19">
        <f t="shared" ref="A335:A343" si="343">P334</f>
        <v>2.541531858742067E-2</v>
      </c>
      <c r="B335" s="26">
        <f t="shared" si="329"/>
        <v>0.99967704817502734</v>
      </c>
      <c r="C335" s="26">
        <f t="shared" si="330"/>
        <v>1.4788747827964452</v>
      </c>
      <c r="D335" s="26">
        <f t="shared" si="331"/>
        <v>0.12344790250948667</v>
      </c>
      <c r="E335" s="26">
        <f t="shared" si="332"/>
        <v>2.5412582554003586E-2</v>
      </c>
      <c r="F335" s="77">
        <f t="shared" si="333"/>
        <v>1.024720119934492</v>
      </c>
      <c r="G335" s="77">
        <f t="shared" si="334"/>
        <v>5.258285564213265E-2</v>
      </c>
      <c r="H335" s="75">
        <f t="shared" si="335"/>
        <v>3.7235150625109306E-2</v>
      </c>
      <c r="I335" s="75">
        <f t="shared" si="336"/>
        <v>-0.49034139859515641</v>
      </c>
      <c r="J335" s="77">
        <f t="shared" si="337"/>
        <v>-4.9419248335300731E-2</v>
      </c>
      <c r="K335" s="77">
        <f t="shared" si="338"/>
        <v>-1.9440483151949035</v>
      </c>
      <c r="L335" s="91">
        <f t="shared" si="339"/>
        <v>1.9446763519717538</v>
      </c>
      <c r="M335" s="93"/>
      <c r="N335" s="75">
        <f t="shared" si="340"/>
        <v>4.1070790821612357E-4</v>
      </c>
      <c r="O335" s="75">
        <f t="shared" si="341"/>
        <v>0.10127382737751595</v>
      </c>
      <c r="P335" s="75">
        <f t="shared" si="342"/>
        <v>2.5411246653988737E-2</v>
      </c>
      <c r="AF335" s="176"/>
      <c r="AG335" s="176"/>
      <c r="AH335" s="176"/>
      <c r="AI335" s="176"/>
      <c r="AJ335" s="176"/>
      <c r="AK335" s="176"/>
      <c r="AL335" s="176"/>
      <c r="AM335" s="176"/>
      <c r="AN335" s="176"/>
      <c r="AR335" s="92"/>
      <c r="AS335" s="176"/>
      <c r="AT335" s="178"/>
      <c r="AU335" s="178"/>
      <c r="AV335" s="178"/>
      <c r="AW335" s="178"/>
      <c r="AX335" s="178"/>
      <c r="AY335" s="178"/>
      <c r="AZ335" s="176"/>
    </row>
    <row r="336" spans="1:52" s="165" customFormat="1">
      <c r="A336" s="19">
        <f t="shared" si="343"/>
        <v>2.5411246653988737E-2</v>
      </c>
      <c r="B336" s="26">
        <f t="shared" si="329"/>
        <v>0.99967715164508419</v>
      </c>
      <c r="C336" s="26">
        <f t="shared" si="330"/>
        <v>1.4788748862665022</v>
      </c>
      <c r="D336" s="26">
        <f t="shared" si="331"/>
        <v>0.12343842338014201</v>
      </c>
      <c r="E336" s="26">
        <f t="shared" si="332"/>
        <v>2.5408511935399319E-2</v>
      </c>
      <c r="F336" s="77">
        <f t="shared" si="333"/>
        <v>1.0248056616038013</v>
      </c>
      <c r="G336" s="77">
        <f t="shared" si="334"/>
        <v>5.2764813709512484E-2</v>
      </c>
      <c r="H336" s="75">
        <f t="shared" si="335"/>
        <v>3.7224289766852783E-2</v>
      </c>
      <c r="I336" s="75">
        <f t="shared" si="336"/>
        <v>-0.49076867594685003</v>
      </c>
      <c r="J336" s="77">
        <f t="shared" si="337"/>
        <v>-4.9415453605397959E-2</v>
      </c>
      <c r="K336" s="77">
        <f t="shared" si="338"/>
        <v>-1.9442106658229878</v>
      </c>
      <c r="L336" s="91">
        <f t="shared" si="339"/>
        <v>1.9448385537506432</v>
      </c>
      <c r="M336" s="93"/>
      <c r="N336" s="75">
        <f t="shared" si="340"/>
        <v>-1.656944347749878E-5</v>
      </c>
      <c r="O336" s="75">
        <f t="shared" si="341"/>
        <v>0.10087892378409408</v>
      </c>
      <c r="P336" s="75">
        <f t="shared" si="342"/>
        <v>2.5411410877810313E-2</v>
      </c>
      <c r="AF336" s="176"/>
      <c r="AG336" s="176"/>
      <c r="AH336" s="176"/>
      <c r="AI336" s="176"/>
      <c r="AJ336" s="176"/>
      <c r="AK336" s="176"/>
      <c r="AL336" s="176"/>
      <c r="AM336" s="176"/>
      <c r="AN336" s="176"/>
      <c r="AR336" s="92"/>
      <c r="AS336" s="176"/>
      <c r="AT336" s="178"/>
      <c r="AU336" s="178"/>
      <c r="AV336" s="178"/>
      <c r="AW336" s="178"/>
      <c r="AX336" s="178"/>
      <c r="AY336" s="178"/>
      <c r="AZ336" s="176"/>
    </row>
    <row r="337" spans="1:52" s="165" customFormat="1">
      <c r="A337" s="19">
        <f t="shared" si="343"/>
        <v>2.5411410877810313E-2</v>
      </c>
      <c r="B337" s="26">
        <f t="shared" si="329"/>
        <v>0.99967714747238778</v>
      </c>
      <c r="C337" s="26">
        <f t="shared" si="330"/>
        <v>1.4788748820938058</v>
      </c>
      <c r="D337" s="26">
        <f t="shared" si="331"/>
        <v>0.1234388056951219</v>
      </c>
      <c r="E337" s="26">
        <f t="shared" si="332"/>
        <v>2.5408676106201161E-2</v>
      </c>
      <c r="F337" s="77">
        <f t="shared" si="333"/>
        <v>1.0248022112473052</v>
      </c>
      <c r="G337" s="77">
        <f t="shared" si="334"/>
        <v>5.2757474360106915E-2</v>
      </c>
      <c r="H337" s="75">
        <f t="shared" si="335"/>
        <v>3.7224727827652619E-2</v>
      </c>
      <c r="I337" s="75">
        <f t="shared" si="336"/>
        <v>-0.4907514408581351</v>
      </c>
      <c r="J337" s="77">
        <f t="shared" si="337"/>
        <v>-4.9415606655539346E-2</v>
      </c>
      <c r="K337" s="77">
        <f t="shared" si="338"/>
        <v>-1.9442041173475699</v>
      </c>
      <c r="L337" s="91">
        <f t="shared" si="339"/>
        <v>1.9448320112781923</v>
      </c>
      <c r="M337" s="93"/>
      <c r="N337" s="75">
        <f t="shared" si="340"/>
        <v>6.6564523742984605E-7</v>
      </c>
      <c r="O337" s="75">
        <f t="shared" si="341"/>
        <v>0.10089485291769196</v>
      </c>
      <c r="P337" s="75">
        <f t="shared" si="342"/>
        <v>2.5411404280351574E-2</v>
      </c>
      <c r="AF337" s="176"/>
      <c r="AG337" s="176"/>
      <c r="AH337" s="176"/>
      <c r="AI337" s="176"/>
      <c r="AJ337" s="176"/>
      <c r="AK337" s="176"/>
      <c r="AL337" s="176"/>
      <c r="AM337" s="176"/>
      <c r="AN337" s="176"/>
      <c r="AR337" s="92"/>
      <c r="AS337" s="176"/>
      <c r="AT337" s="178"/>
      <c r="AU337" s="178"/>
      <c r="AV337" s="178"/>
      <c r="AW337" s="178"/>
      <c r="AX337" s="178"/>
      <c r="AY337" s="178"/>
      <c r="AZ337" s="176"/>
    </row>
    <row r="338" spans="1:52" s="165" customFormat="1">
      <c r="A338" s="19">
        <f t="shared" si="343"/>
        <v>2.5411404280351574E-2</v>
      </c>
      <c r="B338" s="26">
        <f t="shared" si="329"/>
        <v>0.99967714764002047</v>
      </c>
      <c r="C338" s="26">
        <f t="shared" si="330"/>
        <v>1.4788748822614384</v>
      </c>
      <c r="D338" s="26">
        <f t="shared" si="331"/>
        <v>0.12343879033618549</v>
      </c>
      <c r="E338" s="26">
        <f t="shared" si="332"/>
        <v>2.5408669510872429E-2</v>
      </c>
      <c r="F338" s="77">
        <f t="shared" si="333"/>
        <v>1.0248023498598222</v>
      </c>
      <c r="G338" s="77">
        <f t="shared" si="334"/>
        <v>5.2757769206652642E-2</v>
      </c>
      <c r="H338" s="75">
        <f t="shared" si="335"/>
        <v>3.7224710229239386E-2</v>
      </c>
      <c r="I338" s="75">
        <f t="shared" si="336"/>
        <v>-0.49075213324895561</v>
      </c>
      <c r="J338" s="77">
        <f t="shared" si="337"/>
        <v>-4.941560050697727E-2</v>
      </c>
      <c r="K338" s="77">
        <f t="shared" si="338"/>
        <v>-1.9442043804220268</v>
      </c>
      <c r="L338" s="91">
        <f t="shared" si="339"/>
        <v>1.9448322741114881</v>
      </c>
      <c r="M338" s="93"/>
      <c r="N338" s="75">
        <f t="shared" si="340"/>
        <v>-2.6745583081577706E-8</v>
      </c>
      <c r="O338" s="75">
        <f t="shared" si="341"/>
        <v>0.10089421299127438</v>
      </c>
      <c r="P338" s="75">
        <f t="shared" si="342"/>
        <v>2.5411404545436906E-2</v>
      </c>
      <c r="AF338" s="176"/>
      <c r="AG338" s="176"/>
      <c r="AH338" s="176"/>
      <c r="AI338" s="176"/>
      <c r="AJ338" s="176"/>
      <c r="AK338" s="176"/>
      <c r="AL338" s="176"/>
      <c r="AM338" s="176"/>
      <c r="AN338" s="176"/>
      <c r="AR338" s="92"/>
      <c r="AS338" s="176"/>
      <c r="AT338" s="178"/>
      <c r="AU338" s="178"/>
      <c r="AV338" s="178"/>
      <c r="AW338" s="178"/>
      <c r="AX338" s="178"/>
      <c r="AY338" s="178"/>
      <c r="AZ338" s="176"/>
    </row>
    <row r="339" spans="1:52" s="165" customFormat="1">
      <c r="A339" s="19">
        <f t="shared" si="343"/>
        <v>2.5411404545436906E-2</v>
      </c>
      <c r="B339" s="26">
        <f t="shared" si="329"/>
        <v>0.99967714763328497</v>
      </c>
      <c r="C339" s="26">
        <f t="shared" si="330"/>
        <v>1.4788748822547029</v>
      </c>
      <c r="D339" s="26">
        <f t="shared" si="331"/>
        <v>0.12343879095330625</v>
      </c>
      <c r="E339" s="26">
        <f t="shared" si="332"/>
        <v>2.5408669775872177E-2</v>
      </c>
      <c r="F339" s="77">
        <f t="shared" si="333"/>
        <v>1.0248023442903818</v>
      </c>
      <c r="G339" s="77">
        <f t="shared" si="334"/>
        <v>5.2757757359740705E-2</v>
      </c>
      <c r="H339" s="75">
        <f t="shared" si="335"/>
        <v>3.7224710936342366E-2</v>
      </c>
      <c r="I339" s="75">
        <f t="shared" si="336"/>
        <v>-0.49075210542874548</v>
      </c>
      <c r="J339" s="77">
        <f t="shared" si="337"/>
        <v>-4.9415600754025971E-2</v>
      </c>
      <c r="K339" s="77">
        <f t="shared" si="338"/>
        <v>-1.9442043698517151</v>
      </c>
      <c r="L339" s="91">
        <f t="shared" si="339"/>
        <v>1.9448322635508661</v>
      </c>
      <c r="M339" s="93"/>
      <c r="N339" s="75">
        <f t="shared" si="340"/>
        <v>1.0746270540096248E-9</v>
      </c>
      <c r="O339" s="75">
        <f t="shared" si="341"/>
        <v>0.10089423870346981</v>
      </c>
      <c r="P339" s="75">
        <f t="shared" si="342"/>
        <v>2.5411404534785881E-2</v>
      </c>
      <c r="AF339" s="176"/>
      <c r="AG339" s="176"/>
      <c r="AH339" s="176"/>
      <c r="AI339" s="176"/>
      <c r="AJ339" s="176"/>
      <c r="AK339" s="176"/>
      <c r="AL339" s="176"/>
      <c r="AM339" s="176"/>
      <c r="AN339" s="176"/>
      <c r="AR339" s="92"/>
      <c r="AS339" s="176"/>
      <c r="AT339" s="178"/>
      <c r="AU339" s="178"/>
      <c r="AV339" s="178"/>
      <c r="AW339" s="178"/>
      <c r="AX339" s="178"/>
      <c r="AY339" s="178"/>
      <c r="AZ339" s="176"/>
    </row>
    <row r="340" spans="1:52" s="165" customFormat="1">
      <c r="A340" s="19">
        <f t="shared" si="343"/>
        <v>2.5411404534785881E-2</v>
      </c>
      <c r="B340" s="26">
        <f t="shared" si="329"/>
        <v>0.99967714763355564</v>
      </c>
      <c r="C340" s="26">
        <f t="shared" si="330"/>
        <v>1.4788748822549738</v>
      </c>
      <c r="D340" s="26">
        <f t="shared" si="331"/>
        <v>0.12343879092851061</v>
      </c>
      <c r="E340" s="26">
        <f t="shared" si="332"/>
        <v>2.540866976522459E-2</v>
      </c>
      <c r="F340" s="77">
        <f t="shared" si="333"/>
        <v>1.0248023445141601</v>
      </c>
      <c r="G340" s="77">
        <f t="shared" si="334"/>
        <v>5.2757757835745822E-2</v>
      </c>
      <c r="H340" s="75">
        <f t="shared" si="335"/>
        <v>3.7224710907931127E-2</v>
      </c>
      <c r="I340" s="75">
        <f t="shared" si="336"/>
        <v>-0.49075210654655066</v>
      </c>
      <c r="J340" s="77">
        <f t="shared" si="337"/>
        <v>-4.9415600744099668E-2</v>
      </c>
      <c r="K340" s="77">
        <f t="shared" si="338"/>
        <v>-1.9442043702764267</v>
      </c>
      <c r="L340" s="91">
        <f t="shared" si="339"/>
        <v>1.9448322639751885</v>
      </c>
      <c r="M340" s="93"/>
      <c r="N340" s="75">
        <f t="shared" si="340"/>
        <v>-4.3178127739906813E-11</v>
      </c>
      <c r="O340" s="75">
        <f t="shared" si="341"/>
        <v>0.1008942376703641</v>
      </c>
      <c r="P340" s="75">
        <f t="shared" si="342"/>
        <v>2.5411404535213834E-2</v>
      </c>
      <c r="AF340" s="176"/>
      <c r="AG340" s="176"/>
      <c r="AH340" s="176"/>
      <c r="AI340" s="176"/>
      <c r="AJ340" s="176"/>
      <c r="AK340" s="176"/>
      <c r="AL340" s="176"/>
      <c r="AM340" s="176"/>
      <c r="AN340" s="176"/>
      <c r="AR340" s="92"/>
      <c r="AS340" s="176"/>
      <c r="AT340" s="178"/>
      <c r="AU340" s="178"/>
      <c r="AV340" s="178"/>
      <c r="AW340" s="178"/>
      <c r="AX340" s="178"/>
      <c r="AY340" s="178"/>
      <c r="AZ340" s="176"/>
    </row>
    <row r="341" spans="1:52" s="165" customFormat="1">
      <c r="A341" s="19">
        <f t="shared" si="343"/>
        <v>2.5411404535213834E-2</v>
      </c>
      <c r="B341" s="26">
        <f t="shared" si="329"/>
        <v>0.99967714763354476</v>
      </c>
      <c r="C341" s="26">
        <f t="shared" si="330"/>
        <v>1.4788748822549627</v>
      </c>
      <c r="D341" s="26">
        <f t="shared" si="331"/>
        <v>0.12343879092950687</v>
      </c>
      <c r="E341" s="26">
        <f t="shared" si="332"/>
        <v>2.5408669765652404E-2</v>
      </c>
      <c r="F341" s="77">
        <f t="shared" si="333"/>
        <v>1.0248023445051686</v>
      </c>
      <c r="G341" s="77">
        <f t="shared" si="334"/>
        <v>5.2757757816619809E-2</v>
      </c>
      <c r="H341" s="75">
        <f t="shared" si="335"/>
        <v>3.7224710909072478E-2</v>
      </c>
      <c r="I341" s="75">
        <f t="shared" si="336"/>
        <v>-0.49075210650163759</v>
      </c>
      <c r="J341" s="77">
        <f t="shared" si="337"/>
        <v>-4.9415600744498495E-2</v>
      </c>
      <c r="K341" s="77">
        <f t="shared" si="338"/>
        <v>-1.9442043702593623</v>
      </c>
      <c r="L341" s="91">
        <f t="shared" si="339"/>
        <v>1.9448322639581397</v>
      </c>
      <c r="M341" s="93"/>
      <c r="N341" s="75">
        <f t="shared" si="340"/>
        <v>1.7349455205817321E-12</v>
      </c>
      <c r="O341" s="75">
        <f t="shared" si="341"/>
        <v>0.10089423771187506</v>
      </c>
      <c r="P341" s="75">
        <f t="shared" si="342"/>
        <v>2.5411404535196639E-2</v>
      </c>
      <c r="AF341" s="176"/>
      <c r="AG341" s="176"/>
      <c r="AH341" s="176"/>
      <c r="AI341" s="176"/>
      <c r="AJ341" s="176"/>
      <c r="AK341" s="176"/>
      <c r="AL341" s="176"/>
      <c r="AM341" s="176"/>
      <c r="AN341" s="176"/>
      <c r="AR341" s="92"/>
      <c r="AS341" s="176"/>
      <c r="AT341" s="178"/>
      <c r="AU341" s="178"/>
      <c r="AV341" s="178"/>
      <c r="AW341" s="178"/>
      <c r="AX341" s="178"/>
      <c r="AY341" s="178"/>
      <c r="AZ341" s="176"/>
    </row>
    <row r="342" spans="1:52" s="165" customFormat="1">
      <c r="A342" s="19">
        <f t="shared" si="343"/>
        <v>2.5411404535196639E-2</v>
      </c>
      <c r="B342" s="26">
        <f t="shared" si="329"/>
        <v>0.9996771476335452</v>
      </c>
      <c r="C342" s="26">
        <f t="shared" si="330"/>
        <v>1.4788748822549631</v>
      </c>
      <c r="D342" s="26">
        <f t="shared" si="331"/>
        <v>0.12343879092946686</v>
      </c>
      <c r="E342" s="26">
        <f t="shared" si="332"/>
        <v>2.5408669765635217E-2</v>
      </c>
      <c r="F342" s="77">
        <f t="shared" si="333"/>
        <v>1.0248023445055299</v>
      </c>
      <c r="G342" s="77">
        <f t="shared" si="334"/>
        <v>5.2757757817388271E-2</v>
      </c>
      <c r="H342" s="75">
        <f t="shared" si="335"/>
        <v>3.7224710909026702E-2</v>
      </c>
      <c r="I342" s="75">
        <f t="shared" si="336"/>
        <v>-0.49075210650344325</v>
      </c>
      <c r="J342" s="77">
        <f t="shared" si="337"/>
        <v>-4.9415600744482473E-2</v>
      </c>
      <c r="K342" s="77">
        <f t="shared" si="338"/>
        <v>-1.944204370260048</v>
      </c>
      <c r="L342" s="91">
        <f t="shared" si="339"/>
        <v>1.9448322639588247</v>
      </c>
      <c r="M342" s="93"/>
      <c r="N342" s="75">
        <f t="shared" si="340"/>
        <v>-7.0721206668622472E-14</v>
      </c>
      <c r="O342" s="75">
        <f t="shared" si="341"/>
        <v>0.10089423771020628</v>
      </c>
      <c r="P342" s="75">
        <f t="shared" si="342"/>
        <v>2.541140453519734E-2</v>
      </c>
      <c r="AF342" s="176"/>
      <c r="AG342" s="176"/>
      <c r="AH342" s="176"/>
      <c r="AI342" s="176"/>
      <c r="AJ342" s="176"/>
      <c r="AK342" s="176"/>
      <c r="AL342" s="176"/>
      <c r="AM342" s="176"/>
      <c r="AN342" s="176"/>
      <c r="AR342" s="92"/>
      <c r="AS342" s="176"/>
      <c r="AT342" s="178"/>
      <c r="AU342" s="178"/>
      <c r="AV342" s="178"/>
      <c r="AW342" s="178"/>
      <c r="AX342" s="178"/>
      <c r="AY342" s="178"/>
      <c r="AZ342" s="176"/>
    </row>
    <row r="343" spans="1:52" s="165" customFormat="1">
      <c r="A343" s="19">
        <f t="shared" si="343"/>
        <v>2.541140453519734E-2</v>
      </c>
      <c r="B343" s="26">
        <f t="shared" si="329"/>
        <v>0.9996771476335452</v>
      </c>
      <c r="C343" s="26">
        <f t="shared" si="330"/>
        <v>1.4788748822549631</v>
      </c>
      <c r="D343" s="26">
        <f t="shared" si="331"/>
        <v>0.12343879092946849</v>
      </c>
      <c r="E343" s="26">
        <f t="shared" si="332"/>
        <v>2.5408669765635918E-2</v>
      </c>
      <c r="F343" s="77">
        <f t="shared" si="333"/>
        <v>1.0248023445055154</v>
      </c>
      <c r="G343" s="77">
        <f t="shared" si="334"/>
        <v>5.2757757817357566E-2</v>
      </c>
      <c r="H343" s="75">
        <f t="shared" si="335"/>
        <v>3.7224710909028506E-2</v>
      </c>
      <c r="I343" s="75">
        <f t="shared" si="336"/>
        <v>-0.49075210650337059</v>
      </c>
      <c r="J343" s="77">
        <f t="shared" si="337"/>
        <v>-4.9415600744483139E-2</v>
      </c>
      <c r="K343" s="77">
        <f t="shared" si="338"/>
        <v>-1.9442043702600207</v>
      </c>
      <c r="L343" s="91">
        <f t="shared" si="339"/>
        <v>1.9448322639587974</v>
      </c>
      <c r="M343" s="93"/>
      <c r="N343" s="75">
        <f t="shared" si="340"/>
        <v>1.9428902930940239E-15</v>
      </c>
      <c r="O343" s="75">
        <f t="shared" si="341"/>
        <v>0.10089423771027417</v>
      </c>
      <c r="P343" s="75">
        <f t="shared" si="342"/>
        <v>2.5411404535197319E-2</v>
      </c>
      <c r="AF343" s="176"/>
      <c r="AG343" s="176"/>
      <c r="AH343" s="176"/>
      <c r="AI343" s="176"/>
      <c r="AJ343" s="176"/>
      <c r="AK343" s="176"/>
      <c r="AL343" s="176"/>
      <c r="AM343" s="176"/>
      <c r="AN343" s="176"/>
      <c r="AR343" s="92"/>
      <c r="AS343" s="176"/>
      <c r="AT343" s="178"/>
      <c r="AU343" s="178"/>
      <c r="AV343" s="178"/>
      <c r="AW343" s="178"/>
      <c r="AX343" s="178"/>
      <c r="AY343" s="178"/>
      <c r="AZ343" s="176"/>
    </row>
    <row r="344" spans="1:52" s="165" customFormat="1">
      <c r="A344" s="88" t="s">
        <v>60</v>
      </c>
      <c r="B344" s="8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AF344" s="176"/>
      <c r="AG344" s="176"/>
      <c r="AH344" s="176"/>
      <c r="AI344" s="176"/>
      <c r="AJ344" s="176"/>
      <c r="AK344" s="176"/>
      <c r="AL344" s="176"/>
      <c r="AM344" s="176"/>
      <c r="AN344" s="176"/>
      <c r="AR344" s="92"/>
      <c r="AS344" s="176"/>
      <c r="AT344" s="178"/>
      <c r="AU344" s="178"/>
      <c r="AV344" s="178"/>
      <c r="AW344" s="178"/>
      <c r="AX344" s="178"/>
      <c r="AY344" s="178"/>
      <c r="AZ344" s="176"/>
    </row>
    <row r="345" spans="1:52" s="165" customFormat="1">
      <c r="A345" s="26" t="s">
        <v>11</v>
      </c>
      <c r="B345" s="26" t="s">
        <v>13</v>
      </c>
      <c r="C345" s="26" t="s">
        <v>22</v>
      </c>
      <c r="D345" s="26" t="s">
        <v>18</v>
      </c>
      <c r="E345" s="26" t="s">
        <v>19</v>
      </c>
      <c r="F345" s="26" t="s">
        <v>20</v>
      </c>
      <c r="G345" s="26" t="s">
        <v>2</v>
      </c>
      <c r="H345" s="26" t="s">
        <v>1</v>
      </c>
      <c r="I345" s="26" t="s">
        <v>0</v>
      </c>
      <c r="J345" s="76" t="s">
        <v>3</v>
      </c>
      <c r="K345" s="76" t="s">
        <v>4</v>
      </c>
      <c r="L345" s="44" t="s">
        <v>7</v>
      </c>
      <c r="M345" s="28"/>
      <c r="N345" s="28"/>
      <c r="O345" s="28"/>
      <c r="P345" s="31"/>
      <c r="AF345" s="176"/>
      <c r="AG345" s="176"/>
      <c r="AH345" s="176"/>
      <c r="AI345" s="176"/>
      <c r="AJ345" s="176"/>
      <c r="AK345" s="176"/>
      <c r="AL345" s="176"/>
      <c r="AM345" s="176"/>
      <c r="AN345" s="176"/>
      <c r="AR345" s="92"/>
      <c r="AS345" s="176"/>
      <c r="AT345" s="178"/>
      <c r="AU345" s="178"/>
      <c r="AV345" s="178"/>
      <c r="AW345" s="178"/>
      <c r="AX345" s="178"/>
      <c r="AY345" s="178"/>
      <c r="AZ345" s="176"/>
    </row>
    <row r="346" spans="1:52" s="165" customFormat="1">
      <c r="A346" s="19">
        <f>$E330</f>
        <v>2.6634952093417305E-2</v>
      </c>
      <c r="B346" s="26">
        <f t="shared" ref="B346:B351" si="344">COS(A346)</f>
        <v>0.99964531063289863</v>
      </c>
      <c r="C346" s="26">
        <f t="shared" ref="C346:C351" si="345">($C$330+B346)</f>
        <v>1.4788430452543166</v>
      </c>
      <c r="D346" s="26">
        <f t="shared" ref="D346:D351" si="346">POWER(TAN(A346/2),$C$330)</f>
        <v>0.12625236983383983</v>
      </c>
      <c r="E346" s="26">
        <f t="shared" ref="E346:E351" si="347">SIN(A346)</f>
        <v>2.6631802974181905E-2</v>
      </c>
      <c r="F346" s="77">
        <f t="shared" ref="F346:F351" si="348">(C346*$H$330*D346/E346/$I$330/$J$330)</f>
        <v>1</v>
      </c>
      <c r="G346" s="77">
        <f t="shared" ref="G346:G351" si="349">$D$330*($C$330+$G$330)/9.81/SIN($C$327)/(1-$C$330*$C$327)*(F346-1)</f>
        <v>0</v>
      </c>
      <c r="H346" s="99">
        <f t="shared" ref="H346:H351" si="350">-(-$H$327+$K$330*((POWER(TAN(A346/2),2*$C$330-1)/(2*$C$330-1))+(POWER(TAN(A346/2),2*$C$330+1)/(2*$C$330+1))-(POWER(TAN($E$330/2),2*$C$330-1)/(2*$C$330-1))-(POWER(TAN($E$330/2),2*$C$330+1)/(2*$C$330+1))))</f>
        <v>4.0409252640442248E-2</v>
      </c>
      <c r="I346" s="99">
        <f t="shared" ref="I346:I351" si="351">-(-$I$327+0.5*$K$330*((POWER(TAN(A346/2),2*$C$330-2)/(2*$C$330-2))-(POWER(TAN(A346/2),2*$C$330+2)/(2*$C$330+2))-(POWER(TAN($E$330/2),2*$C$330-2)/(2*$C$330-2))+(POWER(TAN($E$330/2),2*$C$330+2)/(2*$C$330+2))))</f>
        <v>-0.36836040959449434</v>
      </c>
      <c r="J346" s="77">
        <f t="shared" ref="J346:J351" si="352">-$D$330*SIN(A346)*($C$330+$G$330)/($C$330+B346)*F346</f>
        <v>-5.0541945961854524E-2</v>
      </c>
      <c r="K346" s="77">
        <f t="shared" ref="K346:K351" si="353">-$D$330*COS(A346)*($C$330+$G$330)/($C$330+B346)*F346</f>
        <v>-1.8971310098685228</v>
      </c>
      <c r="L346" s="91">
        <f t="shared" ref="L346:L351" si="354">SQRT(J346*J346+K346*K346)</f>
        <v>1.8978041408181119</v>
      </c>
      <c r="M346" s="28"/>
      <c r="N346" s="28"/>
      <c r="O346" s="28"/>
      <c r="P346" s="31"/>
      <c r="AF346" s="176"/>
      <c r="AG346" s="176"/>
      <c r="AH346" s="176"/>
      <c r="AI346" s="176"/>
      <c r="AJ346" s="176"/>
      <c r="AK346" s="176"/>
      <c r="AL346" s="176"/>
      <c r="AM346" s="176"/>
      <c r="AN346" s="176"/>
      <c r="AR346" s="92"/>
      <c r="AS346" s="176"/>
      <c r="AT346" s="178"/>
      <c r="AU346" s="178"/>
      <c r="AV346" s="178"/>
      <c r="AW346" s="178"/>
      <c r="AX346" s="178"/>
      <c r="AY346" s="178"/>
      <c r="AZ346" s="176"/>
    </row>
    <row r="347" spans="1:52" s="165" customFormat="1">
      <c r="A347" s="20">
        <f>A346-$F$330</f>
        <v>2.6410242581773311E-2</v>
      </c>
      <c r="B347" s="26">
        <f t="shared" si="344"/>
        <v>0.99965126981406149</v>
      </c>
      <c r="C347" s="26">
        <f t="shared" si="345"/>
        <v>1.4788490044354794</v>
      </c>
      <c r="D347" s="26">
        <f t="shared" si="346"/>
        <v>0.1257407683458617</v>
      </c>
      <c r="E347" s="26">
        <f t="shared" si="347"/>
        <v>2.6407172494124821E-2</v>
      </c>
      <c r="F347" s="77">
        <f t="shared" si="348"/>
        <v>1.0044237838971786</v>
      </c>
      <c r="G347" s="77">
        <f t="shared" si="349"/>
        <v>9.4099539433368119E-3</v>
      </c>
      <c r="H347" s="99">
        <f t="shared" si="350"/>
        <v>3.9835967398041905E-2</v>
      </c>
      <c r="I347" s="99">
        <f t="shared" si="351"/>
        <v>-0.38997057859341527</v>
      </c>
      <c r="J347" s="77">
        <f t="shared" si="352"/>
        <v>-5.0337139233922017E-2</v>
      </c>
      <c r="K347" s="77">
        <f t="shared" si="353"/>
        <v>-1.9055271883119129</v>
      </c>
      <c r="L347" s="91">
        <f t="shared" si="354"/>
        <v>1.9061919349798331</v>
      </c>
      <c r="M347" s="28"/>
      <c r="N347" s="28"/>
      <c r="O347" s="28"/>
      <c r="P347" s="31"/>
      <c r="AF347" s="176"/>
      <c r="AG347" s="176"/>
      <c r="AH347" s="176"/>
      <c r="AI347" s="176"/>
      <c r="AJ347" s="176"/>
      <c r="AK347" s="176"/>
      <c r="AL347" s="176"/>
      <c r="AM347" s="176"/>
      <c r="AN347" s="176"/>
      <c r="AR347" s="92"/>
      <c r="AS347" s="176"/>
      <c r="AT347" s="178"/>
      <c r="AU347" s="178"/>
      <c r="AV347" s="178"/>
      <c r="AW347" s="178"/>
      <c r="AX347" s="178"/>
      <c r="AY347" s="178"/>
      <c r="AZ347" s="176"/>
    </row>
    <row r="348" spans="1:52" s="165" customFormat="1">
      <c r="A348" s="20">
        <f>A347-$F$330</f>
        <v>2.6185533070129316E-2</v>
      </c>
      <c r="B348" s="26">
        <f t="shared" si="344"/>
        <v>0.9996571785184688</v>
      </c>
      <c r="C348" s="26">
        <f t="shared" si="345"/>
        <v>1.4788549131398869</v>
      </c>
      <c r="D348" s="26">
        <f t="shared" si="346"/>
        <v>0.125226896041678</v>
      </c>
      <c r="E348" s="26">
        <f t="shared" si="347"/>
        <v>2.6182540680654343E-2</v>
      </c>
      <c r="F348" s="77">
        <f t="shared" si="348"/>
        <v>1.0089051632405228</v>
      </c>
      <c r="G348" s="77">
        <f t="shared" si="349"/>
        <v>1.8942420764418547E-2</v>
      </c>
      <c r="H348" s="99">
        <f t="shared" si="350"/>
        <v>3.9257581628225874E-2</v>
      </c>
      <c r="I348" s="99">
        <f t="shared" si="351"/>
        <v>-0.41195940210728932</v>
      </c>
      <c r="J348" s="77">
        <f t="shared" si="352"/>
        <v>-5.013142344210339E-2</v>
      </c>
      <c r="K348" s="77">
        <f t="shared" si="353"/>
        <v>-1.9140326343606493</v>
      </c>
      <c r="L348" s="91">
        <f t="shared" si="354"/>
        <v>1.9146890308908908</v>
      </c>
      <c r="M348" s="45"/>
      <c r="N348" s="28"/>
      <c r="O348" s="28"/>
      <c r="P348" s="31"/>
      <c r="AF348" s="176"/>
      <c r="AG348" s="176"/>
      <c r="AH348" s="176"/>
      <c r="AI348" s="176"/>
      <c r="AJ348" s="176"/>
      <c r="AK348" s="176"/>
      <c r="AL348" s="176"/>
      <c r="AM348" s="176"/>
      <c r="AN348" s="176"/>
      <c r="AR348" s="92"/>
      <c r="AS348" s="176"/>
      <c r="AT348" s="178"/>
      <c r="AU348" s="178"/>
      <c r="AV348" s="178"/>
      <c r="AW348" s="178"/>
      <c r="AX348" s="178"/>
      <c r="AY348" s="178"/>
      <c r="AZ348" s="176"/>
    </row>
    <row r="349" spans="1:52" s="165" customFormat="1">
      <c r="A349" s="20">
        <f>A348-$F$330</f>
        <v>2.5960823558485321E-2</v>
      </c>
      <c r="B349" s="26">
        <f t="shared" si="344"/>
        <v>0.99966303674582235</v>
      </c>
      <c r="C349" s="26">
        <f t="shared" si="345"/>
        <v>1.4788607713672404</v>
      </c>
      <c r="D349" s="26">
        <f t="shared" si="346"/>
        <v>0.12471072320259789</v>
      </c>
      <c r="E349" s="26">
        <f t="shared" si="347"/>
        <v>2.5957907545113113E-2</v>
      </c>
      <c r="F349" s="77">
        <f t="shared" si="348"/>
        <v>1.0134453922192115</v>
      </c>
      <c r="G349" s="77">
        <f t="shared" si="349"/>
        <v>2.8600068283980221E-2</v>
      </c>
      <c r="H349" s="99">
        <f t="shared" si="350"/>
        <v>3.8674005544130724E-2</v>
      </c>
      <c r="I349" s="99">
        <f t="shared" si="351"/>
        <v>-0.43433685085083756</v>
      </c>
      <c r="J349" s="77">
        <f t="shared" si="352"/>
        <v>-4.992478668927175E-2</v>
      </c>
      <c r="K349" s="77">
        <f t="shared" si="353"/>
        <v>-1.9226497276002734</v>
      </c>
      <c r="L349" s="91">
        <f t="shared" si="354"/>
        <v>1.923297808288507</v>
      </c>
      <c r="M349" s="45"/>
      <c r="N349" s="28"/>
      <c r="O349" s="28"/>
      <c r="P349" s="31"/>
      <c r="AF349" s="176"/>
      <c r="AG349" s="176"/>
      <c r="AH349" s="176"/>
      <c r="AI349" s="176"/>
      <c r="AJ349" s="176"/>
      <c r="AK349" s="176"/>
      <c r="AL349" s="176"/>
      <c r="AM349" s="176"/>
      <c r="AN349" s="176"/>
      <c r="AR349" s="92"/>
      <c r="AS349" s="176"/>
      <c r="AT349" s="178"/>
      <c r="AU349" s="178"/>
      <c r="AV349" s="178"/>
      <c r="AW349" s="178"/>
      <c r="AX349" s="178"/>
      <c r="AY349" s="178"/>
      <c r="AZ349" s="176"/>
    </row>
    <row r="350" spans="1:52" s="165" customFormat="1">
      <c r="A350" s="20">
        <f>A349-$F$330</f>
        <v>2.5736114046841327E-2</v>
      </c>
      <c r="B350" s="26">
        <f t="shared" si="344"/>
        <v>0.99966884449582616</v>
      </c>
      <c r="C350" s="26">
        <f t="shared" si="345"/>
        <v>1.4788665791172442</v>
      </c>
      <c r="D350" s="26">
        <f t="shared" si="346"/>
        <v>0.12419221946006855</v>
      </c>
      <c r="E350" s="26">
        <f t="shared" si="347"/>
        <v>2.5733273098843844E-2</v>
      </c>
      <c r="F350" s="77">
        <f t="shared" si="348"/>
        <v>1.0180457634980402</v>
      </c>
      <c r="G350" s="77">
        <f t="shared" si="349"/>
        <v>3.8385646165313252E-2</v>
      </c>
      <c r="H350" s="99">
        <f t="shared" si="350"/>
        <v>3.8085146984282524E-2</v>
      </c>
      <c r="I350" s="99">
        <f t="shared" si="351"/>
        <v>-0.45711324745300796</v>
      </c>
      <c r="J350" s="77">
        <f t="shared" si="352"/>
        <v>-4.9717216818144352E-2</v>
      </c>
      <c r="K350" s="77">
        <f t="shared" si="353"/>
        <v>-1.9313809206173542</v>
      </c>
      <c r="L350" s="91">
        <f t="shared" si="354"/>
        <v>1.9320207199129313</v>
      </c>
      <c r="M350" s="45"/>
      <c r="N350" s="28"/>
      <c r="O350" s="28"/>
      <c r="P350" s="89"/>
      <c r="AF350" s="176"/>
      <c r="AG350" s="176"/>
      <c r="AH350" s="176"/>
      <c r="AI350" s="176"/>
      <c r="AJ350" s="176"/>
      <c r="AK350" s="176"/>
      <c r="AL350" s="176"/>
      <c r="AM350" s="176"/>
      <c r="AN350" s="176"/>
      <c r="AR350" s="92"/>
      <c r="AS350" s="176"/>
      <c r="AT350" s="178"/>
      <c r="AU350" s="178"/>
      <c r="AV350" s="178"/>
      <c r="AW350" s="178"/>
      <c r="AX350" s="178"/>
      <c r="AY350" s="178"/>
      <c r="AZ350" s="176"/>
    </row>
    <row r="351" spans="1:52" s="165" customFormat="1">
      <c r="A351" s="20">
        <f>A350-$F$330</f>
        <v>2.5511404535197332E-2</v>
      </c>
      <c r="B351" s="26">
        <f t="shared" si="344"/>
        <v>0.99967460176818712</v>
      </c>
      <c r="C351" s="26">
        <f t="shared" si="345"/>
        <v>1.478872336389605</v>
      </c>
      <c r="D351" s="26">
        <f t="shared" si="346"/>
        <v>0.12367135377565133</v>
      </c>
      <c r="E351" s="26">
        <f t="shared" si="347"/>
        <v>2.5508637353189301E-2</v>
      </c>
      <c r="F351" s="77">
        <f t="shared" si="348"/>
        <v>1.0227076097463286</v>
      </c>
      <c r="G351" s="77">
        <f t="shared" si="349"/>
        <v>4.8301989166446117E-2</v>
      </c>
      <c r="H351" s="99">
        <f t="shared" si="350"/>
        <v>3.7490911328412126E-2</v>
      </c>
      <c r="I351" s="99">
        <f t="shared" si="351"/>
        <v>-0.48029928208743156</v>
      </c>
      <c r="J351" s="77">
        <f t="shared" si="352"/>
        <v>-4.9508701403266631E-2</v>
      </c>
      <c r="K351" s="77">
        <f t="shared" si="353"/>
        <v>-1.9402287419003459</v>
      </c>
      <c r="L351" s="91">
        <f t="shared" si="354"/>
        <v>1.9408602944083422</v>
      </c>
      <c r="M351" s="45"/>
      <c r="N351" s="28"/>
      <c r="O351" s="28"/>
      <c r="P351" s="28"/>
      <c r="AF351" s="176"/>
      <c r="AG351" s="176"/>
      <c r="AH351" s="176"/>
      <c r="AI351" s="176"/>
      <c r="AJ351" s="176"/>
      <c r="AK351" s="176"/>
      <c r="AL351" s="176"/>
      <c r="AM351" s="176"/>
      <c r="AN351" s="176"/>
      <c r="AR351" s="92"/>
      <c r="AS351" s="176"/>
      <c r="AT351" s="178"/>
      <c r="AU351" s="178"/>
      <c r="AV351" s="178"/>
      <c r="AW351" s="178"/>
      <c r="AX351" s="178"/>
      <c r="AY351" s="178"/>
      <c r="AZ351" s="176"/>
    </row>
    <row r="352" spans="1:52" s="165" customFormat="1">
      <c r="A352" s="159"/>
      <c r="B352" s="159"/>
      <c r="C352" s="159"/>
      <c r="D352" s="159"/>
      <c r="E352" s="159"/>
      <c r="F352" s="159"/>
      <c r="G352" s="159"/>
      <c r="H352" s="159"/>
      <c r="I352" s="159"/>
      <c r="J352" s="159"/>
      <c r="K352" s="159"/>
      <c r="L352" s="159"/>
      <c r="M352" s="159"/>
      <c r="N352" s="159"/>
      <c r="O352" s="159"/>
      <c r="P352" s="159"/>
      <c r="AF352" s="176"/>
      <c r="AG352" s="176"/>
      <c r="AH352" s="176"/>
      <c r="AI352" s="176"/>
      <c r="AJ352" s="176"/>
      <c r="AK352" s="176"/>
      <c r="AL352" s="176"/>
      <c r="AM352" s="176"/>
      <c r="AN352" s="176"/>
      <c r="AR352" s="92"/>
      <c r="AS352" s="176"/>
      <c r="AT352" s="178"/>
      <c r="AU352" s="178"/>
      <c r="AV352" s="178"/>
      <c r="AW352" s="178"/>
      <c r="AX352" s="178"/>
      <c r="AY352" s="178"/>
      <c r="AZ352" s="176"/>
    </row>
    <row r="353" spans="1:52" s="165" customFormat="1">
      <c r="A353" s="88" t="s">
        <v>73</v>
      </c>
      <c r="B353" s="88"/>
      <c r="C353" s="23" t="str">
        <f>CONCATENATE("m",Stufengrün!AH43)</f>
        <v>m-5</v>
      </c>
      <c r="D353" s="23" t="s">
        <v>30</v>
      </c>
      <c r="E353" s="28"/>
      <c r="F353" s="28"/>
      <c r="G353" s="28"/>
      <c r="H353" s="36" t="s">
        <v>57</v>
      </c>
      <c r="I353" s="36" t="s">
        <v>51</v>
      </c>
      <c r="J353" s="36" t="s">
        <v>58</v>
      </c>
      <c r="K353" s="36" t="s">
        <v>59</v>
      </c>
      <c r="L353" s="28"/>
      <c r="M353" s="28"/>
      <c r="N353" s="28"/>
      <c r="O353" s="28"/>
      <c r="P353" s="28"/>
      <c r="AF353" s="176"/>
      <c r="AG353" s="176"/>
      <c r="AH353" s="176"/>
      <c r="AI353" s="176"/>
      <c r="AJ353" s="176"/>
      <c r="AK353" s="176"/>
      <c r="AL353" s="176"/>
      <c r="AM353" s="176"/>
      <c r="AN353" s="176"/>
      <c r="AR353" s="92"/>
      <c r="AS353" s="176"/>
      <c r="AT353" s="178"/>
      <c r="AU353" s="178"/>
      <c r="AV353" s="178"/>
      <c r="AW353" s="178"/>
      <c r="AX353" s="178"/>
      <c r="AY353" s="178"/>
      <c r="AZ353" s="176"/>
    </row>
    <row r="354" spans="1:52" s="165" customFormat="1">
      <c r="A354" s="88" t="s">
        <v>69</v>
      </c>
      <c r="B354" s="88"/>
      <c r="C354" s="36">
        <f>Stufengrün!AI43</f>
        <v>9.8066350509976558E-2</v>
      </c>
      <c r="D354" s="26">
        <f>Stufengrün!AK42</f>
        <v>-0.66000334397619953</v>
      </c>
      <c r="E354" s="28"/>
      <c r="F354" s="28"/>
      <c r="G354" s="28"/>
      <c r="H354" s="78">
        <f>H343</f>
        <v>3.7224710909028506E-2</v>
      </c>
      <c r="I354" s="78">
        <f>I343</f>
        <v>-0.49075210650337059</v>
      </c>
      <c r="J354" s="78">
        <f>J343</f>
        <v>-4.9415600744483139E-2</v>
      </c>
      <c r="K354" s="78">
        <f>K343</f>
        <v>-1.9442043702600207</v>
      </c>
      <c r="L354" s="28"/>
      <c r="M354" s="28"/>
      <c r="N354" s="28"/>
      <c r="O354" s="28"/>
      <c r="P354" s="28"/>
      <c r="AF354" s="176"/>
      <c r="AG354" s="176"/>
      <c r="AH354" s="176"/>
      <c r="AI354" s="176"/>
      <c r="AJ354" s="176"/>
      <c r="AK354" s="176"/>
      <c r="AL354" s="176"/>
      <c r="AM354" s="176"/>
      <c r="AN354" s="176"/>
      <c r="AR354" s="92"/>
      <c r="AS354" s="176"/>
      <c r="AT354" s="178"/>
      <c r="AU354" s="178"/>
      <c r="AV354" s="178"/>
      <c r="AW354" s="178"/>
      <c r="AX354" s="178"/>
      <c r="AY354" s="178"/>
      <c r="AZ354" s="176"/>
    </row>
    <row r="355" spans="1:52" s="165" customFormat="1">
      <c r="A355" s="95"/>
      <c r="B355" s="95"/>
      <c r="C355" s="28"/>
      <c r="D355" s="28"/>
      <c r="E355" s="28"/>
      <c r="F355" s="28"/>
      <c r="G355" s="28"/>
      <c r="H355" s="37" t="s">
        <v>8</v>
      </c>
      <c r="I355" s="37" t="s">
        <v>8</v>
      </c>
      <c r="J355" s="37" t="s">
        <v>9</v>
      </c>
      <c r="K355" s="37" t="s">
        <v>9</v>
      </c>
      <c r="L355" s="28"/>
      <c r="M355" s="28"/>
      <c r="N355" s="28"/>
      <c r="O355" s="28"/>
      <c r="P355" s="28"/>
      <c r="AF355" s="176"/>
      <c r="AG355" s="176"/>
      <c r="AH355" s="176"/>
      <c r="AI355" s="176"/>
      <c r="AJ355" s="176"/>
      <c r="AK355" s="176"/>
      <c r="AL355" s="176"/>
      <c r="AM355" s="176"/>
      <c r="AN355" s="176"/>
      <c r="AR355" s="92"/>
      <c r="AS355" s="176"/>
      <c r="AT355" s="178"/>
      <c r="AU355" s="178"/>
      <c r="AV355" s="178"/>
      <c r="AW355" s="178"/>
      <c r="AX355" s="178"/>
      <c r="AY355" s="178"/>
      <c r="AZ355" s="176"/>
    </row>
    <row r="356" spans="1:52" s="165" customFormat="1">
      <c r="A356" s="88" t="s">
        <v>68</v>
      </c>
      <c r="B356" s="88"/>
      <c r="C356" s="115" t="s">
        <v>15</v>
      </c>
      <c r="D356" s="115" t="s">
        <v>55</v>
      </c>
      <c r="E356" s="115" t="s">
        <v>12</v>
      </c>
      <c r="F356" s="115" t="s">
        <v>10</v>
      </c>
      <c r="G356" s="115" t="s">
        <v>14</v>
      </c>
      <c r="H356" s="115" t="s">
        <v>21</v>
      </c>
      <c r="I356" s="115" t="s">
        <v>16</v>
      </c>
      <c r="J356" s="115" t="s">
        <v>17</v>
      </c>
      <c r="K356" s="115" t="s">
        <v>23</v>
      </c>
      <c r="L356" s="28"/>
      <c r="M356" s="28"/>
      <c r="N356" s="28"/>
      <c r="O356" s="28"/>
      <c r="P356" s="28"/>
      <c r="AF356" s="176"/>
      <c r="AG356" s="176"/>
      <c r="AH356" s="176"/>
      <c r="AI356" s="176"/>
      <c r="AJ356" s="176"/>
      <c r="AK356" s="176"/>
      <c r="AL356" s="176"/>
      <c r="AM356" s="176"/>
      <c r="AN356" s="176"/>
      <c r="AR356" s="92"/>
      <c r="AS356" s="176"/>
      <c r="AT356" s="178"/>
      <c r="AU356" s="178"/>
      <c r="AV356" s="178"/>
      <c r="AW356" s="178"/>
      <c r="AX356" s="178"/>
      <c r="AY356" s="178"/>
      <c r="AZ356" s="176"/>
    </row>
    <row r="357" spans="1:52" s="165" customFormat="1">
      <c r="A357" s="28"/>
      <c r="B357" s="28"/>
      <c r="C357" s="23">
        <f>Mü/TAN($C354)</f>
        <v>0.71151275394402314</v>
      </c>
      <c r="D357" s="42">
        <f>SQRT($J354*$J354+$K354*$K354)</f>
        <v>1.9448322639587974</v>
      </c>
      <c r="E357" s="20">
        <f>ATAN($J354/$K354)</f>
        <v>2.5411404535197336E-2</v>
      </c>
      <c r="F357" s="23">
        <f>($E357-A370-0.0001)/5</f>
        <v>1.9129745252315146E-4</v>
      </c>
      <c r="G357" s="23">
        <f>COS($E357)</f>
        <v>0.9996771476335452</v>
      </c>
      <c r="H357" s="23">
        <f>SIN($E357)</f>
        <v>2.5408669765635914E-2</v>
      </c>
      <c r="I357" s="23">
        <f>$C357+$G357</f>
        <v>1.7111899015775682</v>
      </c>
      <c r="J357" s="23">
        <f>POWER(TAN($E357/2),$C357)</f>
        <v>4.4770042227988652E-2</v>
      </c>
      <c r="K357" s="23">
        <f>-$D357*$D357*SIN($E357)*SIN($E357)/(2*9.81*SIN($C354)*POWER(TAN($E357/2),2*$C357))</f>
        <v>-0.63420616567357024</v>
      </c>
      <c r="L357" s="28"/>
      <c r="M357" s="28"/>
      <c r="N357" s="28"/>
      <c r="O357" s="28"/>
      <c r="P357" s="28"/>
      <c r="AF357" s="176"/>
      <c r="AG357" s="176"/>
      <c r="AH357" s="176"/>
      <c r="AI357" s="176"/>
      <c r="AJ357" s="176"/>
      <c r="AK357" s="176"/>
      <c r="AL357" s="176"/>
      <c r="AM357" s="176"/>
      <c r="AN357" s="176"/>
      <c r="AR357" s="92"/>
      <c r="AS357" s="176"/>
      <c r="AT357" s="178"/>
      <c r="AU357" s="178"/>
      <c r="AV357" s="178"/>
      <c r="AW357" s="178"/>
      <c r="AX357" s="178"/>
      <c r="AY357" s="178"/>
      <c r="AZ357" s="176"/>
    </row>
    <row r="358" spans="1:52" s="165" customFormat="1">
      <c r="A358" s="88" t="s">
        <v>70</v>
      </c>
      <c r="B358" s="8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45"/>
      <c r="N358" s="28"/>
      <c r="O358" s="28"/>
      <c r="P358" s="28"/>
      <c r="AF358" s="176"/>
      <c r="AG358" s="176"/>
      <c r="AH358" s="176"/>
      <c r="AI358" s="176"/>
      <c r="AJ358" s="176"/>
      <c r="AK358" s="176"/>
      <c r="AL358" s="176"/>
      <c r="AM358" s="176"/>
      <c r="AN358" s="176"/>
      <c r="AR358" s="92"/>
      <c r="AS358" s="176"/>
      <c r="AT358" s="178"/>
      <c r="AU358" s="178"/>
      <c r="AV358" s="178"/>
      <c r="AW358" s="178"/>
      <c r="AX358" s="178"/>
      <c r="AY358" s="178"/>
      <c r="AZ358" s="176"/>
    </row>
    <row r="359" spans="1:52" s="165" customFormat="1">
      <c r="A359" s="115" t="s">
        <v>11</v>
      </c>
      <c r="B359" s="115" t="s">
        <v>13</v>
      </c>
      <c r="C359" s="117" t="s">
        <v>22</v>
      </c>
      <c r="D359" s="117" t="s">
        <v>18</v>
      </c>
      <c r="E359" s="115" t="s">
        <v>19</v>
      </c>
      <c r="F359" s="117" t="s">
        <v>20</v>
      </c>
      <c r="G359" s="117" t="s">
        <v>2</v>
      </c>
      <c r="H359" s="117" t="s">
        <v>65</v>
      </c>
      <c r="I359" s="117" t="s">
        <v>66</v>
      </c>
      <c r="J359" s="118" t="s">
        <v>3</v>
      </c>
      <c r="K359" s="118" t="s">
        <v>4</v>
      </c>
      <c r="L359" s="116" t="s">
        <v>7</v>
      </c>
      <c r="M359" s="93"/>
      <c r="N359" s="117" t="s">
        <v>61</v>
      </c>
      <c r="O359" s="117" t="s">
        <v>62</v>
      </c>
      <c r="P359" s="115" t="s">
        <v>63</v>
      </c>
      <c r="AF359" s="176"/>
      <c r="AG359" s="176"/>
      <c r="AH359" s="176"/>
      <c r="AI359" s="176"/>
      <c r="AJ359" s="176"/>
      <c r="AK359" s="176"/>
      <c r="AL359" s="176"/>
      <c r="AM359" s="176"/>
      <c r="AN359" s="176"/>
      <c r="AR359" s="92"/>
      <c r="AS359" s="176"/>
      <c r="AT359" s="178"/>
      <c r="AU359" s="178"/>
      <c r="AV359" s="178"/>
      <c r="AW359" s="178"/>
      <c r="AX359" s="178"/>
      <c r="AY359" s="178"/>
      <c r="AZ359" s="176"/>
    </row>
    <row r="360" spans="1:52" s="165" customFormat="1">
      <c r="A360" s="19">
        <f>$E357</f>
        <v>2.5411404535197336E-2</v>
      </c>
      <c r="B360" s="26">
        <f>COS(A360)</f>
        <v>0.9996771476335452</v>
      </c>
      <c r="C360" s="26">
        <f>($C$357+B360)</f>
        <v>1.7111899015775682</v>
      </c>
      <c r="D360" s="26">
        <f>POWER(TAN(A360/2),$C$357)</f>
        <v>4.4770042227988652E-2</v>
      </c>
      <c r="E360" s="26">
        <f>SIN(A360)</f>
        <v>2.5408669765635914E-2</v>
      </c>
      <c r="F360" s="77">
        <f>(C360*$H$357*D360/E360/$I$357/$J$357)</f>
        <v>1</v>
      </c>
      <c r="G360" s="77">
        <f>$D$357*($C$357+$G$357)/9.81/SIN($C$354)/(1-$C$357*$C$354)*(F360-1)</f>
        <v>0</v>
      </c>
      <c r="H360" s="75">
        <f>-(-$H$354+$K$357*((POWER(TAN(A360/2),2*$C$357-1)/(2*$C$357-1))+(POWER(TAN(A360/2),2*$C$357+1)/(2*$C$357+1))-(POWER(TAN($E$357/2),2*$C$357-1)/(2*$C$357-1))-(POWER(TAN($E$357/2),2*$C$357+1)/(2*$C$357+1))))</f>
        <v>3.7224710909028493E-2</v>
      </c>
      <c r="I360" s="75">
        <f>-(-$I$354+0.5*$K$357*((POWER(TAN(A360/2),2*$C$357-2)/(2*$C$357-2))-(POWER(TAN(A360/2),2*$C$357+2)/(2*$C$357+2))-(POWER(TAN($E$357/2),2*$C$357-2)/(2*$C$357-2))+(POWER(TAN($E$357/2),2*$C$357+2)/(2*$C$357+2))))</f>
        <v>-0.49075210650337087</v>
      </c>
      <c r="J360" s="77">
        <f>-$D$357*SIN(A360)*($C$357+$G$357)/($C$357+B360)*F360</f>
        <v>-4.9415600744483139E-2</v>
      </c>
      <c r="K360" s="77">
        <f>-$D$357*COS(A360)*($C$357+$G$357)/($C$357+B360)*F360</f>
        <v>-1.9442043702600207</v>
      </c>
      <c r="L360" s="91">
        <f>SQRT(J360*J360+K360*K360)</f>
        <v>1.9448322639587974</v>
      </c>
      <c r="M360" s="93"/>
      <c r="N360" s="75">
        <f>-(-$I$354+0.5*$K$357*((POWER(TAN(A360/2),2*$C$357-2)/(2*$C$357-2))-(POWER(TAN(A360/2),2*$C$357+2)/(2*$C$357+2))-(POWER(TAN($E$357/2),2*$C$357-2)/(2*$C$357-2))+(POWER(TAN($E$357/2),2*$C$357+2)/(2*$C$357+2))))-$D$354</f>
        <v>0.16925123747282866</v>
      </c>
      <c r="O360" s="75">
        <f>-(-$I$354+0.5*$K$357*((POWER(TAN((A360+$M$9)/2),2*$C$357-2)/(2*$C$357-2))-(POWER(TAN((A360+$M$9)/2),2*$C$357+2)/(2*$C$357+2))-(POWER(TAN($E$357/2),2*$C$357-2)/(2*$C$357-2))+(POWER(TAN($E$357/2),2*$C$357+2)/(2*$C$357+2))))-$D$354</f>
        <v>0.31953618834545738</v>
      </c>
      <c r="P360" s="75">
        <f>A360-N360/(O360-N360)*$M$9</f>
        <v>2.4285202367315108E-2</v>
      </c>
      <c r="AF360" s="176"/>
      <c r="AG360" s="176"/>
      <c r="AH360" s="176"/>
      <c r="AI360" s="176"/>
      <c r="AJ360" s="176"/>
      <c r="AK360" s="176"/>
      <c r="AL360" s="176"/>
      <c r="AM360" s="176"/>
      <c r="AN360" s="176"/>
      <c r="AR360" s="92"/>
      <c r="AS360" s="176"/>
      <c r="AT360" s="178"/>
      <c r="AU360" s="178"/>
      <c r="AV360" s="178"/>
      <c r="AW360" s="178"/>
      <c r="AX360" s="178"/>
      <c r="AY360" s="178"/>
      <c r="AZ360" s="176"/>
    </row>
    <row r="361" spans="1:52" s="165" customFormat="1">
      <c r="A361" s="19">
        <f>P360</f>
        <v>2.4285202367315108E-2</v>
      </c>
      <c r="B361" s="26">
        <f t="shared" ref="B361:B370" si="355">COS(A361)</f>
        <v>0.9997051289656167</v>
      </c>
      <c r="C361" s="26">
        <f t="shared" ref="C361:C370" si="356">($C$357+B361)</f>
        <v>1.7112178829096398</v>
      </c>
      <c r="D361" s="26">
        <f t="shared" ref="D361:D370" si="357">POWER(TAN(A361/2),$C$357)</f>
        <v>4.3348946914721374E-2</v>
      </c>
      <c r="E361" s="26">
        <f t="shared" ref="E361:E370" si="358">SIN(A361)</f>
        <v>2.4282815319473898E-2</v>
      </c>
      <c r="F361" s="77">
        <f t="shared" ref="F361:F370" si="359">(C361*$H$357*D361/E361/$I$357/$J$357)</f>
        <v>1.0131670117553329</v>
      </c>
      <c r="G361" s="77">
        <f t="shared" ref="G361:G370" si="360">$D$357*($C$357+$G$357)/9.81/SIN($C$354)/(1-$C$357*$C$354)*(F361-1)</f>
        <v>4.904413672950015E-2</v>
      </c>
      <c r="H361" s="75">
        <f t="shared" ref="H361:H370" si="361">-(-$H$354+$K$357*((POWER(TAN(A361/2),2*$C$357-1)/(2*$C$357-1))+(POWER(TAN(A361/2),2*$C$357+1)/(2*$C$357+1))-(POWER(TAN($E$357/2),2*$C$357-1)/(2*$C$357-1))-(POWER(TAN($E$357/2),2*$C$357+1)/(2*$C$357+1))))</f>
        <v>3.2731763766356864E-2</v>
      </c>
      <c r="I361" s="75">
        <f t="shared" ref="I361:I370" si="362">-(-$I$354+0.5*$K$357*((POWER(TAN(A361/2),2*$C$357-2)/(2*$C$357-2))-(POWER(TAN(A361/2),2*$C$357+2)/(2*$C$357+2))-(POWER(TAN($E$357/2),2*$C$357-2)/(2*$C$357-2))+(POWER(TAN($E$357/2),2*$C$357+2)/(2*$C$357+2))))</f>
        <v>-0.67157875403254375</v>
      </c>
      <c r="J361" s="77">
        <f t="shared" ref="J361:J370" si="363">-$D$357*SIN(A361)*($C$357+$G$357)/($C$357+B361)*F361</f>
        <v>-4.7847045632056412E-2</v>
      </c>
      <c r="K361" s="77">
        <f t="shared" ref="K361:K370" si="364">-$D$357*COS(A361)*($C$357+$G$357)/($C$357+B361)*F361</f>
        <v>-1.969826657037518</v>
      </c>
      <c r="L361" s="91">
        <f t="shared" ref="L361:L370" si="365">SQRT(J361*J361+K361*K361)</f>
        <v>1.9704076731862672</v>
      </c>
      <c r="M361" s="93"/>
      <c r="N361" s="75">
        <f t="shared" ref="N361:N370" si="366">-(-$I$354+0.5*$K$357*((POWER(TAN(A361/2),2*$C$357-2)/(2*$C$357-2))-(POWER(TAN(A361/2),2*$C$357+2)/(2*$C$357+2))-(POWER(TAN($E$357/2),2*$C$357-2)/(2*$C$357-2))+(POWER(TAN($E$357/2),2*$C$357+2)/(2*$C$357+2))))-$D$354</f>
        <v>-1.1575410056344215E-2</v>
      </c>
      <c r="O361" s="75">
        <f t="shared" ref="O361:O370" si="367">-(-$I$354+0.5*$K$357*((POWER(TAN((A361+$M$9)/2),2*$C$357-2)/(2*$C$357-2))-(POWER(TAN((A361+$M$9)/2),2*$C$357+2)/(2*$C$357+2))-(POWER(TAN($E$357/2),2*$C$357-2)/(2*$C$357-2))+(POWER(TAN($E$357/2),2*$C$357+2)/(2*$C$357+2))))-$D$354</f>
        <v>0.14962121990767541</v>
      </c>
      <c r="P361" s="75">
        <f t="shared" ref="P361:P370" si="368">A361-N361/(O361-N361)*$M$9</f>
        <v>2.4357011623246376E-2</v>
      </c>
      <c r="AF361" s="176"/>
      <c r="AG361" s="176"/>
      <c r="AH361" s="176"/>
      <c r="AI361" s="176"/>
      <c r="AJ361" s="176"/>
      <c r="AK361" s="176"/>
      <c r="AL361" s="176"/>
      <c r="AM361" s="176"/>
      <c r="AN361" s="176"/>
      <c r="AR361" s="92"/>
      <c r="AS361" s="176"/>
      <c r="AT361" s="178"/>
      <c r="AU361" s="178"/>
      <c r="AV361" s="178"/>
      <c r="AW361" s="178"/>
      <c r="AX361" s="178"/>
      <c r="AY361" s="178"/>
      <c r="AZ361" s="176"/>
    </row>
    <row r="362" spans="1:52" s="165" customFormat="1">
      <c r="A362" s="19">
        <f t="shared" ref="A362:A370" si="369">P361</f>
        <v>2.4357011623246376E-2</v>
      </c>
      <c r="B362" s="26">
        <f t="shared" si="355"/>
        <v>0.99970338265719383</v>
      </c>
      <c r="C362" s="26">
        <f t="shared" si="356"/>
        <v>1.7112161366012169</v>
      </c>
      <c r="D362" s="26">
        <f t="shared" si="357"/>
        <v>4.3440118134192178E-2</v>
      </c>
      <c r="E362" s="26">
        <f t="shared" si="358"/>
        <v>2.4354603338265886E-2</v>
      </c>
      <c r="F362" s="77">
        <f t="shared" si="359"/>
        <v>1.012304156531733</v>
      </c>
      <c r="G362" s="77">
        <f t="shared" si="360"/>
        <v>4.5830196440667693E-2</v>
      </c>
      <c r="H362" s="75">
        <f t="shared" si="361"/>
        <v>3.3021785272827731E-2</v>
      </c>
      <c r="I362" s="75">
        <f t="shared" si="362"/>
        <v>-0.65965640805167503</v>
      </c>
      <c r="J362" s="77">
        <f t="shared" si="363"/>
        <v>-4.7947677223105958E-2</v>
      </c>
      <c r="K362" s="77">
        <f t="shared" si="364"/>
        <v>-1.9681476411147862</v>
      </c>
      <c r="L362" s="91">
        <f t="shared" si="365"/>
        <v>1.9687316010509885</v>
      </c>
      <c r="M362" s="93"/>
      <c r="N362" s="75">
        <f t="shared" si="366"/>
        <v>3.4693592452450517E-4</v>
      </c>
      <c r="O362" s="75">
        <f t="shared" si="367"/>
        <v>0.16080962539174398</v>
      </c>
      <c r="P362" s="75">
        <f t="shared" si="368"/>
        <v>2.4354849526090482E-2</v>
      </c>
      <c r="AF362" s="176"/>
      <c r="AG362" s="176"/>
      <c r="AH362" s="176"/>
      <c r="AI362" s="176"/>
      <c r="AJ362" s="176"/>
      <c r="AK362" s="176"/>
      <c r="AL362" s="176"/>
      <c r="AM362" s="176"/>
      <c r="AN362" s="176"/>
      <c r="AR362" s="92"/>
      <c r="AS362" s="176"/>
      <c r="AT362" s="178"/>
      <c r="AU362" s="178"/>
      <c r="AV362" s="178"/>
      <c r="AW362" s="178"/>
      <c r="AX362" s="178"/>
      <c r="AY362" s="178"/>
      <c r="AZ362" s="176"/>
    </row>
    <row r="363" spans="1:52" s="165" customFormat="1">
      <c r="A363" s="19">
        <f t="shared" si="369"/>
        <v>2.4354849526090482E-2</v>
      </c>
      <c r="B363" s="26">
        <f t="shared" si="355"/>
        <v>0.99970343531187578</v>
      </c>
      <c r="C363" s="26">
        <f t="shared" si="356"/>
        <v>1.7112161892558988</v>
      </c>
      <c r="D363" s="26">
        <f t="shared" si="357"/>
        <v>4.3437374201920544E-2</v>
      </c>
      <c r="E363" s="26">
        <f t="shared" si="358"/>
        <v>2.4352441882368583E-2</v>
      </c>
      <c r="F363" s="77">
        <f t="shared" si="359"/>
        <v>1.0123300882851842</v>
      </c>
      <c r="G363" s="77">
        <f t="shared" si="360"/>
        <v>4.5926786349261228E-2</v>
      </c>
      <c r="H363" s="75">
        <f t="shared" si="361"/>
        <v>3.3013060248500814E-2</v>
      </c>
      <c r="I363" s="75">
        <f t="shared" si="362"/>
        <v>-0.66001456718584428</v>
      </c>
      <c r="J363" s="77">
        <f t="shared" si="363"/>
        <v>-4.7944648567003388E-2</v>
      </c>
      <c r="K363" s="77">
        <f t="shared" si="364"/>
        <v>-1.9681981013968051</v>
      </c>
      <c r="L363" s="91">
        <f t="shared" si="365"/>
        <v>1.9687819726084963</v>
      </c>
      <c r="M363" s="93"/>
      <c r="N363" s="75">
        <f t="shared" si="366"/>
        <v>-1.1223209644750654E-5</v>
      </c>
      <c r="O363" s="75">
        <f t="shared" si="367"/>
        <v>0.16047348458785748</v>
      </c>
      <c r="P363" s="75">
        <f t="shared" si="368"/>
        <v>2.4354919459293457E-2</v>
      </c>
      <c r="AF363" s="176"/>
      <c r="AG363" s="176"/>
      <c r="AH363" s="176"/>
      <c r="AI363" s="176"/>
      <c r="AJ363" s="176"/>
      <c r="AK363" s="176"/>
      <c r="AL363" s="176"/>
      <c r="AM363" s="176"/>
      <c r="AN363" s="176"/>
      <c r="AR363" s="92"/>
      <c r="AS363" s="176"/>
      <c r="AT363" s="178"/>
      <c r="AU363" s="178"/>
      <c r="AV363" s="178"/>
      <c r="AW363" s="178"/>
      <c r="AX363" s="178"/>
      <c r="AY363" s="178"/>
      <c r="AZ363" s="176"/>
    </row>
    <row r="364" spans="1:52" s="165" customFormat="1">
      <c r="A364" s="19">
        <f t="shared" si="369"/>
        <v>2.4354919459293457E-2</v>
      </c>
      <c r="B364" s="26">
        <f t="shared" si="355"/>
        <v>0.99970343360882907</v>
      </c>
      <c r="C364" s="26">
        <f t="shared" si="356"/>
        <v>1.7112161875528522</v>
      </c>
      <c r="D364" s="26">
        <f t="shared" si="357"/>
        <v>4.3437462955724891E-2</v>
      </c>
      <c r="E364" s="26">
        <f t="shared" si="358"/>
        <v>2.4352511794831777E-2</v>
      </c>
      <c r="F364" s="77">
        <f t="shared" si="359"/>
        <v>1.0123292494741722</v>
      </c>
      <c r="G364" s="77">
        <f t="shared" si="360"/>
        <v>4.5923661968215145E-2</v>
      </c>
      <c r="H364" s="75">
        <f t="shared" si="361"/>
        <v>3.3013342467087703E-2</v>
      </c>
      <c r="I364" s="75">
        <f t="shared" si="362"/>
        <v>-0.6600029817158114</v>
      </c>
      <c r="J364" s="77">
        <f t="shared" si="363"/>
        <v>-4.79447465303365E-2</v>
      </c>
      <c r="K364" s="77">
        <f t="shared" si="364"/>
        <v>-1.9681964691648142</v>
      </c>
      <c r="L364" s="91">
        <f t="shared" si="365"/>
        <v>1.9687803432462188</v>
      </c>
      <c r="M364" s="93"/>
      <c r="N364" s="75">
        <f t="shared" si="366"/>
        <v>3.6226038813147454E-7</v>
      </c>
      <c r="O364" s="75">
        <f t="shared" si="367"/>
        <v>0.16048435779597842</v>
      </c>
      <c r="P364" s="75">
        <f t="shared" si="368"/>
        <v>2.4354917201994297E-2</v>
      </c>
      <c r="AF364" s="176"/>
      <c r="AG364" s="176"/>
      <c r="AH364" s="176"/>
      <c r="AI364" s="176"/>
      <c r="AJ364" s="176"/>
      <c r="AK364" s="176"/>
      <c r="AL364" s="176"/>
      <c r="AM364" s="176"/>
      <c r="AN364" s="176"/>
      <c r="AR364" s="92"/>
      <c r="AS364" s="176"/>
      <c r="AT364" s="178"/>
      <c r="AU364" s="178"/>
      <c r="AV364" s="178"/>
      <c r="AW364" s="178"/>
      <c r="AX364" s="178"/>
      <c r="AY364" s="178"/>
      <c r="AZ364" s="176"/>
    </row>
    <row r="365" spans="1:52" s="165" customFormat="1">
      <c r="A365" s="19">
        <f t="shared" si="369"/>
        <v>2.4354917201994297E-2</v>
      </c>
      <c r="B365" s="26">
        <f t="shared" si="355"/>
        <v>0.99970343366379999</v>
      </c>
      <c r="C365" s="26">
        <f t="shared" si="356"/>
        <v>1.7112161876078231</v>
      </c>
      <c r="D365" s="26">
        <f t="shared" si="357"/>
        <v>4.3437460090936797E-2</v>
      </c>
      <c r="E365" s="26">
        <f t="shared" si="358"/>
        <v>2.4352509538202057E-2</v>
      </c>
      <c r="F365" s="77">
        <f t="shared" si="359"/>
        <v>1.0123292765492089</v>
      </c>
      <c r="G365" s="77">
        <f t="shared" si="360"/>
        <v>4.592376281659475E-2</v>
      </c>
      <c r="H365" s="75">
        <f t="shared" si="361"/>
        <v>3.3013333357662725E-2</v>
      </c>
      <c r="I365" s="75">
        <f t="shared" si="362"/>
        <v>-0.66000335567000401</v>
      </c>
      <c r="J365" s="77">
        <f t="shared" si="363"/>
        <v>-4.7944743368284005E-2</v>
      </c>
      <c r="K365" s="77">
        <f t="shared" si="364"/>
        <v>-1.9681965218497937</v>
      </c>
      <c r="L365" s="91">
        <f t="shared" si="365"/>
        <v>1.9687803958385699</v>
      </c>
      <c r="M365" s="93"/>
      <c r="N365" s="75">
        <f t="shared" si="366"/>
        <v>-1.1693804480295E-8</v>
      </c>
      <c r="O365" s="75">
        <f t="shared" si="367"/>
        <v>0.16048400683204678</v>
      </c>
      <c r="P365" s="75">
        <f t="shared" si="368"/>
        <v>2.4354917274860145E-2</v>
      </c>
      <c r="AF365" s="176"/>
      <c r="AG365" s="176"/>
      <c r="AH365" s="176"/>
      <c r="AI365" s="176"/>
      <c r="AJ365" s="176"/>
      <c r="AK365" s="176"/>
      <c r="AL365" s="176"/>
      <c r="AM365" s="176"/>
      <c r="AN365" s="176"/>
      <c r="AR365" s="92"/>
      <c r="AS365" s="176"/>
      <c r="AT365" s="178"/>
      <c r="AU365" s="178"/>
      <c r="AV365" s="178"/>
      <c r="AW365" s="178"/>
      <c r="AX365" s="178"/>
      <c r="AY365" s="178"/>
      <c r="AZ365" s="176"/>
    </row>
    <row r="366" spans="1:52" s="165" customFormat="1">
      <c r="A366" s="19">
        <f t="shared" si="369"/>
        <v>2.4354917274860145E-2</v>
      </c>
      <c r="B366" s="26">
        <f t="shared" si="355"/>
        <v>0.99970343366202552</v>
      </c>
      <c r="C366" s="26">
        <f t="shared" si="356"/>
        <v>1.7112161876060488</v>
      </c>
      <c r="D366" s="26">
        <f t="shared" si="357"/>
        <v>4.3437460183412456E-2</v>
      </c>
      <c r="E366" s="26">
        <f t="shared" si="358"/>
        <v>2.4352509611046298E-2</v>
      </c>
      <c r="F366" s="77">
        <f t="shared" si="359"/>
        <v>1.0123292756752238</v>
      </c>
      <c r="G366" s="77">
        <f t="shared" si="360"/>
        <v>4.5923759561198166E-2</v>
      </c>
      <c r="H366" s="75">
        <f t="shared" si="361"/>
        <v>3.3013333651715937E-2</v>
      </c>
      <c r="I366" s="75">
        <f t="shared" si="362"/>
        <v>-0.66000334359872259</v>
      </c>
      <c r="J366" s="77">
        <f t="shared" si="363"/>
        <v>-4.7944743470355371E-2</v>
      </c>
      <c r="K366" s="77">
        <f t="shared" si="364"/>
        <v>-1.9681965201491169</v>
      </c>
      <c r="L366" s="91">
        <f t="shared" si="365"/>
        <v>1.9687803941408832</v>
      </c>
      <c r="M366" s="93"/>
      <c r="N366" s="75">
        <f t="shared" si="366"/>
        <v>3.7747693859557785E-10</v>
      </c>
      <c r="O366" s="75">
        <f t="shared" si="367"/>
        <v>0.16048401816119595</v>
      </c>
      <c r="P366" s="75">
        <f t="shared" si="368"/>
        <v>2.435491727250803E-2</v>
      </c>
      <c r="AF366" s="176"/>
      <c r="AG366" s="176"/>
      <c r="AH366" s="176"/>
      <c r="AI366" s="176"/>
      <c r="AJ366" s="176"/>
      <c r="AK366" s="176"/>
      <c r="AL366" s="176"/>
      <c r="AM366" s="176"/>
      <c r="AN366" s="176"/>
      <c r="AR366" s="92"/>
      <c r="AS366" s="176"/>
      <c r="AT366" s="178"/>
      <c r="AU366" s="178"/>
      <c r="AV366" s="178"/>
      <c r="AW366" s="178"/>
      <c r="AX366" s="178"/>
      <c r="AY366" s="178"/>
      <c r="AZ366" s="176"/>
    </row>
    <row r="367" spans="1:52" s="165" customFormat="1">
      <c r="A367" s="19">
        <f t="shared" si="369"/>
        <v>2.435491727250803E-2</v>
      </c>
      <c r="B367" s="26">
        <f t="shared" si="355"/>
        <v>0.99970343366208281</v>
      </c>
      <c r="C367" s="26">
        <f t="shared" si="356"/>
        <v>1.7112161876061061</v>
      </c>
      <c r="D367" s="26">
        <f t="shared" si="357"/>
        <v>4.3437460180427351E-2</v>
      </c>
      <c r="E367" s="26">
        <f t="shared" si="358"/>
        <v>2.4352509608694881E-2</v>
      </c>
      <c r="F367" s="77">
        <f t="shared" si="359"/>
        <v>1.0123292757034363</v>
      </c>
      <c r="G367" s="77">
        <f t="shared" si="360"/>
        <v>4.5923759666283502E-2</v>
      </c>
      <c r="H367" s="75">
        <f t="shared" si="361"/>
        <v>3.3013333642223933E-2</v>
      </c>
      <c r="I367" s="75">
        <f t="shared" si="362"/>
        <v>-0.66000334398838623</v>
      </c>
      <c r="J367" s="77">
        <f t="shared" si="363"/>
        <v>-4.7944743467060513E-2</v>
      </c>
      <c r="K367" s="77">
        <f t="shared" si="364"/>
        <v>-1.9681965202040153</v>
      </c>
      <c r="L367" s="91">
        <f t="shared" si="365"/>
        <v>1.968780394195685</v>
      </c>
      <c r="M367" s="93"/>
      <c r="N367" s="75">
        <f t="shared" si="366"/>
        <v>-1.2186696096705418E-11</v>
      </c>
      <c r="O367" s="75">
        <f t="shared" si="367"/>
        <v>0.16048401779549121</v>
      </c>
      <c r="P367" s="75">
        <f t="shared" si="368"/>
        <v>2.4354917272583966E-2</v>
      </c>
      <c r="AF367" s="176"/>
      <c r="AG367" s="176"/>
      <c r="AH367" s="176"/>
      <c r="AI367" s="176"/>
      <c r="AJ367" s="176"/>
      <c r="AK367" s="176"/>
      <c r="AL367" s="176"/>
      <c r="AM367" s="176"/>
      <c r="AN367" s="176"/>
      <c r="AR367" s="92"/>
      <c r="AS367" s="176"/>
      <c r="AT367" s="178"/>
      <c r="AU367" s="178"/>
      <c r="AV367" s="178"/>
      <c r="AW367" s="178"/>
      <c r="AX367" s="178"/>
      <c r="AY367" s="178"/>
      <c r="AZ367" s="176"/>
    </row>
    <row r="368" spans="1:52" s="165" customFormat="1">
      <c r="A368" s="19">
        <f t="shared" si="369"/>
        <v>2.4354917272583966E-2</v>
      </c>
      <c r="B368" s="26">
        <f t="shared" si="355"/>
        <v>0.99970343366208092</v>
      </c>
      <c r="C368" s="26">
        <f t="shared" si="356"/>
        <v>1.7112161876061041</v>
      </c>
      <c r="D368" s="26">
        <f t="shared" si="357"/>
        <v>4.3437460180523725E-2</v>
      </c>
      <c r="E368" s="26">
        <f t="shared" si="358"/>
        <v>2.4352509608770792E-2</v>
      </c>
      <c r="F368" s="77">
        <f t="shared" si="359"/>
        <v>1.0123292757025257</v>
      </c>
      <c r="G368" s="77">
        <f t="shared" si="360"/>
        <v>4.5923759662891701E-2</v>
      </c>
      <c r="H368" s="75">
        <f t="shared" si="361"/>
        <v>3.3013333642530396E-2</v>
      </c>
      <c r="I368" s="75">
        <f t="shared" si="362"/>
        <v>-0.66000334397580351</v>
      </c>
      <c r="J368" s="77">
        <f t="shared" si="363"/>
        <v>-4.7944743467166893E-2</v>
      </c>
      <c r="K368" s="77">
        <f t="shared" si="364"/>
        <v>-1.9681965202022433</v>
      </c>
      <c r="L368" s="91">
        <f t="shared" si="365"/>
        <v>1.9687803941939162</v>
      </c>
      <c r="M368" s="93"/>
      <c r="N368" s="75">
        <f t="shared" si="366"/>
        <v>3.9601655288379334E-13</v>
      </c>
      <c r="O368" s="75">
        <f t="shared" si="367"/>
        <v>0.1604840178072966</v>
      </c>
      <c r="P368" s="75">
        <f t="shared" si="368"/>
        <v>2.4354917272581499E-2</v>
      </c>
      <c r="AF368" s="176"/>
      <c r="AG368" s="176"/>
      <c r="AH368" s="176"/>
      <c r="AI368" s="176"/>
      <c r="AJ368" s="176"/>
      <c r="AK368" s="176"/>
      <c r="AL368" s="176"/>
      <c r="AM368" s="176"/>
      <c r="AN368" s="176"/>
      <c r="AR368" s="92"/>
      <c r="AS368" s="176"/>
      <c r="AT368" s="178"/>
      <c r="AU368" s="178"/>
      <c r="AV368" s="178"/>
      <c r="AW368" s="178"/>
      <c r="AX368" s="178"/>
      <c r="AY368" s="178"/>
      <c r="AZ368" s="176"/>
    </row>
    <row r="369" spans="1:52" s="165" customFormat="1">
      <c r="A369" s="19">
        <f t="shared" si="369"/>
        <v>2.4354917272581499E-2</v>
      </c>
      <c r="B369" s="26">
        <f t="shared" si="355"/>
        <v>0.99970343366208103</v>
      </c>
      <c r="C369" s="26">
        <f t="shared" si="356"/>
        <v>1.7112161876061043</v>
      </c>
      <c r="D369" s="26">
        <f t="shared" si="357"/>
        <v>4.3437460180520596E-2</v>
      </c>
      <c r="E369" s="26">
        <f t="shared" si="358"/>
        <v>2.4352509608768325E-2</v>
      </c>
      <c r="F369" s="77">
        <f t="shared" si="359"/>
        <v>1.0123292757025555</v>
      </c>
      <c r="G369" s="77">
        <f t="shared" si="360"/>
        <v>4.5923759663002529E-2</v>
      </c>
      <c r="H369" s="75">
        <f t="shared" si="361"/>
        <v>3.3013333642520404E-2</v>
      </c>
      <c r="I369" s="75">
        <f t="shared" si="362"/>
        <v>-0.66000334397621252</v>
      </c>
      <c r="J369" s="77">
        <f t="shared" si="363"/>
        <v>-4.7944743467163445E-2</v>
      </c>
      <c r="K369" s="77">
        <f t="shared" si="364"/>
        <v>-1.9681965202023013</v>
      </c>
      <c r="L369" s="91">
        <f t="shared" si="365"/>
        <v>1.9687803941939741</v>
      </c>
      <c r="M369" s="93"/>
      <c r="N369" s="75">
        <f t="shared" si="366"/>
        <v>-1.2989609388114332E-14</v>
      </c>
      <c r="O369" s="75">
        <f t="shared" si="367"/>
        <v>0.16048401780691696</v>
      </c>
      <c r="P369" s="75">
        <f t="shared" si="368"/>
        <v>2.4354917272581579E-2</v>
      </c>
      <c r="AF369" s="176"/>
      <c r="AG369" s="176"/>
      <c r="AH369" s="176"/>
      <c r="AI369" s="176"/>
      <c r="AJ369" s="176"/>
      <c r="AK369" s="176"/>
      <c r="AL369" s="176"/>
      <c r="AM369" s="176"/>
      <c r="AN369" s="176"/>
      <c r="AR369" s="92"/>
      <c r="AS369" s="176"/>
      <c r="AT369" s="178"/>
      <c r="AU369" s="178"/>
      <c r="AV369" s="178"/>
      <c r="AW369" s="178"/>
      <c r="AX369" s="178"/>
      <c r="AY369" s="178"/>
      <c r="AZ369" s="176"/>
    </row>
    <row r="370" spans="1:52" s="165" customFormat="1">
      <c r="A370" s="19">
        <f t="shared" si="369"/>
        <v>2.4354917272581579E-2</v>
      </c>
      <c r="B370" s="26">
        <f t="shared" si="355"/>
        <v>0.99970343366208103</v>
      </c>
      <c r="C370" s="26">
        <f t="shared" si="356"/>
        <v>1.7112161876061043</v>
      </c>
      <c r="D370" s="26">
        <f t="shared" si="357"/>
        <v>4.3437460180520672E-2</v>
      </c>
      <c r="E370" s="26">
        <f t="shared" si="358"/>
        <v>2.4352509608768405E-2</v>
      </c>
      <c r="F370" s="77">
        <f t="shared" si="359"/>
        <v>1.0123292757025539</v>
      </c>
      <c r="G370" s="77">
        <f t="shared" si="360"/>
        <v>4.5923759662996742E-2</v>
      </c>
      <c r="H370" s="75">
        <f t="shared" si="361"/>
        <v>3.3013333642520681E-2</v>
      </c>
      <c r="I370" s="75">
        <f t="shared" si="362"/>
        <v>-0.66000334397620009</v>
      </c>
      <c r="J370" s="77">
        <f t="shared" si="363"/>
        <v>-4.7944743467163528E-2</v>
      </c>
      <c r="K370" s="77">
        <f t="shared" si="364"/>
        <v>-1.9681965202022982</v>
      </c>
      <c r="L370" s="91">
        <f t="shared" si="365"/>
        <v>1.968780394193971</v>
      </c>
      <c r="M370" s="93"/>
      <c r="N370" s="75">
        <f t="shared" si="366"/>
        <v>0</v>
      </c>
      <c r="O370" s="75">
        <f t="shared" si="367"/>
        <v>0.16048401780692595</v>
      </c>
      <c r="P370" s="75">
        <f t="shared" si="368"/>
        <v>2.4354917272581579E-2</v>
      </c>
      <c r="AF370" s="176"/>
      <c r="AG370" s="176"/>
      <c r="AH370" s="176"/>
      <c r="AI370" s="176"/>
      <c r="AJ370" s="176"/>
      <c r="AK370" s="176"/>
      <c r="AL370" s="176"/>
      <c r="AM370" s="176"/>
      <c r="AN370" s="176"/>
      <c r="AR370" s="92"/>
      <c r="AS370" s="176"/>
      <c r="AT370" s="178"/>
      <c r="AU370" s="178"/>
      <c r="AV370" s="178"/>
      <c r="AW370" s="178"/>
      <c r="AX370" s="178"/>
      <c r="AY370" s="178"/>
      <c r="AZ370" s="176"/>
    </row>
    <row r="371" spans="1:52" s="165" customFormat="1">
      <c r="A371" s="88" t="s">
        <v>60</v>
      </c>
      <c r="B371" s="8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AF371" s="176"/>
      <c r="AG371" s="176"/>
      <c r="AH371" s="176"/>
      <c r="AI371" s="176"/>
      <c r="AJ371" s="176"/>
      <c r="AK371" s="176"/>
      <c r="AL371" s="176"/>
      <c r="AM371" s="176"/>
      <c r="AN371" s="176"/>
      <c r="AR371" s="92"/>
      <c r="AS371" s="176"/>
      <c r="AT371" s="178"/>
      <c r="AU371" s="178"/>
      <c r="AV371" s="178"/>
      <c r="AW371" s="178"/>
      <c r="AX371" s="178"/>
      <c r="AY371" s="178"/>
      <c r="AZ371" s="176"/>
    </row>
    <row r="372" spans="1:52" s="165" customFormat="1">
      <c r="A372" s="26" t="s">
        <v>11</v>
      </c>
      <c r="B372" s="26" t="s">
        <v>13</v>
      </c>
      <c r="C372" s="26" t="s">
        <v>22</v>
      </c>
      <c r="D372" s="26" t="s">
        <v>18</v>
      </c>
      <c r="E372" s="26" t="s">
        <v>19</v>
      </c>
      <c r="F372" s="26" t="s">
        <v>20</v>
      </c>
      <c r="G372" s="26" t="s">
        <v>2</v>
      </c>
      <c r="H372" s="26" t="s">
        <v>1</v>
      </c>
      <c r="I372" s="26" t="s">
        <v>0</v>
      </c>
      <c r="J372" s="76" t="s">
        <v>3</v>
      </c>
      <c r="K372" s="76" t="s">
        <v>4</v>
      </c>
      <c r="L372" s="44" t="s">
        <v>7</v>
      </c>
      <c r="M372" s="28"/>
      <c r="N372" s="28"/>
      <c r="O372" s="28"/>
      <c r="P372" s="31"/>
      <c r="AF372" s="176"/>
      <c r="AG372" s="176"/>
      <c r="AH372" s="176"/>
      <c r="AI372" s="176"/>
      <c r="AJ372" s="176"/>
      <c r="AK372" s="176"/>
      <c r="AL372" s="176"/>
      <c r="AM372" s="176"/>
      <c r="AN372" s="176"/>
      <c r="AR372" s="92"/>
      <c r="AS372" s="176"/>
      <c r="AT372" s="178"/>
      <c r="AU372" s="178"/>
      <c r="AV372" s="178"/>
      <c r="AW372" s="178"/>
      <c r="AX372" s="178"/>
      <c r="AY372" s="178"/>
      <c r="AZ372" s="176"/>
    </row>
    <row r="373" spans="1:52" s="165" customFormat="1">
      <c r="A373" s="19">
        <f>$E357</f>
        <v>2.5411404535197336E-2</v>
      </c>
      <c r="B373" s="26">
        <f t="shared" ref="B373:B378" si="370">COS(A373)</f>
        <v>0.9996771476335452</v>
      </c>
      <c r="C373" s="26">
        <f t="shared" ref="C373:C378" si="371">($C$357+B373)</f>
        <v>1.7111899015775682</v>
      </c>
      <c r="D373" s="26">
        <f t="shared" ref="D373:D378" si="372">POWER(TAN(A373/2),$C$357)</f>
        <v>4.4770042227988652E-2</v>
      </c>
      <c r="E373" s="26">
        <f t="shared" ref="E373:E378" si="373">SIN(A373)</f>
        <v>2.5408669765635914E-2</v>
      </c>
      <c r="F373" s="77">
        <f t="shared" ref="F373:F378" si="374">(C373*$H$357*D373/E373/$I$357/$J$357)</f>
        <v>1</v>
      </c>
      <c r="G373" s="77">
        <f t="shared" ref="G373:G378" si="375">$D$357*($C$357+$G$357)/9.81/SIN($C$354)/(1-$C$357*$C$354)*(F373-1)</f>
        <v>0</v>
      </c>
      <c r="H373" s="132">
        <f t="shared" ref="H373:H378" si="376">-(-$H$354+$K$357*((POWER(TAN(A373/2),2*$C$357-1)/(2*$C$357-1))+(POWER(TAN(A373/2),2*$C$357+1)/(2*$C$357+1))-(POWER(TAN($E$357/2),2*$C$357-1)/(2*$C$357-1))-(POWER(TAN($E$357/2),2*$C$357+1)/(2*$C$357+1))))</f>
        <v>3.7224710909028493E-2</v>
      </c>
      <c r="I373" s="132">
        <f t="shared" ref="I373:I378" si="377">-(-$I$354+0.5*$K$357*((POWER(TAN(A373/2),2*$C$357-2)/(2*$C$357-2))-(POWER(TAN(A373/2),2*$C$357+2)/(2*$C$357+2))-(POWER(TAN($E$357/2),2*$C$357-2)/(2*$C$357-2))+(POWER(TAN($E$357/2),2*$C$357+2)/(2*$C$357+2))))</f>
        <v>-0.49075210650337087</v>
      </c>
      <c r="J373" s="77">
        <f t="shared" ref="J373:J378" si="378">-$D$357*SIN(A373)*($C$357+$G$357)/($C$357+B373)*F373</f>
        <v>-4.9415600744483139E-2</v>
      </c>
      <c r="K373" s="77">
        <f t="shared" ref="K373:K378" si="379">-$D$357*COS(A373)*($C$357+$G$357)/($C$357+B373)*F373</f>
        <v>-1.9442043702600207</v>
      </c>
      <c r="L373" s="91">
        <f t="shared" ref="L373:L378" si="380">SQRT(J373*J373+K373*K373)</f>
        <v>1.9448322639587974</v>
      </c>
      <c r="M373" s="28"/>
      <c r="N373" s="28"/>
      <c r="O373" s="28"/>
      <c r="P373" s="31"/>
      <c r="AF373" s="176"/>
      <c r="AG373" s="176"/>
      <c r="AH373" s="176"/>
      <c r="AI373" s="176"/>
      <c r="AJ373" s="176"/>
      <c r="AK373" s="176"/>
      <c r="AL373" s="176"/>
      <c r="AM373" s="176"/>
      <c r="AN373" s="176"/>
      <c r="AR373" s="92"/>
      <c r="AS373" s="176"/>
      <c r="AT373" s="178"/>
      <c r="AU373" s="178"/>
      <c r="AV373" s="178"/>
      <c r="AW373" s="178"/>
      <c r="AX373" s="178"/>
      <c r="AY373" s="178"/>
      <c r="AZ373" s="176"/>
    </row>
    <row r="374" spans="1:52" s="165" customFormat="1">
      <c r="A374" s="20">
        <f>A373-$F$357</f>
        <v>2.5220107082674185E-2</v>
      </c>
      <c r="B374" s="26">
        <f t="shared" si="370"/>
        <v>0.99968198995586344</v>
      </c>
      <c r="C374" s="26">
        <f t="shared" si="371"/>
        <v>1.7111947438998865</v>
      </c>
      <c r="D374" s="26">
        <f t="shared" si="372"/>
        <v>4.4529954569799121E-2</v>
      </c>
      <c r="E374" s="26">
        <f t="shared" si="373"/>
        <v>2.5217433610202858E-2</v>
      </c>
      <c r="F374" s="77">
        <f t="shared" si="374"/>
        <v>1.002182972546144</v>
      </c>
      <c r="G374" s="77">
        <f t="shared" si="375"/>
        <v>8.1310783357103015E-3</v>
      </c>
      <c r="H374" s="132">
        <f t="shared" si="376"/>
        <v>3.6469747795563043E-2</v>
      </c>
      <c r="I374" s="132">
        <f t="shared" si="377"/>
        <v>-0.52056782654868639</v>
      </c>
      <c r="J374" s="77">
        <f t="shared" si="378"/>
        <v>-4.9150600416800742E-2</v>
      </c>
      <c r="K374" s="77">
        <f t="shared" si="379"/>
        <v>-1.948452439359772</v>
      </c>
      <c r="L374" s="91">
        <f t="shared" si="380"/>
        <v>1.9490722639164455</v>
      </c>
      <c r="M374" s="28"/>
      <c r="N374" s="28"/>
      <c r="O374" s="28"/>
      <c r="P374" s="31"/>
      <c r="AF374" s="176"/>
      <c r="AG374" s="176"/>
      <c r="AH374" s="176"/>
      <c r="AI374" s="176"/>
      <c r="AJ374" s="176"/>
      <c r="AK374" s="176"/>
      <c r="AL374" s="176"/>
      <c r="AM374" s="176"/>
      <c r="AN374" s="176"/>
      <c r="AR374" s="92"/>
      <c r="AS374" s="176"/>
      <c r="AT374" s="178"/>
      <c r="AU374" s="178"/>
      <c r="AV374" s="178"/>
      <c r="AW374" s="178"/>
      <c r="AX374" s="178"/>
      <c r="AY374" s="178"/>
      <c r="AZ374" s="176"/>
    </row>
    <row r="375" spans="1:52" s="165" customFormat="1">
      <c r="A375" s="20">
        <f>A374-$F$357</f>
        <v>2.5028809630151035E-2</v>
      </c>
      <c r="B375" s="26">
        <f t="shared" si="370"/>
        <v>0.99968679569510388</v>
      </c>
      <c r="C375" s="26">
        <f t="shared" si="371"/>
        <v>1.711199549639127</v>
      </c>
      <c r="D375" s="26">
        <f t="shared" si="372"/>
        <v>4.4289341493178813E-2</v>
      </c>
      <c r="E375" s="26">
        <f t="shared" si="373"/>
        <v>2.5026196531945002E-2</v>
      </c>
      <c r="F375" s="77">
        <f t="shared" si="374"/>
        <v>1.0043873765794791</v>
      </c>
      <c r="G375" s="77">
        <f t="shared" si="375"/>
        <v>1.6341984107413658E-2</v>
      </c>
      <c r="H375" s="132">
        <f t="shared" si="376"/>
        <v>3.5711476672555323E-2</v>
      </c>
      <c r="I375" s="132">
        <f t="shared" si="377"/>
        <v>-0.55074230159125015</v>
      </c>
      <c r="J375" s="77">
        <f t="shared" si="378"/>
        <v>-4.8885020150701786E-2</v>
      </c>
      <c r="K375" s="77">
        <f t="shared" si="379"/>
        <v>-1.9527421631795028</v>
      </c>
      <c r="L375" s="91">
        <f t="shared" si="380"/>
        <v>1.9533539620494025</v>
      </c>
      <c r="M375" s="45"/>
      <c r="N375" s="28"/>
      <c r="O375" s="28"/>
      <c r="P375" s="31"/>
      <c r="AF375" s="176"/>
      <c r="AG375" s="176"/>
      <c r="AH375" s="176"/>
      <c r="AI375" s="176"/>
      <c r="AJ375" s="176"/>
      <c r="AK375" s="176"/>
      <c r="AL375" s="176"/>
      <c r="AM375" s="176"/>
      <c r="AN375" s="176"/>
      <c r="AR375" s="92"/>
      <c r="AS375" s="176"/>
      <c r="AT375" s="178"/>
      <c r="AU375" s="178"/>
      <c r="AV375" s="178"/>
      <c r="AW375" s="178"/>
      <c r="AX375" s="178"/>
      <c r="AY375" s="178"/>
      <c r="AZ375" s="176"/>
    </row>
    <row r="376" spans="1:52" s="165" customFormat="1">
      <c r="A376" s="20">
        <f>A375-$F$357</f>
        <v>2.4837512177627884E-2</v>
      </c>
      <c r="B376" s="26">
        <f t="shared" si="370"/>
        <v>0.99969156485109079</v>
      </c>
      <c r="C376" s="26">
        <f t="shared" si="371"/>
        <v>1.7112043187951138</v>
      </c>
      <c r="D376" s="26">
        <f t="shared" si="372"/>
        <v>4.404819781113891E-2</v>
      </c>
      <c r="E376" s="26">
        <f t="shared" si="373"/>
        <v>2.4834958537860611E-2</v>
      </c>
      <c r="F376" s="77">
        <f t="shared" si="374"/>
        <v>1.0066135888653633</v>
      </c>
      <c r="G376" s="77">
        <f t="shared" si="375"/>
        <v>2.4634120680739054E-2</v>
      </c>
      <c r="H376" s="132">
        <f t="shared" si="376"/>
        <v>3.4949857543959101E-2</v>
      </c>
      <c r="I376" s="132">
        <f t="shared" si="377"/>
        <v>-0.58128264069261748</v>
      </c>
      <c r="J376" s="77">
        <f t="shared" si="378"/>
        <v>-4.861885422097012E-2</v>
      </c>
      <c r="K376" s="77">
        <f t="shared" si="379"/>
        <v>-1.957074274286895</v>
      </c>
      <c r="L376" s="91">
        <f t="shared" si="380"/>
        <v>1.957678091020415</v>
      </c>
      <c r="M376" s="45"/>
      <c r="N376" s="28"/>
      <c r="O376" s="28"/>
      <c r="P376" s="31"/>
      <c r="AF376" s="176"/>
      <c r="AG376" s="176"/>
      <c r="AH376" s="176"/>
      <c r="AI376" s="176"/>
      <c r="AJ376" s="176"/>
      <c r="AK376" s="176"/>
      <c r="AL376" s="176"/>
      <c r="AM376" s="176"/>
      <c r="AN376" s="176"/>
      <c r="AR376" s="92"/>
      <c r="AS376" s="176"/>
      <c r="AT376" s="178"/>
      <c r="AU376" s="178"/>
      <c r="AV376" s="178"/>
      <c r="AW376" s="178"/>
      <c r="AX376" s="178"/>
      <c r="AY376" s="178"/>
      <c r="AZ376" s="176"/>
    </row>
    <row r="377" spans="1:52" s="165" customFormat="1">
      <c r="A377" s="20">
        <f>A376-$F$357</f>
        <v>2.4646214725104733E-2</v>
      </c>
      <c r="B377" s="26">
        <f t="shared" si="370"/>
        <v>0.99969629742364963</v>
      </c>
      <c r="C377" s="26">
        <f t="shared" si="371"/>
        <v>1.7112090513676728</v>
      </c>
      <c r="D377" s="26">
        <f t="shared" si="372"/>
        <v>4.380651824519876E-2</v>
      </c>
      <c r="E377" s="26">
        <f t="shared" si="373"/>
        <v>2.4643719634947981E-2</v>
      </c>
      <c r="F377" s="77">
        <f t="shared" si="374"/>
        <v>1.0088619957596165</v>
      </c>
      <c r="G377" s="77">
        <f t="shared" si="375"/>
        <v>3.3008927143613476E-2</v>
      </c>
      <c r="H377" s="132">
        <f t="shared" si="376"/>
        <v>3.418484961822621E-2</v>
      </c>
      <c r="I377" s="132">
        <f t="shared" si="377"/>
        <v>-0.61219614996592053</v>
      </c>
      <c r="J377" s="77">
        <f t="shared" si="378"/>
        <v>-4.8352096801404128E-2</v>
      </c>
      <c r="K377" s="77">
        <f t="shared" si="379"/>
        <v>-1.9614495238975573</v>
      </c>
      <c r="L377" s="91">
        <f t="shared" si="380"/>
        <v>1.962045402141104</v>
      </c>
      <c r="M377" s="45"/>
      <c r="N377" s="28"/>
      <c r="O377" s="28"/>
      <c r="P377" s="89"/>
      <c r="AF377" s="176"/>
      <c r="AG377" s="176"/>
      <c r="AH377" s="176"/>
      <c r="AI377" s="176"/>
      <c r="AJ377" s="176"/>
      <c r="AK377" s="176"/>
      <c r="AL377" s="176"/>
      <c r="AM377" s="176"/>
      <c r="AN377" s="176"/>
      <c r="AR377" s="92"/>
      <c r="AS377" s="176"/>
      <c r="AT377" s="178"/>
      <c r="AU377" s="178"/>
      <c r="AV377" s="178"/>
      <c r="AW377" s="178"/>
      <c r="AX377" s="178"/>
      <c r="AY377" s="178"/>
      <c r="AZ377" s="176"/>
    </row>
    <row r="378" spans="1:52" s="165" customFormat="1">
      <c r="A378" s="20">
        <f>A377-$F$357</f>
        <v>2.4454917272581582E-2</v>
      </c>
      <c r="B378" s="26">
        <f t="shared" si="370"/>
        <v>0.9997009934126071</v>
      </c>
      <c r="C378" s="26">
        <f t="shared" si="371"/>
        <v>1.7112137473566302</v>
      </c>
      <c r="D378" s="26">
        <f t="shared" si="372"/>
        <v>4.3564297423048112E-2</v>
      </c>
      <c r="E378" s="26">
        <f t="shared" si="373"/>
        <v>2.4452479830205452E-2</v>
      </c>
      <c r="F378" s="77">
        <f t="shared" si="374"/>
        <v>1.0111329935293629</v>
      </c>
      <c r="G378" s="77">
        <f t="shared" si="375"/>
        <v>4.1467879501328256E-2</v>
      </c>
      <c r="H378" s="132">
        <f t="shared" si="376"/>
        <v>3.341641128617083E-2</v>
      </c>
      <c r="I378" s="132">
        <f t="shared" si="377"/>
        <v>-0.64349033961939872</v>
      </c>
      <c r="J378" s="77">
        <f t="shared" si="378"/>
        <v>-4.8084741962236388E-2</v>
      </c>
      <c r="K378" s="77">
        <f t="shared" si="379"/>
        <v>-1.9658686824988865</v>
      </c>
      <c r="L378" s="91">
        <f t="shared" si="380"/>
        <v>1.966456665995842</v>
      </c>
      <c r="M378" s="45"/>
      <c r="N378" s="28"/>
      <c r="O378" s="28"/>
      <c r="P378" s="28"/>
      <c r="AF378" s="176"/>
      <c r="AG378" s="176"/>
      <c r="AH378" s="176"/>
      <c r="AI378" s="176"/>
      <c r="AJ378" s="176"/>
      <c r="AK378" s="176"/>
      <c r="AL378" s="176"/>
      <c r="AM378" s="176"/>
      <c r="AN378" s="176"/>
      <c r="AR378" s="92"/>
      <c r="AS378" s="176"/>
      <c r="AT378" s="178"/>
      <c r="AU378" s="178"/>
      <c r="AV378" s="178"/>
      <c r="AW378" s="178"/>
      <c r="AX378" s="178"/>
      <c r="AY378" s="178"/>
      <c r="AZ378" s="176"/>
    </row>
    <row r="379" spans="1:52" s="165" customFormat="1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AF379" s="176"/>
      <c r="AG379" s="176"/>
      <c r="AH379" s="176"/>
      <c r="AI379" s="176"/>
      <c r="AJ379" s="176"/>
      <c r="AK379" s="176"/>
      <c r="AL379" s="176"/>
      <c r="AM379" s="176"/>
      <c r="AN379" s="176"/>
      <c r="AR379" s="92"/>
      <c r="AS379" s="176"/>
      <c r="AT379" s="178"/>
      <c r="AU379" s="178"/>
      <c r="AV379" s="178"/>
      <c r="AW379" s="178"/>
      <c r="AX379" s="178"/>
      <c r="AY379" s="178"/>
      <c r="AZ379" s="176"/>
    </row>
    <row r="380" spans="1:52" s="165" customFormat="1">
      <c r="A380" s="88" t="s">
        <v>73</v>
      </c>
      <c r="B380" s="88"/>
      <c r="C380" s="23" t="str">
        <f>CONCATENATE("m",Stufengrün!AH42)</f>
        <v>m-6</v>
      </c>
      <c r="D380" s="23" t="s">
        <v>30</v>
      </c>
      <c r="E380" s="28"/>
      <c r="F380" s="28"/>
      <c r="G380" s="28"/>
      <c r="H380" s="36" t="s">
        <v>57</v>
      </c>
      <c r="I380" s="36" t="s">
        <v>51</v>
      </c>
      <c r="J380" s="36" t="s">
        <v>58</v>
      </c>
      <c r="K380" s="36" t="s">
        <v>59</v>
      </c>
      <c r="L380" s="28"/>
      <c r="M380" s="28"/>
      <c r="N380" s="28"/>
      <c r="O380" s="28"/>
      <c r="P380" s="28"/>
      <c r="AF380" s="176"/>
      <c r="AG380" s="176"/>
      <c r="AH380" s="176"/>
      <c r="AI380" s="176"/>
      <c r="AJ380" s="176"/>
      <c r="AK380" s="176"/>
      <c r="AL380" s="176"/>
      <c r="AM380" s="176"/>
      <c r="AN380" s="176"/>
      <c r="AR380" s="92"/>
      <c r="AS380" s="176"/>
      <c r="AT380" s="178"/>
      <c r="AU380" s="178"/>
      <c r="AV380" s="178"/>
      <c r="AW380" s="178"/>
      <c r="AX380" s="178"/>
      <c r="AY380" s="178"/>
      <c r="AZ380" s="176"/>
    </row>
    <row r="381" spans="1:52" s="165" customFormat="1">
      <c r="A381" s="88" t="s">
        <v>69</v>
      </c>
      <c r="B381" s="88"/>
      <c r="C381" s="36">
        <f>Stufengrün!AI42</f>
        <v>5.9398558365054185E-2</v>
      </c>
      <c r="D381" s="26">
        <f>Stufengrün!AK41</f>
        <v>-0.93001918678854067</v>
      </c>
      <c r="E381" s="28"/>
      <c r="F381" s="28"/>
      <c r="G381" s="28"/>
      <c r="H381" s="78">
        <f>H370</f>
        <v>3.3013333642520681E-2</v>
      </c>
      <c r="I381" s="78">
        <f>I370</f>
        <v>-0.66000334397620009</v>
      </c>
      <c r="J381" s="78">
        <f>J370</f>
        <v>-4.7944743467163528E-2</v>
      </c>
      <c r="K381" s="78">
        <f>K370</f>
        <v>-1.9681965202022982</v>
      </c>
      <c r="L381" s="28"/>
      <c r="M381" s="28"/>
      <c r="N381" s="28"/>
      <c r="O381" s="28"/>
      <c r="P381" s="28"/>
      <c r="AF381" s="176"/>
      <c r="AG381" s="176"/>
      <c r="AH381" s="176"/>
      <c r="AI381" s="176"/>
      <c r="AJ381" s="176"/>
      <c r="AK381" s="176"/>
      <c r="AL381" s="176"/>
      <c r="AM381" s="176"/>
      <c r="AN381" s="176"/>
      <c r="AR381" s="92"/>
      <c r="AS381" s="176"/>
      <c r="AT381" s="178"/>
      <c r="AU381" s="178"/>
      <c r="AV381" s="178"/>
      <c r="AW381" s="178"/>
      <c r="AX381" s="178"/>
      <c r="AY381" s="178"/>
      <c r="AZ381" s="176"/>
    </row>
    <row r="382" spans="1:52" s="165" customFormat="1">
      <c r="A382" s="95"/>
      <c r="B382" s="95"/>
      <c r="C382" s="28"/>
      <c r="D382" s="28"/>
      <c r="E382" s="28"/>
      <c r="F382" s="28"/>
      <c r="G382" s="28"/>
      <c r="H382" s="37" t="s">
        <v>8</v>
      </c>
      <c r="I382" s="37" t="s">
        <v>8</v>
      </c>
      <c r="J382" s="37" t="s">
        <v>9</v>
      </c>
      <c r="K382" s="37" t="s">
        <v>9</v>
      </c>
      <c r="L382" s="28"/>
      <c r="M382" s="28"/>
      <c r="N382" s="28"/>
      <c r="O382" s="28"/>
      <c r="P382" s="28"/>
      <c r="AF382" s="176"/>
      <c r="AG382" s="176"/>
      <c r="AH382" s="176"/>
      <c r="AI382" s="176"/>
      <c r="AJ382" s="176"/>
      <c r="AK382" s="176"/>
      <c r="AL382" s="176"/>
      <c r="AM382" s="176"/>
      <c r="AN382" s="176"/>
      <c r="AR382" s="92"/>
      <c r="AS382" s="176"/>
      <c r="AT382" s="178"/>
      <c r="AU382" s="178"/>
      <c r="AV382" s="178"/>
      <c r="AW382" s="178"/>
      <c r="AX382" s="178"/>
      <c r="AY382" s="178"/>
      <c r="AZ382" s="176"/>
    </row>
    <row r="383" spans="1:52" s="165" customFormat="1">
      <c r="A383" s="88" t="s">
        <v>68</v>
      </c>
      <c r="B383" s="88"/>
      <c r="C383" s="115" t="s">
        <v>15</v>
      </c>
      <c r="D383" s="115" t="s">
        <v>55</v>
      </c>
      <c r="E383" s="115" t="s">
        <v>12</v>
      </c>
      <c r="F383" s="115" t="s">
        <v>10</v>
      </c>
      <c r="G383" s="115" t="s">
        <v>14</v>
      </c>
      <c r="H383" s="115" t="s">
        <v>21</v>
      </c>
      <c r="I383" s="115" t="s">
        <v>16</v>
      </c>
      <c r="J383" s="115" t="s">
        <v>17</v>
      </c>
      <c r="K383" s="115" t="s">
        <v>23</v>
      </c>
      <c r="L383" s="28"/>
      <c r="M383" s="28"/>
      <c r="N383" s="28"/>
      <c r="O383" s="28"/>
      <c r="P383" s="28"/>
      <c r="AF383" s="176"/>
      <c r="AG383" s="176"/>
      <c r="AH383" s="176"/>
      <c r="AI383" s="176"/>
      <c r="AJ383" s="176"/>
      <c r="AK383" s="176"/>
      <c r="AL383" s="176"/>
      <c r="AM383" s="176"/>
      <c r="AN383" s="176"/>
      <c r="AR383" s="92"/>
      <c r="AS383" s="176"/>
      <c r="AT383" s="178"/>
      <c r="AU383" s="178"/>
      <c r="AV383" s="178"/>
      <c r="AW383" s="178"/>
      <c r="AX383" s="178"/>
      <c r="AY383" s="178"/>
      <c r="AZ383" s="176"/>
    </row>
    <row r="384" spans="1:52" s="165" customFormat="1">
      <c r="A384" s="28"/>
      <c r="B384" s="28"/>
      <c r="C384" s="23">
        <f>Mü/TAN($C381)</f>
        <v>1.1770934876266894</v>
      </c>
      <c r="D384" s="42">
        <f>SQRT($J381*$J381+$K381*$K381)</f>
        <v>1.968780394193971</v>
      </c>
      <c r="E384" s="20">
        <f>ATAN($J381/$K381)</f>
        <v>2.4354917272581579E-2</v>
      </c>
      <c r="F384" s="23">
        <f>($E384-A397-0.0001)/5</f>
        <v>1.7506691400974981E-4</v>
      </c>
      <c r="G384" s="23">
        <f>COS($E384)</f>
        <v>0.99970343366208103</v>
      </c>
      <c r="H384" s="23">
        <f>SIN($E384)</f>
        <v>2.4352509608768405E-2</v>
      </c>
      <c r="I384" s="23">
        <f>$C384+$G384</f>
        <v>2.1767969212887706</v>
      </c>
      <c r="J384" s="23">
        <f>POWER(TAN($E384/2),$C384)</f>
        <v>5.5788731341537834E-3</v>
      </c>
      <c r="K384" s="23">
        <f>-$D384*$D384*SIN($E384)*SIN($E384)/(2*9.81*SIN($C381)*POWER(TAN($E384/2),2*$C384))</f>
        <v>-63.411719338422238</v>
      </c>
      <c r="L384" s="28"/>
      <c r="M384" s="28"/>
      <c r="N384" s="28"/>
      <c r="O384" s="28"/>
      <c r="P384" s="28"/>
      <c r="AF384" s="176"/>
      <c r="AG384" s="176"/>
      <c r="AH384" s="176"/>
      <c r="AI384" s="176"/>
      <c r="AJ384" s="176"/>
      <c r="AK384" s="176"/>
      <c r="AL384" s="176"/>
      <c r="AM384" s="176"/>
      <c r="AN384" s="176"/>
      <c r="AR384" s="92"/>
      <c r="AS384" s="176"/>
      <c r="AT384" s="178"/>
      <c r="AU384" s="178"/>
      <c r="AV384" s="178"/>
      <c r="AW384" s="178"/>
      <c r="AX384" s="178"/>
      <c r="AY384" s="178"/>
      <c r="AZ384" s="176"/>
    </row>
    <row r="385" spans="1:52" s="165" customFormat="1">
      <c r="A385" s="88" t="s">
        <v>70</v>
      </c>
      <c r="B385" s="8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45"/>
      <c r="N385" s="28"/>
      <c r="O385" s="28"/>
      <c r="P385" s="28"/>
      <c r="AF385" s="176"/>
      <c r="AG385" s="176"/>
      <c r="AH385" s="176"/>
      <c r="AI385" s="176"/>
      <c r="AJ385" s="176"/>
      <c r="AK385" s="176"/>
      <c r="AL385" s="176"/>
      <c r="AM385" s="176"/>
      <c r="AN385" s="176"/>
      <c r="AR385" s="92"/>
      <c r="AS385" s="176"/>
      <c r="AT385" s="178"/>
      <c r="AU385" s="178"/>
      <c r="AV385" s="178"/>
      <c r="AW385" s="178"/>
      <c r="AX385" s="178"/>
      <c r="AY385" s="178"/>
      <c r="AZ385" s="176"/>
    </row>
    <row r="386" spans="1:52" s="165" customFormat="1">
      <c r="A386" s="115" t="s">
        <v>11</v>
      </c>
      <c r="B386" s="115" t="s">
        <v>13</v>
      </c>
      <c r="C386" s="117" t="s">
        <v>22</v>
      </c>
      <c r="D386" s="117" t="s">
        <v>18</v>
      </c>
      <c r="E386" s="115" t="s">
        <v>19</v>
      </c>
      <c r="F386" s="117" t="s">
        <v>20</v>
      </c>
      <c r="G386" s="117" t="s">
        <v>2</v>
      </c>
      <c r="H386" s="117" t="s">
        <v>65</v>
      </c>
      <c r="I386" s="117" t="s">
        <v>66</v>
      </c>
      <c r="J386" s="118" t="s">
        <v>3</v>
      </c>
      <c r="K386" s="118" t="s">
        <v>4</v>
      </c>
      <c r="L386" s="116" t="s">
        <v>7</v>
      </c>
      <c r="M386" s="93"/>
      <c r="N386" s="117" t="s">
        <v>61</v>
      </c>
      <c r="O386" s="117" t="s">
        <v>62</v>
      </c>
      <c r="P386" s="115" t="s">
        <v>63</v>
      </c>
      <c r="AF386" s="176"/>
      <c r="AG386" s="176"/>
      <c r="AH386" s="176"/>
      <c r="AI386" s="176"/>
      <c r="AJ386" s="176"/>
      <c r="AK386" s="176"/>
      <c r="AL386" s="176"/>
      <c r="AM386" s="176"/>
      <c r="AN386" s="176"/>
      <c r="AR386" s="92"/>
      <c r="AS386" s="176"/>
      <c r="AT386" s="178"/>
      <c r="AU386" s="178"/>
      <c r="AV386" s="178"/>
      <c r="AW386" s="178"/>
      <c r="AX386" s="178"/>
      <c r="AY386" s="178"/>
      <c r="AZ386" s="176"/>
    </row>
    <row r="387" spans="1:52" s="165" customFormat="1">
      <c r="A387" s="19">
        <f>$E384</f>
        <v>2.4354917272581579E-2</v>
      </c>
      <c r="B387" s="26">
        <f>COS(A387)</f>
        <v>0.99970343366208103</v>
      </c>
      <c r="C387" s="26">
        <f>($C$384+B387)</f>
        <v>2.1767969212887706</v>
      </c>
      <c r="D387" s="26">
        <f>POWER(TAN(A387/2),$C$384)</f>
        <v>5.5788731341537834E-3</v>
      </c>
      <c r="E387" s="26">
        <f>SIN(A387)</f>
        <v>2.4352509608768405E-2</v>
      </c>
      <c r="F387" s="77">
        <f>(C387*$H$384*D387/E387/$I$384/$J$384)</f>
        <v>0.99999999999999989</v>
      </c>
      <c r="G387" s="77">
        <f>$D$384*($C$384+$G$384)/9.81/SIN($C$381)/(1-$C$384*$C$381)*(F387-1)</f>
        <v>-8.7844488244973777E-16</v>
      </c>
      <c r="H387" s="75">
        <f>-(-$H$381+$K$384*((POWER(TAN(A387/2),2*$C$384-1)/(2*$C$384-1))+(POWER(TAN(A387/2),2*$C$384+1)/(2*$C$384+1))-(POWER(TAN($E$384/2),2*$C$384-1)/(2*$C$384-1))-(POWER(TAN($E$384/2),2*$C$384+1)/(2*$C$384+1))))</f>
        <v>3.3013333642520674E-2</v>
      </c>
      <c r="I387" s="75">
        <f>-(-$I$381+0.5*$K$384*((POWER(TAN(A387/2),2*$C$384-2)/(2*$C$384-2))-(POWER(TAN(A387/2),2*$C$384+2)/(2*$C$384+2))-(POWER(TAN($E$384/2),2*$C$384-2)/(2*$C$384-2))+(POWER(TAN($E$384/2),2*$C$384+2)/(2*$C$384+2))))</f>
        <v>-0.66000334397619964</v>
      </c>
      <c r="J387" s="77">
        <f>-$D$384*SIN(A387)*($C$384+$G$384)/($C$384+B387)*F387</f>
        <v>-4.7944743467163521E-2</v>
      </c>
      <c r="K387" s="77">
        <f>-$D$384*COS(A387)*($C$384+$G$384)/($C$384+B387)*F387</f>
        <v>-1.9681965202022982</v>
      </c>
      <c r="L387" s="91">
        <f>SQRT(J387*J387+K387*K387)</f>
        <v>1.968780394193971</v>
      </c>
      <c r="M387" s="93"/>
      <c r="N387" s="75">
        <f>-(-$I$381+0.5*$K$384*((POWER(TAN(A387/2),2*$C$384-2)/(2*$C$384-2))-(POWER(TAN(A387/2),2*$C$384+2)/(2*$C$384+2))-(POWER(TAN($E$384/2),2*$C$384-2)/(2*$C$384-2))+(POWER(TAN($E$384/2),2*$C$384+2)/(2*$C$384+2))))-$D$381</f>
        <v>0.27001584281234103</v>
      </c>
      <c r="O387" s="75">
        <f>-(-$I$381+0.5*$K$384*((POWER(TAN((A387+$M$9)/2),2*$C$384-2)/(2*$C$384-2))-(POWER(TAN((A387+$M$9)/2),2*$C$384+2)/(2*$C$384+2))-(POWER(TAN($E$384/2),2*$C$384-2)/(2*$C$384-2))+(POWER(TAN($E$384/2),2*$C$384+2)/(2*$C$384+2))))-$D$381</f>
        <v>0.53970656941413941</v>
      </c>
      <c r="P387" s="75">
        <f>A387-N387/(O387-N387)*$M$9</f>
        <v>2.3353711757602851E-2</v>
      </c>
      <c r="AF387" s="176"/>
      <c r="AG387" s="176"/>
      <c r="AH387" s="176"/>
      <c r="AI387" s="176"/>
      <c r="AJ387" s="176"/>
      <c r="AK387" s="176"/>
      <c r="AL387" s="176"/>
      <c r="AM387" s="176"/>
      <c r="AN387" s="176"/>
      <c r="AR387" s="92"/>
      <c r="AS387" s="176"/>
      <c r="AT387" s="178"/>
      <c r="AU387" s="178"/>
      <c r="AV387" s="178"/>
      <c r="AW387" s="178"/>
      <c r="AX387" s="178"/>
      <c r="AY387" s="178"/>
      <c r="AZ387" s="176"/>
    </row>
    <row r="388" spans="1:52" s="165" customFormat="1">
      <c r="A388" s="19">
        <f>P387</f>
        <v>2.3353711757602851E-2</v>
      </c>
      <c r="B388" s="26">
        <f t="shared" ref="B388:B397" si="381">COS(A388)</f>
        <v>0.99972731446737262</v>
      </c>
      <c r="C388" s="26">
        <f t="shared" ref="C388:C397" si="382">($C$384+B388)</f>
        <v>2.176820802094062</v>
      </c>
      <c r="D388" s="26">
        <f t="shared" ref="D388:D397" si="383">POWER(TAN(A388/2),$C$384)</f>
        <v>5.3098855646563003E-3</v>
      </c>
      <c r="E388" s="26">
        <f t="shared" ref="E388:E397" si="384">SIN(A388)</f>
        <v>2.3351588979234502E-2</v>
      </c>
      <c r="F388" s="77">
        <f t="shared" ref="F388:F397" si="385">(C388*$H$384*D388/E388/$I$384/$J$384)</f>
        <v>0.99259189814507365</v>
      </c>
      <c r="G388" s="77">
        <f t="shared" ref="G388:G397" si="386">$D$384*($C$384+$G$384)/9.81/SIN($C$381)/(1-$C$384*$C$381)*(F388-1)</f>
        <v>-5.8615332404258334E-2</v>
      </c>
      <c r="H388" s="75">
        <f t="shared" ref="H388:H397" si="387">-(-$H$381+$K$384*((POWER(TAN(A388/2),2*$C$384-1)/(2*$C$384-1))+(POWER(TAN(A388/2),2*$C$384+1)/(2*$C$384+1))-(POWER(TAN($E$384/2),2*$C$384-1)/(2*$C$384-1))-(POWER(TAN($E$384/2),2*$C$384+1)/(2*$C$384+1))))</f>
        <v>2.639847137994001E-2</v>
      </c>
      <c r="I388" s="75">
        <f t="shared" ref="I388:I397" si="388">-(-$I$381+0.5*$K$384*((POWER(TAN(A388/2),2*$C$384-2)/(2*$C$384-2))-(POWER(TAN(A388/2),2*$C$384+2)/(2*$C$384+2))-(POWER(TAN($E$384/2),2*$C$384-2)/(2*$C$384-2))+(POWER(TAN($E$384/2),2*$C$384+2)/(2*$C$384+2))))</f>
        <v>-0.93727956340371377</v>
      </c>
      <c r="J388" s="77">
        <f t="shared" ref="J388:J397" si="389">-$D$384*SIN(A388)*($C$384+$G$384)/($C$384+B388)*F388</f>
        <v>-4.5633068742664019E-2</v>
      </c>
      <c r="K388" s="77">
        <f t="shared" ref="K388:K397" si="390">-$D$384*COS(A388)*($C$384+$G$384)/($C$384+B388)*F388</f>
        <v>-1.9536411550227628</v>
      </c>
      <c r="L388" s="91">
        <f t="shared" ref="L388:L397" si="391">SQRT(J388*J388+K388*K388)</f>
        <v>1.9541740300089825</v>
      </c>
      <c r="M388" s="93"/>
      <c r="N388" s="75">
        <f t="shared" ref="N388:N397" si="392">-(-$I$381+0.5*$K$384*((POWER(TAN(A388/2),2*$C$384-2)/(2*$C$384-2))-(POWER(TAN(A388/2),2*$C$384+2)/(2*$C$384+2))-(POWER(TAN($E$384/2),2*$C$384-2)/(2*$C$384-2))+(POWER(TAN($E$384/2),2*$C$384+2)/(2*$C$384+2))))-$D$381</f>
        <v>-7.260376615173092E-3</v>
      </c>
      <c r="O388" s="75">
        <f t="shared" ref="O388:O397" si="393">-(-$I$381+0.5*$K$384*((POWER(TAN((A388+$M$9)/2),2*$C$384-2)/(2*$C$384-2))-(POWER(TAN((A388+$M$9)/2),2*$C$384+2)/(2*$C$384+2))-(POWER(TAN($E$384/2),2*$C$384-2)/(2*$C$384-2))+(POWER(TAN($E$384/2),2*$C$384+2)/(2*$C$384+2))))-$D$381</f>
        <v>0.26968645156182791</v>
      </c>
      <c r="P388" s="75">
        <f t="shared" ref="P388:P397" si="394">A388-N388/(O388-N388)*$M$9</f>
        <v>2.3379927535782961E-2</v>
      </c>
      <c r="AF388" s="176"/>
      <c r="AG388" s="176"/>
      <c r="AH388" s="176"/>
      <c r="AI388" s="176"/>
      <c r="AJ388" s="176"/>
      <c r="AK388" s="176"/>
      <c r="AL388" s="176"/>
      <c r="AM388" s="176"/>
      <c r="AN388" s="176"/>
      <c r="AR388" s="92"/>
      <c r="AS388" s="176"/>
      <c r="AT388" s="178"/>
      <c r="AU388" s="178"/>
      <c r="AV388" s="178"/>
      <c r="AW388" s="178"/>
      <c r="AX388" s="178"/>
      <c r="AY388" s="178"/>
      <c r="AZ388" s="176"/>
    </row>
    <row r="389" spans="1:52" s="165" customFormat="1">
      <c r="A389" s="19">
        <f t="shared" ref="A389:A397" si="395">P388</f>
        <v>2.3379927535782961E-2</v>
      </c>
      <c r="B389" s="26">
        <f t="shared" si="381"/>
        <v>0.99972670194375601</v>
      </c>
      <c r="C389" s="26">
        <f t="shared" si="382"/>
        <v>2.1768201895704453</v>
      </c>
      <c r="D389" s="26">
        <f t="shared" si="383"/>
        <v>5.3169031169479995E-3</v>
      </c>
      <c r="E389" s="26">
        <f t="shared" si="384"/>
        <v>2.3377797600723785E-2</v>
      </c>
      <c r="F389" s="77">
        <f t="shared" si="385"/>
        <v>0.99278917386935728</v>
      </c>
      <c r="G389" s="77">
        <f t="shared" si="386"/>
        <v>-5.7054422149428866E-2</v>
      </c>
      <c r="H389" s="75">
        <f t="shared" si="387"/>
        <v>2.6570415042458682E-2</v>
      </c>
      <c r="I389" s="75">
        <f t="shared" si="388"/>
        <v>-0.92992244842636929</v>
      </c>
      <c r="J389" s="77">
        <f t="shared" si="389"/>
        <v>-4.5693377471022284E-2</v>
      </c>
      <c r="K389" s="77">
        <f t="shared" si="390"/>
        <v>-1.9540287900500064</v>
      </c>
      <c r="L389" s="91">
        <f t="shared" si="391"/>
        <v>1.9545629683100521</v>
      </c>
      <c r="M389" s="93"/>
      <c r="N389" s="75">
        <f t="shared" si="392"/>
        <v>9.6738362171389092E-5</v>
      </c>
      <c r="O389" s="75">
        <f t="shared" si="393"/>
        <v>0.27684719805939639</v>
      </c>
      <c r="P389" s="75">
        <f t="shared" si="394"/>
        <v>2.3379577984919426E-2</v>
      </c>
      <c r="AF389" s="176"/>
      <c r="AG389" s="176"/>
      <c r="AH389" s="176"/>
      <c r="AI389" s="176"/>
      <c r="AJ389" s="176"/>
      <c r="AK389" s="176"/>
      <c r="AL389" s="176"/>
      <c r="AM389" s="176"/>
      <c r="AN389" s="176"/>
      <c r="AR389" s="92"/>
      <c r="AS389" s="176"/>
      <c r="AT389" s="178"/>
      <c r="AU389" s="178"/>
      <c r="AV389" s="178"/>
      <c r="AW389" s="178"/>
      <c r="AX389" s="178"/>
      <c r="AY389" s="178"/>
      <c r="AZ389" s="176"/>
    </row>
    <row r="390" spans="1:52" s="165" customFormat="1">
      <c r="A390" s="19">
        <f t="shared" si="395"/>
        <v>2.3379577984919426E-2</v>
      </c>
      <c r="B390" s="26">
        <f t="shared" si="381"/>
        <v>0.99972671011542424</v>
      </c>
      <c r="C390" s="26">
        <f t="shared" si="382"/>
        <v>2.1768201977421135</v>
      </c>
      <c r="D390" s="26">
        <f t="shared" si="383"/>
        <v>5.3168095384838838E-3</v>
      </c>
      <c r="E390" s="26">
        <f t="shared" si="384"/>
        <v>2.3377448145390393E-2</v>
      </c>
      <c r="F390" s="77">
        <f t="shared" si="385"/>
        <v>0.99278654466949567</v>
      </c>
      <c r="G390" s="77">
        <f t="shared" si="386"/>
        <v>-5.7075225241349455E-2</v>
      </c>
      <c r="H390" s="75">
        <f t="shared" si="387"/>
        <v>2.6568121963247818E-2</v>
      </c>
      <c r="I390" s="75">
        <f t="shared" si="388"/>
        <v>-0.93002051025835075</v>
      </c>
      <c r="J390" s="77">
        <f t="shared" si="389"/>
        <v>-4.5692573259249004E-2</v>
      </c>
      <c r="K390" s="77">
        <f t="shared" si="390"/>
        <v>-1.9540236238395552</v>
      </c>
      <c r="L390" s="91">
        <f t="shared" si="391"/>
        <v>1.9545577847109354</v>
      </c>
      <c r="M390" s="93"/>
      <c r="N390" s="75">
        <f t="shared" si="392"/>
        <v>-1.3234698100772491E-6</v>
      </c>
      <c r="O390" s="75">
        <f t="shared" si="393"/>
        <v>0.27675175219182213</v>
      </c>
      <c r="P390" s="75">
        <f t="shared" si="394"/>
        <v>2.3379582767051682E-2</v>
      </c>
      <c r="AF390" s="176"/>
      <c r="AG390" s="176"/>
      <c r="AH390" s="176"/>
      <c r="AI390" s="176"/>
      <c r="AJ390" s="176"/>
      <c r="AK390" s="176"/>
      <c r="AL390" s="176"/>
      <c r="AM390" s="176"/>
      <c r="AN390" s="176"/>
      <c r="AR390" s="92"/>
      <c r="AS390" s="176"/>
      <c r="AT390" s="178"/>
      <c r="AU390" s="178"/>
      <c r="AV390" s="178"/>
      <c r="AW390" s="178"/>
      <c r="AX390" s="178"/>
      <c r="AY390" s="178"/>
      <c r="AZ390" s="176"/>
    </row>
    <row r="391" spans="1:52" s="165" customFormat="1">
      <c r="A391" s="19">
        <f t="shared" si="395"/>
        <v>2.3379582767051682E-2</v>
      </c>
      <c r="B391" s="26">
        <f t="shared" si="381"/>
        <v>0.99972671000363023</v>
      </c>
      <c r="C391" s="26">
        <f t="shared" si="382"/>
        <v>2.1768201976303194</v>
      </c>
      <c r="D391" s="26">
        <f t="shared" si="383"/>
        <v>5.3168108187096079E-3</v>
      </c>
      <c r="E391" s="26">
        <f t="shared" si="384"/>
        <v>2.3377452926215739E-2</v>
      </c>
      <c r="F391" s="77">
        <f t="shared" si="385"/>
        <v>0.99278658063924785</v>
      </c>
      <c r="G391" s="77">
        <f t="shared" si="386"/>
        <v>-5.7074940636868896E-2</v>
      </c>
      <c r="H391" s="75">
        <f t="shared" si="387"/>
        <v>2.6568153334302916E-2</v>
      </c>
      <c r="I391" s="75">
        <f t="shared" si="388"/>
        <v>-0.93001916868854306</v>
      </c>
      <c r="J391" s="77">
        <f t="shared" si="389"/>
        <v>-4.5692584261487722E-2</v>
      </c>
      <c r="K391" s="77">
        <f t="shared" si="390"/>
        <v>-1.9540236945178311</v>
      </c>
      <c r="L391" s="91">
        <f t="shared" si="391"/>
        <v>1.9545578556270999</v>
      </c>
      <c r="M391" s="93"/>
      <c r="N391" s="75">
        <f t="shared" si="392"/>
        <v>1.8099997611820129E-8</v>
      </c>
      <c r="O391" s="75">
        <f t="shared" si="393"/>
        <v>0.27675305797273297</v>
      </c>
      <c r="P391" s="75">
        <f t="shared" si="394"/>
        <v>2.3379582701650421E-2</v>
      </c>
      <c r="AF391" s="176"/>
      <c r="AG391" s="176"/>
      <c r="AH391" s="176"/>
      <c r="AI391" s="176"/>
      <c r="AJ391" s="176"/>
      <c r="AK391" s="176"/>
      <c r="AL391" s="176"/>
      <c r="AM391" s="176"/>
      <c r="AN391" s="176"/>
      <c r="AR391" s="92"/>
      <c r="AS391" s="176"/>
      <c r="AT391" s="178"/>
      <c r="AU391" s="178"/>
      <c r="AV391" s="178"/>
      <c r="AW391" s="178"/>
      <c r="AX391" s="178"/>
      <c r="AY391" s="178"/>
      <c r="AZ391" s="176"/>
    </row>
    <row r="392" spans="1:52" s="165" customFormat="1">
      <c r="A392" s="19">
        <f t="shared" si="395"/>
        <v>2.3379582701650421E-2</v>
      </c>
      <c r="B392" s="26">
        <f t="shared" si="381"/>
        <v>0.99972671000515911</v>
      </c>
      <c r="C392" s="26">
        <f t="shared" si="382"/>
        <v>2.1768201976318484</v>
      </c>
      <c r="D392" s="26">
        <f t="shared" si="383"/>
        <v>5.3168108012010213E-3</v>
      </c>
      <c r="E392" s="26">
        <f t="shared" si="384"/>
        <v>2.3377452860832353E-2</v>
      </c>
      <c r="F392" s="77">
        <f t="shared" si="385"/>
        <v>0.99278658014731946</v>
      </c>
      <c r="G392" s="77">
        <f t="shared" si="386"/>
        <v>-5.7074944529167691E-2</v>
      </c>
      <c r="H392" s="75">
        <f t="shared" si="387"/>
        <v>2.6568152905266918E-2</v>
      </c>
      <c r="I392" s="75">
        <f t="shared" si="388"/>
        <v>-0.93001918703608621</v>
      </c>
      <c r="J392" s="77">
        <f t="shared" si="389"/>
        <v>-4.5692584111019216E-2</v>
      </c>
      <c r="K392" s="77">
        <f t="shared" si="390"/>
        <v>-1.9540236935512232</v>
      </c>
      <c r="L392" s="91">
        <f t="shared" si="391"/>
        <v>1.9545578546572386</v>
      </c>
      <c r="M392" s="93"/>
      <c r="N392" s="75">
        <f t="shared" si="392"/>
        <v>-2.4754553962225145E-10</v>
      </c>
      <c r="O392" s="75">
        <f t="shared" si="393"/>
        <v>0.27675304011465041</v>
      </c>
      <c r="P392" s="75">
        <f t="shared" si="394"/>
        <v>2.3379582702544886E-2</v>
      </c>
      <c r="AF392" s="176"/>
      <c r="AG392" s="176"/>
      <c r="AH392" s="176"/>
      <c r="AI392" s="176"/>
      <c r="AJ392" s="176"/>
      <c r="AK392" s="176"/>
      <c r="AL392" s="176"/>
      <c r="AM392" s="176"/>
      <c r="AN392" s="176"/>
      <c r="AR392" s="92"/>
      <c r="AS392" s="176"/>
      <c r="AT392" s="178"/>
      <c r="AU392" s="178"/>
      <c r="AV392" s="178"/>
      <c r="AW392" s="178"/>
      <c r="AX392" s="178"/>
      <c r="AY392" s="178"/>
      <c r="AZ392" s="176"/>
    </row>
    <row r="393" spans="1:52" s="165" customFormat="1">
      <c r="A393" s="19">
        <f t="shared" si="395"/>
        <v>2.3379582702544886E-2</v>
      </c>
      <c r="B393" s="26">
        <f t="shared" si="381"/>
        <v>0.99972671000513824</v>
      </c>
      <c r="C393" s="26">
        <f t="shared" si="382"/>
        <v>2.1768201976318275</v>
      </c>
      <c r="D393" s="26">
        <f t="shared" si="383"/>
        <v>5.316810801440479E-3</v>
      </c>
      <c r="E393" s="26">
        <f t="shared" si="384"/>
        <v>2.3377452861726572E-2</v>
      </c>
      <c r="F393" s="77">
        <f t="shared" si="385"/>
        <v>0.99278658015404742</v>
      </c>
      <c r="G393" s="77">
        <f t="shared" si="386"/>
        <v>-5.7074944475933927E-2</v>
      </c>
      <c r="H393" s="75">
        <f t="shared" si="387"/>
        <v>2.6568152911134676E-2</v>
      </c>
      <c r="I393" s="75">
        <f t="shared" si="388"/>
        <v>-0.93001918678515194</v>
      </c>
      <c r="J393" s="77">
        <f t="shared" si="389"/>
        <v>-4.5692584113077105E-2</v>
      </c>
      <c r="K393" s="77">
        <f t="shared" si="390"/>
        <v>-1.9540236935644433</v>
      </c>
      <c r="L393" s="91">
        <f t="shared" si="391"/>
        <v>1.9545578546705031</v>
      </c>
      <c r="M393" s="93"/>
      <c r="N393" s="75">
        <f t="shared" si="392"/>
        <v>3.3887337380633653E-12</v>
      </c>
      <c r="O393" s="75">
        <f t="shared" si="393"/>
        <v>0.27675304035889303</v>
      </c>
      <c r="P393" s="75">
        <f t="shared" si="394"/>
        <v>2.3379582702532643E-2</v>
      </c>
      <c r="AF393" s="176"/>
      <c r="AG393" s="176"/>
      <c r="AH393" s="176"/>
      <c r="AI393" s="176"/>
      <c r="AJ393" s="176"/>
      <c r="AK393" s="176"/>
      <c r="AL393" s="176"/>
      <c r="AM393" s="176"/>
      <c r="AN393" s="176"/>
      <c r="AR393" s="92"/>
      <c r="AS393" s="176"/>
      <c r="AT393" s="178"/>
      <c r="AU393" s="178"/>
      <c r="AV393" s="178"/>
      <c r="AW393" s="178"/>
      <c r="AX393" s="178"/>
      <c r="AY393" s="178"/>
      <c r="AZ393" s="176"/>
    </row>
    <row r="394" spans="1:52" s="165" customFormat="1">
      <c r="A394" s="19">
        <f t="shared" si="395"/>
        <v>2.3379582702532643E-2</v>
      </c>
      <c r="B394" s="26">
        <f t="shared" si="381"/>
        <v>0.99972671000513846</v>
      </c>
      <c r="C394" s="26">
        <f t="shared" si="382"/>
        <v>2.176820197631828</v>
      </c>
      <c r="D394" s="26">
        <f t="shared" si="383"/>
        <v>5.3168108014371969E-3</v>
      </c>
      <c r="E394" s="26">
        <f t="shared" si="384"/>
        <v>2.3377452861714332E-2</v>
      </c>
      <c r="F394" s="77">
        <f t="shared" si="385"/>
        <v>0.99278658015395471</v>
      </c>
      <c r="G394" s="77">
        <f t="shared" si="386"/>
        <v>-5.707494447666743E-2</v>
      </c>
      <c r="H394" s="75">
        <f t="shared" si="387"/>
        <v>2.6568152911054306E-2</v>
      </c>
      <c r="I394" s="75">
        <f t="shared" si="388"/>
        <v>-0.93001918678859097</v>
      </c>
      <c r="J394" s="77">
        <f t="shared" si="389"/>
        <v>-4.5692584113048898E-2</v>
      </c>
      <c r="K394" s="77">
        <f t="shared" si="390"/>
        <v>-1.954023693564261</v>
      </c>
      <c r="L394" s="91">
        <f t="shared" si="391"/>
        <v>1.9545578546703202</v>
      </c>
      <c r="M394" s="93"/>
      <c r="N394" s="75">
        <f t="shared" si="392"/>
        <v>-5.0293103015519591E-14</v>
      </c>
      <c r="O394" s="75">
        <f t="shared" si="393"/>
        <v>0.27675304035554549</v>
      </c>
      <c r="P394" s="75">
        <f t="shared" si="394"/>
        <v>2.3379582702532823E-2</v>
      </c>
      <c r="AF394" s="176"/>
      <c r="AG394" s="176"/>
      <c r="AH394" s="176"/>
      <c r="AI394" s="176"/>
      <c r="AJ394" s="176"/>
      <c r="AK394" s="176"/>
      <c r="AL394" s="176"/>
      <c r="AM394" s="176"/>
      <c r="AN394" s="176"/>
      <c r="AR394" s="92"/>
      <c r="AS394" s="176"/>
      <c r="AT394" s="178"/>
      <c r="AU394" s="178"/>
      <c r="AV394" s="178"/>
      <c r="AW394" s="178"/>
      <c r="AX394" s="178"/>
      <c r="AY394" s="178"/>
      <c r="AZ394" s="176"/>
    </row>
    <row r="395" spans="1:52" s="165" customFormat="1">
      <c r="A395" s="19">
        <f t="shared" si="395"/>
        <v>2.3379582702532823E-2</v>
      </c>
      <c r="B395" s="26">
        <f t="shared" si="381"/>
        <v>0.99972671000513846</v>
      </c>
      <c r="C395" s="26">
        <f t="shared" si="382"/>
        <v>2.176820197631828</v>
      </c>
      <c r="D395" s="26">
        <f t="shared" si="383"/>
        <v>5.316810801437249E-3</v>
      </c>
      <c r="E395" s="26">
        <f t="shared" si="384"/>
        <v>2.3377452861714512E-2</v>
      </c>
      <c r="F395" s="77">
        <f t="shared" si="385"/>
        <v>0.99278658015395671</v>
      </c>
      <c r="G395" s="77">
        <f t="shared" si="386"/>
        <v>-5.7074944476651616E-2</v>
      </c>
      <c r="H395" s="75">
        <f t="shared" si="387"/>
        <v>2.6568152911055503E-2</v>
      </c>
      <c r="I395" s="75">
        <f t="shared" si="388"/>
        <v>-0.93001918678854167</v>
      </c>
      <c r="J395" s="77">
        <f t="shared" si="389"/>
        <v>-4.5692584113049356E-2</v>
      </c>
      <c r="K395" s="77">
        <f t="shared" si="390"/>
        <v>-1.9540236935642648</v>
      </c>
      <c r="L395" s="91">
        <f t="shared" si="391"/>
        <v>1.9545578546703242</v>
      </c>
      <c r="M395" s="93"/>
      <c r="N395" s="75">
        <f t="shared" si="392"/>
        <v>-9.9920072216264089E-16</v>
      </c>
      <c r="O395" s="75">
        <f t="shared" si="393"/>
        <v>0.27675304035559833</v>
      </c>
      <c r="P395" s="75">
        <f t="shared" si="394"/>
        <v>2.3379582702532826E-2</v>
      </c>
      <c r="AF395" s="176"/>
      <c r="AG395" s="176"/>
      <c r="AH395" s="176"/>
      <c r="AI395" s="176"/>
      <c r="AJ395" s="176"/>
      <c r="AK395" s="176"/>
      <c r="AL395" s="176"/>
      <c r="AM395" s="176"/>
      <c r="AN395" s="176"/>
      <c r="AR395" s="92"/>
      <c r="AS395" s="176"/>
      <c r="AT395" s="178"/>
      <c r="AU395" s="178"/>
      <c r="AV395" s="178"/>
      <c r="AW395" s="178"/>
      <c r="AX395" s="178"/>
      <c r="AY395" s="178"/>
      <c r="AZ395" s="176"/>
    </row>
    <row r="396" spans="1:52" s="165" customFormat="1">
      <c r="A396" s="19">
        <f t="shared" si="395"/>
        <v>2.3379582702532826E-2</v>
      </c>
      <c r="B396" s="26">
        <f t="shared" si="381"/>
        <v>0.99972671000513846</v>
      </c>
      <c r="C396" s="26">
        <f t="shared" si="382"/>
        <v>2.176820197631828</v>
      </c>
      <c r="D396" s="26">
        <f t="shared" si="383"/>
        <v>5.316810801437249E-3</v>
      </c>
      <c r="E396" s="26">
        <f t="shared" si="384"/>
        <v>2.3377452861714516E-2</v>
      </c>
      <c r="F396" s="77">
        <f t="shared" si="385"/>
        <v>0.9927865801539566</v>
      </c>
      <c r="G396" s="77">
        <f t="shared" si="386"/>
        <v>-5.7074944476652498E-2</v>
      </c>
      <c r="H396" s="75">
        <f t="shared" si="387"/>
        <v>2.6568152911055503E-2</v>
      </c>
      <c r="I396" s="75">
        <f t="shared" si="388"/>
        <v>-0.93001918678854167</v>
      </c>
      <c r="J396" s="77">
        <f t="shared" si="389"/>
        <v>-4.5692584113049356E-2</v>
      </c>
      <c r="K396" s="77">
        <f t="shared" si="390"/>
        <v>-1.9540236935642645</v>
      </c>
      <c r="L396" s="91">
        <f t="shared" si="391"/>
        <v>1.9545578546703239</v>
      </c>
      <c r="M396" s="93"/>
      <c r="N396" s="75">
        <f t="shared" si="392"/>
        <v>-9.9920072216264089E-16</v>
      </c>
      <c r="O396" s="75">
        <f t="shared" si="393"/>
        <v>0.27675304035559833</v>
      </c>
      <c r="P396" s="75">
        <f t="shared" si="394"/>
        <v>2.337958270253283E-2</v>
      </c>
      <c r="AF396" s="176"/>
      <c r="AG396" s="176"/>
      <c r="AH396" s="176"/>
      <c r="AI396" s="176"/>
      <c r="AJ396" s="176"/>
      <c r="AK396" s="176"/>
      <c r="AL396" s="176"/>
      <c r="AM396" s="176"/>
      <c r="AN396" s="176"/>
      <c r="AR396" s="92"/>
      <c r="AS396" s="176"/>
      <c r="AT396" s="178"/>
      <c r="AU396" s="178"/>
      <c r="AV396" s="178"/>
      <c r="AW396" s="178"/>
      <c r="AX396" s="178"/>
      <c r="AY396" s="178"/>
      <c r="AZ396" s="176"/>
    </row>
    <row r="397" spans="1:52" s="165" customFormat="1">
      <c r="A397" s="19">
        <f t="shared" si="395"/>
        <v>2.337958270253283E-2</v>
      </c>
      <c r="B397" s="26">
        <f t="shared" si="381"/>
        <v>0.99972671000513846</v>
      </c>
      <c r="C397" s="26">
        <f t="shared" si="382"/>
        <v>2.176820197631828</v>
      </c>
      <c r="D397" s="26">
        <f t="shared" si="383"/>
        <v>5.316810801437249E-3</v>
      </c>
      <c r="E397" s="26">
        <f t="shared" si="384"/>
        <v>2.3377452861714519E-2</v>
      </c>
      <c r="F397" s="77">
        <f t="shared" si="385"/>
        <v>0.99278658015395638</v>
      </c>
      <c r="G397" s="77">
        <f t="shared" si="386"/>
        <v>-5.7074944476654253E-2</v>
      </c>
      <c r="H397" s="75">
        <f t="shared" si="387"/>
        <v>2.6568152911055503E-2</v>
      </c>
      <c r="I397" s="75">
        <f t="shared" si="388"/>
        <v>-0.93001918678854167</v>
      </c>
      <c r="J397" s="77">
        <f t="shared" si="389"/>
        <v>-4.5692584113049356E-2</v>
      </c>
      <c r="K397" s="77">
        <f t="shared" si="390"/>
        <v>-1.9540236935642641</v>
      </c>
      <c r="L397" s="91">
        <f t="shared" si="391"/>
        <v>1.9545578546703235</v>
      </c>
      <c r="M397" s="93"/>
      <c r="N397" s="75">
        <f t="shared" si="392"/>
        <v>-9.9920072216264089E-16</v>
      </c>
      <c r="O397" s="75">
        <f t="shared" si="393"/>
        <v>0.27675304035559833</v>
      </c>
      <c r="P397" s="75">
        <f t="shared" si="394"/>
        <v>2.3379582702532833E-2</v>
      </c>
      <c r="AF397" s="176"/>
      <c r="AG397" s="176"/>
      <c r="AH397" s="176"/>
      <c r="AI397" s="176"/>
      <c r="AJ397" s="176"/>
      <c r="AK397" s="176"/>
      <c r="AL397" s="176"/>
      <c r="AM397" s="176"/>
      <c r="AN397" s="176"/>
      <c r="AR397" s="92"/>
      <c r="AS397" s="176"/>
      <c r="AT397" s="178"/>
      <c r="AU397" s="178"/>
      <c r="AV397" s="178"/>
      <c r="AW397" s="178"/>
      <c r="AX397" s="178"/>
      <c r="AY397" s="178"/>
      <c r="AZ397" s="176"/>
    </row>
    <row r="398" spans="1:52" s="165" customFormat="1">
      <c r="A398" s="88" t="s">
        <v>60</v>
      </c>
      <c r="B398" s="8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AF398" s="176"/>
      <c r="AG398" s="176"/>
      <c r="AH398" s="176"/>
      <c r="AI398" s="176"/>
      <c r="AJ398" s="176"/>
      <c r="AK398" s="176"/>
      <c r="AL398" s="176"/>
      <c r="AM398" s="176"/>
      <c r="AN398" s="176"/>
      <c r="AR398" s="92"/>
      <c r="AS398" s="176"/>
      <c r="AT398" s="178"/>
      <c r="AU398" s="178"/>
      <c r="AV398" s="178"/>
      <c r="AW398" s="178"/>
      <c r="AX398" s="178"/>
      <c r="AY398" s="178"/>
      <c r="AZ398" s="176"/>
    </row>
    <row r="399" spans="1:52" s="165" customFormat="1">
      <c r="A399" s="26" t="s">
        <v>11</v>
      </c>
      <c r="B399" s="26" t="s">
        <v>13</v>
      </c>
      <c r="C399" s="26" t="s">
        <v>22</v>
      </c>
      <c r="D399" s="26" t="s">
        <v>18</v>
      </c>
      <c r="E399" s="26" t="s">
        <v>19</v>
      </c>
      <c r="F399" s="26" t="s">
        <v>20</v>
      </c>
      <c r="G399" s="26" t="s">
        <v>2</v>
      </c>
      <c r="H399" s="26" t="s">
        <v>1</v>
      </c>
      <c r="I399" s="26" t="s">
        <v>0</v>
      </c>
      <c r="J399" s="76" t="s">
        <v>3</v>
      </c>
      <c r="K399" s="76" t="s">
        <v>4</v>
      </c>
      <c r="L399" s="44" t="s">
        <v>7</v>
      </c>
      <c r="M399" s="28"/>
      <c r="N399" s="28"/>
      <c r="O399" s="28"/>
      <c r="P399" s="31"/>
      <c r="AF399" s="176"/>
      <c r="AG399" s="176"/>
      <c r="AH399" s="176"/>
      <c r="AI399" s="176"/>
      <c r="AJ399" s="176"/>
      <c r="AK399" s="176"/>
      <c r="AL399" s="176"/>
      <c r="AM399" s="176"/>
      <c r="AN399" s="176"/>
      <c r="AR399" s="92"/>
      <c r="AS399" s="176"/>
      <c r="AT399" s="178"/>
      <c r="AU399" s="178"/>
      <c r="AV399" s="178"/>
      <c r="AW399" s="178"/>
      <c r="AX399" s="178"/>
      <c r="AY399" s="178"/>
      <c r="AZ399" s="176"/>
    </row>
    <row r="400" spans="1:52" s="165" customFormat="1">
      <c r="A400" s="19">
        <f>$E384</f>
        <v>2.4354917272581579E-2</v>
      </c>
      <c r="B400" s="26">
        <f t="shared" ref="B400:B405" si="396">COS(A400)</f>
        <v>0.99970343366208103</v>
      </c>
      <c r="C400" s="26">
        <f t="shared" ref="C400:C405" si="397">($C$384+B400)</f>
        <v>2.1767969212887706</v>
      </c>
      <c r="D400" s="26">
        <f t="shared" ref="D400:D405" si="398">POWER(TAN(A400/2),$C$384)</f>
        <v>5.5788731341537834E-3</v>
      </c>
      <c r="E400" s="26">
        <f t="shared" ref="E400:E405" si="399">SIN(A400)</f>
        <v>2.4352509608768405E-2</v>
      </c>
      <c r="F400" s="77">
        <f t="shared" ref="F400:F405" si="400">(C400*$H$384*D400/E400/$I$384/$J$384)</f>
        <v>0.99999999999999989</v>
      </c>
      <c r="G400" s="77">
        <f t="shared" ref="G400:G405" si="401">$D$384*($C$384+$G$384)/9.81/SIN($C$381)/(1-$C$384*$C$381)*(F400-1)</f>
        <v>-8.7844488244973777E-16</v>
      </c>
      <c r="H400" s="130">
        <f t="shared" ref="H400:H405" si="402">-(-$H$381+$K$384*((POWER(TAN(A400/2),2*$C$384-1)/(2*$C$384-1))+(POWER(TAN(A400/2),2*$C$384+1)/(2*$C$384+1))-(POWER(TAN($E$384/2),2*$C$384-1)/(2*$C$384-1))-(POWER(TAN($E$384/2),2*$C$384+1)/(2*$C$384+1))))</f>
        <v>3.3013333642520674E-2</v>
      </c>
      <c r="I400" s="130">
        <f t="shared" ref="I400:I405" si="403">-(-$I$381+0.5*$K$384*((POWER(TAN(A400/2),2*$C$384-2)/(2*$C$384-2))-(POWER(TAN(A400/2),2*$C$384+2)/(2*$C$384+2))-(POWER(TAN($E$384/2),2*$C$384-2)/(2*$C$384-2))+(POWER(TAN($E$384/2),2*$C$384+2)/(2*$C$384+2))))</f>
        <v>-0.66000334397619964</v>
      </c>
      <c r="J400" s="77">
        <f t="shared" ref="J400:J405" si="404">-$D$384*SIN(A400)*($C$384+$G$384)/($C$384+B400)*F400</f>
        <v>-4.7944743467163521E-2</v>
      </c>
      <c r="K400" s="77">
        <f t="shared" ref="K400:K405" si="405">-$D$384*COS(A400)*($C$384+$G$384)/($C$384+B400)*F400</f>
        <v>-1.9681965202022982</v>
      </c>
      <c r="L400" s="91">
        <f t="shared" ref="L400:L405" si="406">SQRT(J400*J400+K400*K400)</f>
        <v>1.968780394193971</v>
      </c>
      <c r="M400" s="28"/>
      <c r="N400" s="28"/>
      <c r="O400" s="28"/>
      <c r="P400" s="31"/>
      <c r="AF400" s="176"/>
      <c r="AG400" s="176"/>
      <c r="AH400" s="176"/>
      <c r="AI400" s="176"/>
      <c r="AJ400" s="176"/>
      <c r="AK400" s="176"/>
      <c r="AL400" s="176"/>
      <c r="AM400" s="176"/>
      <c r="AN400" s="176"/>
      <c r="AR400" s="92"/>
      <c r="AS400" s="176"/>
      <c r="AT400" s="178"/>
      <c r="AU400" s="178"/>
      <c r="AV400" s="178"/>
      <c r="AW400" s="178"/>
      <c r="AX400" s="178"/>
      <c r="AY400" s="178"/>
      <c r="AZ400" s="176"/>
    </row>
    <row r="401" spans="1:52" s="165" customFormat="1">
      <c r="A401" s="20">
        <f>A400-$F$384</f>
        <v>2.4179850358571828E-2</v>
      </c>
      <c r="B401" s="26">
        <f t="shared" si="396"/>
        <v>0.99970768166109736</v>
      </c>
      <c r="C401" s="26">
        <f t="shared" si="397"/>
        <v>2.1768011692877867</v>
      </c>
      <c r="D401" s="26">
        <f t="shared" si="398"/>
        <v>5.5316950557204262E-3</v>
      </c>
      <c r="E401" s="26">
        <f t="shared" si="399"/>
        <v>2.4177494241423198E-2</v>
      </c>
      <c r="F401" s="77">
        <f t="shared" si="400"/>
        <v>0.99872294529480365</v>
      </c>
      <c r="G401" s="77">
        <f t="shared" si="401"/>
        <v>-1.0104475817071509E-2</v>
      </c>
      <c r="H401" s="130">
        <f t="shared" si="402"/>
        <v>3.1849598659959587E-2</v>
      </c>
      <c r="I401" s="130">
        <f t="shared" si="403"/>
        <v>-0.70794875889665021</v>
      </c>
      <c r="J401" s="77">
        <f t="shared" si="404"/>
        <v>-4.7539295841205968E-2</v>
      </c>
      <c r="K401" s="77">
        <f t="shared" si="405"/>
        <v>-1.9656875422510909</v>
      </c>
      <c r="L401" s="91">
        <f t="shared" si="406"/>
        <v>1.9662623167853805</v>
      </c>
      <c r="M401" s="28"/>
      <c r="N401" s="28"/>
      <c r="O401" s="28"/>
      <c r="P401" s="31"/>
      <c r="AF401" s="176"/>
      <c r="AG401" s="176"/>
      <c r="AH401" s="176"/>
      <c r="AI401" s="176"/>
      <c r="AJ401" s="176"/>
      <c r="AK401" s="176"/>
      <c r="AL401" s="176"/>
      <c r="AM401" s="176"/>
      <c r="AN401" s="176"/>
      <c r="AR401" s="92"/>
      <c r="AS401" s="176"/>
      <c r="AT401" s="178"/>
      <c r="AU401" s="178"/>
      <c r="AV401" s="178"/>
      <c r="AW401" s="178"/>
      <c r="AX401" s="178"/>
      <c r="AY401" s="178"/>
      <c r="AZ401" s="176"/>
    </row>
    <row r="402" spans="1:52" s="165" customFormat="1">
      <c r="A402" s="20">
        <f>A401-$F$384</f>
        <v>2.4004783444562076E-2</v>
      </c>
      <c r="B402" s="26">
        <f t="shared" si="396"/>
        <v>0.9997118990206485</v>
      </c>
      <c r="C402" s="26">
        <f t="shared" si="397"/>
        <v>2.176805386647338</v>
      </c>
      <c r="D402" s="26">
        <f t="shared" si="398"/>
        <v>5.4845775359768176E-3</v>
      </c>
      <c r="E402" s="26">
        <f t="shared" si="399"/>
        <v>2.4002478133075891E-2</v>
      </c>
      <c r="F402" s="77">
        <f t="shared" si="400"/>
        <v>0.9974382637762077</v>
      </c>
      <c r="G402" s="77">
        <f t="shared" si="401"/>
        <v>-2.0269297484045989E-2</v>
      </c>
      <c r="H402" s="130">
        <f t="shared" si="402"/>
        <v>3.0688849342890349E-2</v>
      </c>
      <c r="I402" s="130">
        <f t="shared" si="403"/>
        <v>-0.75611880524229069</v>
      </c>
      <c r="J402" s="77">
        <f t="shared" si="404"/>
        <v>-4.7134368655626778E-2</v>
      </c>
      <c r="K402" s="77">
        <f t="shared" si="405"/>
        <v>-1.963163509059616</v>
      </c>
      <c r="L402" s="91">
        <f t="shared" si="406"/>
        <v>1.9637292613830017</v>
      </c>
      <c r="M402" s="45"/>
      <c r="N402" s="28"/>
      <c r="O402" s="28"/>
      <c r="P402" s="31"/>
      <c r="AF402" s="176"/>
      <c r="AG402" s="176"/>
      <c r="AH402" s="176"/>
      <c r="AI402" s="176"/>
      <c r="AJ402" s="176"/>
      <c r="AK402" s="176"/>
      <c r="AL402" s="176"/>
      <c r="AM402" s="176"/>
      <c r="AN402" s="176"/>
      <c r="AR402" s="92"/>
      <c r="AS402" s="176"/>
      <c r="AT402" s="178"/>
      <c r="AU402" s="178"/>
      <c r="AV402" s="178"/>
      <c r="AW402" s="178"/>
      <c r="AX402" s="178"/>
      <c r="AY402" s="178"/>
      <c r="AZ402" s="176"/>
    </row>
    <row r="403" spans="1:52" s="165" customFormat="1">
      <c r="A403" s="20">
        <f>A402-$F$384</f>
        <v>2.3829716530552325E-2</v>
      </c>
      <c r="B403" s="26">
        <f t="shared" si="396"/>
        <v>0.99971608574060511</v>
      </c>
      <c r="C403" s="26">
        <f t="shared" si="397"/>
        <v>2.1768095733672945</v>
      </c>
      <c r="D403" s="26">
        <f t="shared" si="398"/>
        <v>5.4375209364650812E-3</v>
      </c>
      <c r="E403" s="26">
        <f t="shared" si="399"/>
        <v>2.3827461289090447E-2</v>
      </c>
      <c r="F403" s="77">
        <f t="shared" si="400"/>
        <v>0.99614585370290365</v>
      </c>
      <c r="G403" s="77">
        <f t="shared" si="401"/>
        <v>-3.0495270011536561E-2</v>
      </c>
      <c r="H403" s="130">
        <f t="shared" si="402"/>
        <v>2.9531099646710718E-2</v>
      </c>
      <c r="I403" s="130">
        <f t="shared" si="403"/>
        <v>-0.80451618644133804</v>
      </c>
      <c r="J403" s="77">
        <f t="shared" si="404"/>
        <v>-4.6729965017512941E-2</v>
      </c>
      <c r="K403" s="77">
        <f t="shared" si="405"/>
        <v>-1.960624220402909</v>
      </c>
      <c r="L403" s="91">
        <f t="shared" si="406"/>
        <v>1.961181027661917</v>
      </c>
      <c r="M403" s="45"/>
      <c r="N403" s="28"/>
      <c r="O403" s="28"/>
      <c r="P403" s="31"/>
      <c r="AF403" s="176"/>
      <c r="AG403" s="176"/>
      <c r="AH403" s="176"/>
      <c r="AI403" s="176"/>
      <c r="AJ403" s="176"/>
      <c r="AK403" s="176"/>
      <c r="AL403" s="176"/>
      <c r="AM403" s="176"/>
      <c r="AN403" s="176"/>
      <c r="AR403" s="92"/>
      <c r="AS403" s="176"/>
      <c r="AT403" s="178"/>
      <c r="AU403" s="178"/>
      <c r="AV403" s="178"/>
      <c r="AW403" s="178"/>
      <c r="AX403" s="178"/>
      <c r="AY403" s="178"/>
      <c r="AZ403" s="176"/>
    </row>
    <row r="404" spans="1:52" s="165" customFormat="1">
      <c r="A404" s="20">
        <f>A403-$F$384</f>
        <v>2.3654649616542574E-2</v>
      </c>
      <c r="B404" s="26">
        <f t="shared" si="396"/>
        <v>0.99972024182083896</v>
      </c>
      <c r="C404" s="26">
        <f t="shared" si="397"/>
        <v>2.1768137294475283</v>
      </c>
      <c r="D404" s="26">
        <f t="shared" si="398"/>
        <v>5.3905256235805277E-3</v>
      </c>
      <c r="E404" s="26">
        <f t="shared" si="399"/>
        <v>2.365244371483086E-2</v>
      </c>
      <c r="F404" s="77">
        <f t="shared" si="400"/>
        <v>0.99484561121721193</v>
      </c>
      <c r="G404" s="77">
        <f t="shared" si="401"/>
        <v>-4.0783215155578693E-2</v>
      </c>
      <c r="H404" s="130">
        <f t="shared" si="402"/>
        <v>2.8376363696221388E-2</v>
      </c>
      <c r="I404" s="130">
        <f t="shared" si="403"/>
        <v>-0.85314365859444252</v>
      </c>
      <c r="J404" s="77">
        <f t="shared" si="404"/>
        <v>-4.6326088075659744E-2</v>
      </c>
      <c r="K404" s="77">
        <f t="shared" si="405"/>
        <v>-1.9580694718902214</v>
      </c>
      <c r="L404" s="91">
        <f t="shared" si="406"/>
        <v>1.9586174111308325</v>
      </c>
      <c r="M404" s="45"/>
      <c r="N404" s="28"/>
      <c r="O404" s="28"/>
      <c r="P404" s="89"/>
      <c r="AF404" s="176"/>
      <c r="AG404" s="176"/>
      <c r="AH404" s="176"/>
      <c r="AI404" s="176"/>
      <c r="AJ404" s="176"/>
      <c r="AK404" s="176"/>
      <c r="AL404" s="176"/>
      <c r="AM404" s="176"/>
      <c r="AN404" s="176"/>
      <c r="AR404" s="92"/>
      <c r="AS404" s="176"/>
      <c r="AT404" s="178"/>
      <c r="AU404" s="178"/>
      <c r="AV404" s="178"/>
      <c r="AW404" s="178"/>
      <c r="AX404" s="178"/>
      <c r="AY404" s="178"/>
      <c r="AZ404" s="176"/>
    </row>
    <row r="405" spans="1:52" s="165" customFormat="1">
      <c r="A405" s="20">
        <f>A404-$F$384</f>
        <v>2.3479582702532822E-2</v>
      </c>
      <c r="B405" s="26">
        <f t="shared" si="396"/>
        <v>0.99972436726122271</v>
      </c>
      <c r="C405" s="26">
        <f t="shared" si="397"/>
        <v>2.1768178548879122</v>
      </c>
      <c r="D405" s="26">
        <f t="shared" si="398"/>
        <v>5.3435919686729604E-3</v>
      </c>
      <c r="E405" s="26">
        <f t="shared" si="399"/>
        <v>2.3477425415661141E-2</v>
      </c>
      <c r="F405" s="77">
        <f t="shared" si="400"/>
        <v>0.99353743028501695</v>
      </c>
      <c r="G405" s="77">
        <f t="shared" si="401"/>
        <v>-5.1133971892883781E-2</v>
      </c>
      <c r="H405" s="130">
        <f t="shared" si="402"/>
        <v>2.722465578893556E-2</v>
      </c>
      <c r="I405" s="130">
        <f t="shared" si="403"/>
        <v>-0.9020040318993896</v>
      </c>
      <c r="J405" s="77">
        <f t="shared" si="404"/>
        <v>-4.5922741021441234E-2</v>
      </c>
      <c r="K405" s="77">
        <f t="shared" si="405"/>
        <v>-1.9554990548467888</v>
      </c>
      <c r="L405" s="91">
        <f t="shared" si="406"/>
        <v>1.9560382030138386</v>
      </c>
      <c r="M405" s="45"/>
      <c r="N405" s="28"/>
      <c r="O405" s="28"/>
      <c r="P405" s="28"/>
      <c r="AF405" s="176"/>
      <c r="AG405" s="176"/>
      <c r="AH405" s="176"/>
      <c r="AI405" s="176"/>
      <c r="AJ405" s="176"/>
      <c r="AK405" s="176"/>
      <c r="AL405" s="176"/>
      <c r="AM405" s="176"/>
      <c r="AN405" s="176"/>
      <c r="AR405" s="92"/>
      <c r="AS405" s="176"/>
      <c r="AT405" s="178"/>
      <c r="AU405" s="178"/>
      <c r="AV405" s="178"/>
      <c r="AW405" s="178"/>
      <c r="AX405" s="178"/>
      <c r="AY405" s="178"/>
      <c r="AZ405" s="176"/>
    </row>
    <row r="406" spans="1:52" s="165" customFormat="1">
      <c r="A406" s="159"/>
      <c r="B406" s="159"/>
      <c r="C406" s="159"/>
      <c r="D406" s="159"/>
      <c r="E406" s="159"/>
      <c r="F406" s="159"/>
      <c r="G406" s="159"/>
      <c r="H406" s="159"/>
      <c r="I406" s="159"/>
      <c r="J406" s="159"/>
      <c r="K406" s="159"/>
      <c r="L406" s="159"/>
      <c r="M406" s="159"/>
      <c r="N406" s="159"/>
      <c r="O406" s="159"/>
      <c r="P406" s="159"/>
      <c r="AF406" s="176"/>
      <c r="AG406" s="176"/>
      <c r="AH406" s="176"/>
      <c r="AI406" s="176"/>
      <c r="AJ406" s="176"/>
      <c r="AK406" s="176"/>
      <c r="AL406" s="176"/>
      <c r="AM406" s="176"/>
      <c r="AN406" s="176"/>
      <c r="AR406" s="92"/>
      <c r="AS406" s="176"/>
      <c r="AT406" s="178"/>
      <c r="AU406" s="178"/>
      <c r="AV406" s="178"/>
      <c r="AW406" s="178"/>
      <c r="AX406" s="178"/>
      <c r="AY406" s="178"/>
      <c r="AZ406" s="176"/>
    </row>
    <row r="407" spans="1:52" s="165" customFormat="1">
      <c r="A407" s="88" t="s">
        <v>73</v>
      </c>
      <c r="B407" s="88"/>
      <c r="C407" s="23" t="str">
        <f>CONCATENATE("m",Stufengrün!AH41)</f>
        <v>m-7</v>
      </c>
      <c r="D407" s="23" t="s">
        <v>30</v>
      </c>
      <c r="E407" s="28"/>
      <c r="F407" s="28"/>
      <c r="G407" s="28"/>
      <c r="H407" s="36" t="s">
        <v>57</v>
      </c>
      <c r="I407" s="36" t="s">
        <v>51</v>
      </c>
      <c r="J407" s="36" t="s">
        <v>58</v>
      </c>
      <c r="K407" s="36" t="s">
        <v>59</v>
      </c>
      <c r="L407" s="28"/>
      <c r="M407" s="28"/>
      <c r="N407" s="28"/>
      <c r="O407" s="28"/>
      <c r="P407" s="28"/>
      <c r="AF407" s="176"/>
      <c r="AG407" s="176"/>
      <c r="AH407" s="176"/>
      <c r="AI407" s="176"/>
      <c r="AJ407" s="176"/>
      <c r="AK407" s="176"/>
      <c r="AL407" s="176"/>
      <c r="AM407" s="176"/>
      <c r="AN407" s="176"/>
      <c r="AR407" s="92"/>
      <c r="AS407" s="176"/>
      <c r="AT407" s="178"/>
      <c r="AU407" s="178"/>
      <c r="AV407" s="178"/>
      <c r="AW407" s="178"/>
      <c r="AX407" s="178"/>
      <c r="AY407" s="178"/>
      <c r="AZ407" s="176"/>
    </row>
    <row r="408" spans="1:52" s="165" customFormat="1">
      <c r="A408" s="88" t="s">
        <v>69</v>
      </c>
      <c r="B408" s="88"/>
      <c r="C408" s="36">
        <f>Stufengrün!AI41</f>
        <v>2.9955432767914274E-2</v>
      </c>
      <c r="D408" s="26">
        <f>Stufengrün!AK40</f>
        <v>-1.4616059968409472</v>
      </c>
      <c r="E408" s="28"/>
      <c r="F408" s="28"/>
      <c r="G408" s="28"/>
      <c r="H408" s="78">
        <f>H397</f>
        <v>2.6568152911055503E-2</v>
      </c>
      <c r="I408" s="78">
        <f>I397</f>
        <v>-0.93001918678854167</v>
      </c>
      <c r="J408" s="78">
        <f>J397</f>
        <v>-4.5692584113049356E-2</v>
      </c>
      <c r="K408" s="78">
        <f>K397</f>
        <v>-1.9540236935642641</v>
      </c>
      <c r="L408" s="28"/>
      <c r="M408" s="28"/>
      <c r="N408" s="28"/>
      <c r="O408" s="28"/>
      <c r="P408" s="28"/>
      <c r="AF408" s="176"/>
      <c r="AG408" s="176"/>
      <c r="AH408" s="176"/>
      <c r="AI408" s="176"/>
      <c r="AJ408" s="176"/>
      <c r="AK408" s="176"/>
      <c r="AL408" s="176"/>
      <c r="AM408" s="176"/>
      <c r="AN408" s="176"/>
      <c r="AR408" s="92"/>
      <c r="AS408" s="176"/>
      <c r="AT408" s="178"/>
      <c r="AU408" s="178"/>
      <c r="AV408" s="178"/>
      <c r="AW408" s="178"/>
      <c r="AX408" s="178"/>
      <c r="AY408" s="178"/>
      <c r="AZ408" s="176"/>
    </row>
    <row r="409" spans="1:52" s="165" customFormat="1">
      <c r="A409" s="95"/>
      <c r="B409" s="95"/>
      <c r="C409" s="28"/>
      <c r="D409" s="28"/>
      <c r="E409" s="28"/>
      <c r="F409" s="28"/>
      <c r="G409" s="28"/>
      <c r="H409" s="37" t="s">
        <v>8</v>
      </c>
      <c r="I409" s="37" t="s">
        <v>8</v>
      </c>
      <c r="J409" s="37" t="s">
        <v>9</v>
      </c>
      <c r="K409" s="37" t="s">
        <v>9</v>
      </c>
      <c r="L409" s="28"/>
      <c r="M409" s="28"/>
      <c r="N409" s="28"/>
      <c r="O409" s="28"/>
      <c r="P409" s="28"/>
      <c r="AF409" s="176"/>
      <c r="AG409" s="176"/>
      <c r="AH409" s="176"/>
      <c r="AI409" s="176"/>
      <c r="AJ409" s="176"/>
      <c r="AK409" s="176"/>
      <c r="AL409" s="176"/>
      <c r="AM409" s="176"/>
      <c r="AN409" s="176"/>
      <c r="AR409" s="92"/>
      <c r="AS409" s="176"/>
      <c r="AT409" s="178"/>
      <c r="AU409" s="178"/>
      <c r="AV409" s="178"/>
      <c r="AW409" s="178"/>
      <c r="AX409" s="178"/>
      <c r="AY409" s="178"/>
      <c r="AZ409" s="176"/>
    </row>
    <row r="410" spans="1:52" s="165" customFormat="1">
      <c r="A410" s="88" t="s">
        <v>68</v>
      </c>
      <c r="B410" s="88"/>
      <c r="C410" s="115" t="s">
        <v>15</v>
      </c>
      <c r="D410" s="115" t="s">
        <v>55</v>
      </c>
      <c r="E410" s="115" t="s">
        <v>12</v>
      </c>
      <c r="F410" s="115" t="s">
        <v>10</v>
      </c>
      <c r="G410" s="115" t="s">
        <v>14</v>
      </c>
      <c r="H410" s="115" t="s">
        <v>21</v>
      </c>
      <c r="I410" s="115" t="s">
        <v>16</v>
      </c>
      <c r="J410" s="115" t="s">
        <v>17</v>
      </c>
      <c r="K410" s="115" t="s">
        <v>23</v>
      </c>
      <c r="L410" s="28"/>
      <c r="M410" s="28"/>
      <c r="N410" s="28"/>
      <c r="O410" s="28"/>
      <c r="P410" s="28"/>
      <c r="AF410" s="176"/>
      <c r="AG410" s="176"/>
      <c r="AH410" s="176"/>
      <c r="AI410" s="176"/>
      <c r="AJ410" s="176"/>
      <c r="AK410" s="176"/>
      <c r="AL410" s="176"/>
      <c r="AM410" s="176"/>
      <c r="AN410" s="176"/>
      <c r="AR410" s="92"/>
      <c r="AS410" s="176"/>
      <c r="AT410" s="178"/>
      <c r="AU410" s="178"/>
      <c r="AV410" s="178"/>
      <c r="AW410" s="178"/>
      <c r="AX410" s="178"/>
      <c r="AY410" s="178"/>
      <c r="AZ410" s="176"/>
    </row>
    <row r="411" spans="1:52" s="165" customFormat="1">
      <c r="A411" s="28"/>
      <c r="B411" s="28"/>
      <c r="C411" s="23">
        <f>Mü/TAN($C408)</f>
        <v>2.3361058288598184</v>
      </c>
      <c r="D411" s="42">
        <f>SQRT($J408*$J408+$K408*$K408)</f>
        <v>1.9545578546703235</v>
      </c>
      <c r="E411" s="20">
        <f>ATAN($J408/$K408)</f>
        <v>2.3379582702532833E-2</v>
      </c>
      <c r="F411" s="23">
        <f>($E411-A424-0.0001)/5</f>
        <v>1.7816293266888688E-4</v>
      </c>
      <c r="G411" s="23">
        <f>COS($E411)</f>
        <v>0.99972671000513846</v>
      </c>
      <c r="H411" s="23">
        <f>SIN($E411)</f>
        <v>2.3377452861714523E-2</v>
      </c>
      <c r="I411" s="23">
        <f>$C411+$G411</f>
        <v>3.335832538864957</v>
      </c>
      <c r="J411" s="23">
        <f>POWER(TAN($E411/2),$C411)</f>
        <v>3.0636441790434188E-5</v>
      </c>
      <c r="K411" s="23">
        <f>-$D411*$D411*SIN($E411)*SIN($E411)/(2*9.81*SIN($C408)*POWER(TAN($E411/2),2*$C411))</f>
        <v>-3785342.1803392037</v>
      </c>
      <c r="L411" s="28"/>
      <c r="M411" s="28"/>
      <c r="N411" s="28"/>
      <c r="O411" s="28"/>
      <c r="P411" s="28"/>
      <c r="AF411" s="176"/>
      <c r="AG411" s="176"/>
      <c r="AH411" s="176"/>
      <c r="AI411" s="176"/>
      <c r="AJ411" s="176"/>
      <c r="AK411" s="176"/>
      <c r="AL411" s="176"/>
      <c r="AM411" s="176"/>
      <c r="AN411" s="176"/>
      <c r="AR411" s="92"/>
      <c r="AS411" s="176"/>
      <c r="AT411" s="178"/>
      <c r="AU411" s="178"/>
      <c r="AV411" s="178"/>
      <c r="AW411" s="178"/>
      <c r="AX411" s="178"/>
      <c r="AY411" s="178"/>
      <c r="AZ411" s="176"/>
    </row>
    <row r="412" spans="1:52" s="165" customFormat="1">
      <c r="A412" s="88" t="s">
        <v>70</v>
      </c>
      <c r="B412" s="8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45"/>
      <c r="N412" s="28"/>
      <c r="O412" s="28"/>
      <c r="P412" s="28"/>
      <c r="AF412" s="176"/>
      <c r="AG412" s="176"/>
      <c r="AH412" s="176"/>
      <c r="AI412" s="176"/>
      <c r="AJ412" s="176"/>
      <c r="AK412" s="176"/>
      <c r="AL412" s="176"/>
      <c r="AM412" s="176"/>
      <c r="AN412" s="176"/>
      <c r="AR412" s="92"/>
      <c r="AS412" s="176"/>
      <c r="AT412" s="178"/>
      <c r="AU412" s="178"/>
      <c r="AV412" s="178"/>
      <c r="AW412" s="178"/>
      <c r="AX412" s="178"/>
      <c r="AY412" s="178"/>
      <c r="AZ412" s="176"/>
    </row>
    <row r="413" spans="1:52" s="165" customFormat="1">
      <c r="A413" s="115" t="s">
        <v>11</v>
      </c>
      <c r="B413" s="115" t="s">
        <v>13</v>
      </c>
      <c r="C413" s="117" t="s">
        <v>22</v>
      </c>
      <c r="D413" s="117" t="s">
        <v>18</v>
      </c>
      <c r="E413" s="115" t="s">
        <v>19</v>
      </c>
      <c r="F413" s="117" t="s">
        <v>20</v>
      </c>
      <c r="G413" s="117" t="s">
        <v>2</v>
      </c>
      <c r="H413" s="117" t="s">
        <v>65</v>
      </c>
      <c r="I413" s="117" t="s">
        <v>66</v>
      </c>
      <c r="J413" s="118" t="s">
        <v>3</v>
      </c>
      <c r="K413" s="118" t="s">
        <v>4</v>
      </c>
      <c r="L413" s="116" t="s">
        <v>7</v>
      </c>
      <c r="M413" s="93"/>
      <c r="N413" s="117" t="s">
        <v>61</v>
      </c>
      <c r="O413" s="117" t="s">
        <v>62</v>
      </c>
      <c r="P413" s="115" t="s">
        <v>63</v>
      </c>
      <c r="AF413" s="176"/>
      <c r="AG413" s="176"/>
      <c r="AH413" s="176"/>
      <c r="AI413" s="176"/>
      <c r="AJ413" s="176"/>
      <c r="AK413" s="176"/>
      <c r="AL413" s="176"/>
      <c r="AM413" s="176"/>
      <c r="AN413" s="176"/>
      <c r="AR413" s="92"/>
      <c r="AS413" s="176"/>
      <c r="AT413" s="178"/>
      <c r="AU413" s="178"/>
      <c r="AV413" s="178"/>
      <c r="AW413" s="178"/>
      <c r="AX413" s="178"/>
      <c r="AY413" s="178"/>
      <c r="AZ413" s="176"/>
    </row>
    <row r="414" spans="1:52" s="165" customFormat="1">
      <c r="A414" s="19">
        <f>$E411</f>
        <v>2.3379582702532833E-2</v>
      </c>
      <c r="B414" s="26">
        <f>COS(A414)</f>
        <v>0.99972671000513846</v>
      </c>
      <c r="C414" s="26">
        <f>($C$411+B414)</f>
        <v>3.335832538864957</v>
      </c>
      <c r="D414" s="26">
        <f>POWER(TAN(A414/2),$C$411)</f>
        <v>3.0636441790434188E-5</v>
      </c>
      <c r="E414" s="26">
        <f>SIN(A414)</f>
        <v>2.3377452861714523E-2</v>
      </c>
      <c r="F414" s="77">
        <f>(C414*$H$411*D414/E414/$I$411/$J$411)</f>
        <v>1</v>
      </c>
      <c r="G414" s="77">
        <f>$D$411*($C$411+$G$411)/9.81/SIN($C$408)/(1-$C$411*$C$408)*(F414-1)</f>
        <v>0</v>
      </c>
      <c r="H414" s="75">
        <f>-(-$H$408+$K$411*((POWER(TAN(A414/2),2*$C$411-1)/(2*$C$411-1))+(POWER(TAN(A414/2),2*$C$411+1)/(2*$C$411+1))-(POWER(TAN($E$411/2),2*$C$411-1)/(2*$C$411-1))-(POWER(TAN($E$411/2),2*$C$411+1)/(2*$C$411+1))))</f>
        <v>2.656815291105551E-2</v>
      </c>
      <c r="I414" s="75">
        <f>-(-$I$408+0.5*$K$411*((POWER(TAN(A414/2),2*$C$411-2)/(2*$C$411-2))-(POWER(TAN(A414/2),2*$C$411+2)/(2*$C$411+2))-(POWER(TAN($E$411/2),2*$C$411-2)/(2*$C$411-2))+(POWER(TAN($E$411/2),2*$C$411+2)/(2*$C$411+2))))</f>
        <v>-0.93001918678854201</v>
      </c>
      <c r="J414" s="77">
        <f>-$D$411*SIN(A414)*($C$411+$G$411)/($C$411+B414)*F414</f>
        <v>-4.5692584113049349E-2</v>
      </c>
      <c r="K414" s="77">
        <f>-$D$411*COS(A414)*($C$411+$G$411)/($C$411+B414)*F414</f>
        <v>-1.9540236935642641</v>
      </c>
      <c r="L414" s="91">
        <f>SQRT(J414*J414+K414*K414)</f>
        <v>1.9545578546703235</v>
      </c>
      <c r="M414" s="93"/>
      <c r="N414" s="75">
        <f>-(-$I$408+0.5*$K$411*((POWER(TAN(A414/2),2*$C$411-2)/(2*$C$411-2))-(POWER(TAN(A414/2),2*$C$411+2)/(2*$C$411+2))-(POWER(TAN($E$411/2),2*$C$411-2)/(2*$C$411-2))+(POWER(TAN($E$411/2),2*$C$411+2)/(2*$C$411+2))))-$D$408</f>
        <v>0.53158681005240516</v>
      </c>
      <c r="O414" s="75">
        <f>-(-$I$408+0.5*$K$411*((POWER(TAN((A414+$M$9)/2),2*$C$411-2)/(2*$C$411-2))-(POWER(TAN((A414+$M$9)/2),2*$C$411+2)/(2*$C$411+2))-(POWER(TAN($E$411/2),2*$C$411-2)/(2*$C$411-2))+(POWER(TAN($E$411/2),2*$C$411+2)/(2*$C$411+2))))-$D$408</f>
        <v>1.1077013381722742</v>
      </c>
      <c r="P414" s="75">
        <f>A414-N414/(O414-N414)*$M$9</f>
        <v>2.2456872400837751E-2</v>
      </c>
      <c r="AF414" s="176"/>
      <c r="AG414" s="176"/>
      <c r="AH414" s="176"/>
      <c r="AI414" s="176"/>
      <c r="AJ414" s="176"/>
      <c r="AK414" s="176"/>
      <c r="AL414" s="176"/>
      <c r="AM414" s="176"/>
      <c r="AN414" s="176"/>
      <c r="AR414" s="92"/>
      <c r="AS414" s="176"/>
      <c r="AT414" s="178"/>
      <c r="AU414" s="178"/>
      <c r="AV414" s="178"/>
      <c r="AW414" s="178"/>
      <c r="AX414" s="178"/>
      <c r="AY414" s="178"/>
      <c r="AZ414" s="176"/>
    </row>
    <row r="415" spans="1:52" s="165" customFormat="1">
      <c r="A415" s="19">
        <f>P414</f>
        <v>2.2456872400837751E-2</v>
      </c>
      <c r="B415" s="26">
        <f t="shared" ref="B415:B424" si="407">COS(A415)</f>
        <v>0.99974785503787911</v>
      </c>
      <c r="C415" s="26">
        <f t="shared" ref="C415:C424" si="408">($C$411+B415)</f>
        <v>3.3358536838976978</v>
      </c>
      <c r="D415" s="26">
        <f t="shared" ref="D415:D424" si="409">POWER(TAN(A415/2),$C$411)</f>
        <v>2.7885737477825652E-5</v>
      </c>
      <c r="E415" s="26">
        <f t="shared" ref="E415:E424" si="410">SIN(A415)</f>
        <v>2.2454984906694616E-2</v>
      </c>
      <c r="F415" s="77">
        <f t="shared" ref="F415:F424" si="411">(C415*$H$411*D415/E415/$I$411/$J$411)</f>
        <v>0.94761294811085994</v>
      </c>
      <c r="G415" s="77">
        <f t="shared" ref="G415:G424" si="412">$D$411*($C$411+$G$411)/9.81/SIN($C$408)/(1-$C$411*$C$408)*(F415-1)</f>
        <v>-1.2499837010285493</v>
      </c>
      <c r="H415" s="75">
        <f t="shared" ref="H415:H424" si="413">-(-$H$408+$K$411*((POWER(TAN(A415/2),2*$C$411-1)/(2*$C$411-1))+(POWER(TAN(A415/2),2*$C$411+1)/(2*$C$411+1))-(POWER(TAN($E$411/2),2*$C$411-1)/(2*$C$411-1))-(POWER(TAN($E$411/2),2*$C$411+1)/(2*$C$411+1))))</f>
        <v>1.5189854336555083E-2</v>
      </c>
      <c r="I415" s="75">
        <f t="shared" ref="I415:I424" si="414">-(-$I$408+0.5*$K$411*((POWER(TAN(A415/2),2*$C$411-2)/(2*$C$411-2))-(POWER(TAN(A415/2),2*$C$411+2)/(2*$C$411+2))-(POWER(TAN($E$411/2),2*$C$411-2)/(2*$C$411-2))+(POWER(TAN($E$411/2),2*$C$411+2)/(2*$C$411+2))))</f>
        <v>-1.4262938277773813</v>
      </c>
      <c r="J415" s="77">
        <f t="shared" ref="J415:J424" si="415">-$D$411*SIN(A415)*($C$411+$G$411)/($C$411+B415)*F415</f>
        <v>-4.1590058466182717E-2</v>
      </c>
      <c r="K415" s="77">
        <f t="shared" ref="K415:K424" si="416">-$D$411*COS(A415)*($C$411+$G$411)/($C$411+B415)*F415</f>
        <v>-1.8516855796269014</v>
      </c>
      <c r="L415" s="91">
        <f t="shared" ref="L415:L424" si="417">SQRT(J415*J415+K415*K415)</f>
        <v>1.8521525905716931</v>
      </c>
      <c r="M415" s="93"/>
      <c r="N415" s="75">
        <f t="shared" ref="N415:N424" si="418">-(-$I$408+0.5*$K$411*((POWER(TAN(A415/2),2*$C$411-2)/(2*$C$411-2))-(POWER(TAN(A415/2),2*$C$411+2)/(2*$C$411+2))-(POWER(TAN($E$411/2),2*$C$411-2)/(2*$C$411-2))+(POWER(TAN($E$411/2),2*$C$411+2)/(2*$C$411+2))))-$D$408</f>
        <v>3.5312169063565824E-2</v>
      </c>
      <c r="O415" s="75">
        <f t="shared" ref="O415:O424" si="419">-(-$I$408+0.5*$K$411*((POWER(TAN((A415+$M$9)/2),2*$C$411-2)/(2*$C$411-2))-(POWER(TAN((A415+$M$9)/2),2*$C$411+2)/(2*$C$411+2))-(POWER(TAN($E$411/2),2*$C$411-2)/(2*$C$411-2))+(POWER(TAN($E$411/2),2*$C$411+2)/(2*$C$411+2))))-$D$408</f>
        <v>0.57468143184522491</v>
      </c>
      <c r="P415" s="75">
        <f t="shared" ref="P415:P424" si="420">A415-N415/(O415-N415)*$M$9</f>
        <v>2.2391403024845779E-2</v>
      </c>
      <c r="AF415" s="176"/>
      <c r="AG415" s="176"/>
      <c r="AH415" s="176"/>
      <c r="AI415" s="176"/>
      <c r="AJ415" s="176"/>
      <c r="AK415" s="176"/>
      <c r="AL415" s="176"/>
      <c r="AM415" s="176"/>
      <c r="AN415" s="176"/>
      <c r="AR415" s="92"/>
      <c r="AS415" s="176"/>
      <c r="AT415" s="178"/>
      <c r="AU415" s="178"/>
      <c r="AV415" s="178"/>
      <c r="AW415" s="178"/>
      <c r="AX415" s="178"/>
      <c r="AY415" s="178"/>
      <c r="AZ415" s="176"/>
    </row>
    <row r="416" spans="1:52" s="165" customFormat="1">
      <c r="A416" s="19">
        <f t="shared" ref="A416:A424" si="421">P415</f>
        <v>2.2391403024845779E-2</v>
      </c>
      <c r="B416" s="26">
        <f t="shared" si="407"/>
        <v>0.99974932300914854</v>
      </c>
      <c r="C416" s="26">
        <f t="shared" si="408"/>
        <v>3.3358551518689668</v>
      </c>
      <c r="D416" s="26">
        <f t="shared" si="409"/>
        <v>2.7696174522218892E-5</v>
      </c>
      <c r="E416" s="26">
        <f t="shared" si="410"/>
        <v>2.2389531990399014E-2</v>
      </c>
      <c r="F416" s="77">
        <f t="shared" si="411"/>
        <v>0.94392302935797245</v>
      </c>
      <c r="G416" s="77">
        <f t="shared" si="412"/>
        <v>-1.3380271799589813</v>
      </c>
      <c r="H416" s="75">
        <f t="shared" si="413"/>
        <v>1.4428442881712187E-2</v>
      </c>
      <c r="I416" s="75">
        <f t="shared" si="414"/>
        <v>-1.4602430895970802</v>
      </c>
      <c r="J416" s="77">
        <f t="shared" si="415"/>
        <v>-4.130733564370126E-2</v>
      </c>
      <c r="K416" s="77">
        <f t="shared" si="416"/>
        <v>-1.8444771808008678</v>
      </c>
      <c r="L416" s="91">
        <f t="shared" si="417"/>
        <v>1.8449396647243232</v>
      </c>
      <c r="M416" s="93"/>
      <c r="N416" s="75">
        <f t="shared" si="418"/>
        <v>1.3629072438670065E-3</v>
      </c>
      <c r="O416" s="75">
        <f t="shared" si="419"/>
        <v>0.53816209299277906</v>
      </c>
      <c r="P416" s="75">
        <f t="shared" si="420"/>
        <v>2.2388864073073774E-2</v>
      </c>
      <c r="AF416" s="176"/>
      <c r="AG416" s="176"/>
      <c r="AH416" s="176"/>
      <c r="AI416" s="176"/>
      <c r="AJ416" s="176"/>
      <c r="AK416" s="176"/>
      <c r="AL416" s="176"/>
      <c r="AM416" s="176"/>
      <c r="AN416" s="176"/>
      <c r="AR416" s="92"/>
      <c r="AS416" s="176"/>
      <c r="AT416" s="178"/>
      <c r="AU416" s="178"/>
      <c r="AV416" s="178"/>
      <c r="AW416" s="178"/>
      <c r="AX416" s="178"/>
      <c r="AY416" s="178"/>
      <c r="AZ416" s="176"/>
    </row>
    <row r="417" spans="1:52" s="165" customFormat="1">
      <c r="A417" s="19">
        <f t="shared" si="421"/>
        <v>2.2388864073073774E-2</v>
      </c>
      <c r="B417" s="26">
        <f t="shared" si="407"/>
        <v>0.99974937985186818</v>
      </c>
      <c r="C417" s="26">
        <f t="shared" si="408"/>
        <v>3.3358552087116866</v>
      </c>
      <c r="D417" s="26">
        <f t="shared" si="409"/>
        <v>2.7688838023798545E-5</v>
      </c>
      <c r="E417" s="26">
        <f t="shared" si="410"/>
        <v>2.2386993675011638E-2</v>
      </c>
      <c r="F417" s="77">
        <f t="shared" si="411"/>
        <v>0.94378000459992173</v>
      </c>
      <c r="G417" s="77">
        <f t="shared" si="412"/>
        <v>-1.3414398288857674</v>
      </c>
      <c r="H417" s="75">
        <f t="shared" si="413"/>
        <v>1.4399034351490404E-2</v>
      </c>
      <c r="I417" s="75">
        <f t="shared" si="414"/>
        <v>-1.4615563294488219</v>
      </c>
      <c r="J417" s="77">
        <f t="shared" si="415"/>
        <v>-4.129639365593845E-2</v>
      </c>
      <c r="K417" s="77">
        <f t="shared" si="416"/>
        <v>-1.8441977760384405</v>
      </c>
      <c r="L417" s="91">
        <f t="shared" si="417"/>
        <v>1.8446600850222015</v>
      </c>
      <c r="M417" s="93"/>
      <c r="N417" s="75">
        <f t="shared" si="418"/>
        <v>4.9667392125307686E-5</v>
      </c>
      <c r="O417" s="75">
        <f t="shared" si="419"/>
        <v>0.53674928315209502</v>
      </c>
      <c r="P417" s="75">
        <f t="shared" si="420"/>
        <v>2.2388771530819845E-2</v>
      </c>
      <c r="AF417" s="176"/>
      <c r="AG417" s="176"/>
      <c r="AH417" s="176"/>
      <c r="AI417" s="176"/>
      <c r="AJ417" s="176"/>
      <c r="AK417" s="176"/>
      <c r="AL417" s="176"/>
      <c r="AM417" s="176"/>
      <c r="AN417" s="176"/>
      <c r="AR417" s="92"/>
      <c r="AS417" s="176"/>
      <c r="AT417" s="178"/>
      <c r="AU417" s="178"/>
      <c r="AV417" s="178"/>
      <c r="AW417" s="178"/>
      <c r="AX417" s="178"/>
      <c r="AY417" s="178"/>
      <c r="AZ417" s="176"/>
    </row>
    <row r="418" spans="1:52" s="165" customFormat="1">
      <c r="A418" s="19">
        <f t="shared" si="421"/>
        <v>2.2388771530819845E-2</v>
      </c>
      <c r="B418" s="26">
        <f t="shared" si="407"/>
        <v>0.99974938192360674</v>
      </c>
      <c r="C418" s="26">
        <f t="shared" si="408"/>
        <v>3.335855210783425</v>
      </c>
      <c r="D418" s="26">
        <f t="shared" si="409"/>
        <v>2.7688570636766582E-5</v>
      </c>
      <c r="E418" s="26">
        <f t="shared" si="410"/>
        <v>2.2386901155950566E-2</v>
      </c>
      <c r="F418" s="77">
        <f t="shared" si="411"/>
        <v>0.94377479159359812</v>
      </c>
      <c r="G418" s="77">
        <f t="shared" si="412"/>
        <v>-1.3415642140668931</v>
      </c>
      <c r="H418" s="75">
        <f t="shared" si="413"/>
        <v>1.4397962608326983E-2</v>
      </c>
      <c r="I418" s="75">
        <f t="shared" si="414"/>
        <v>-1.4616041910238882</v>
      </c>
      <c r="J418" s="77">
        <f t="shared" si="415"/>
        <v>-4.1295994862745294E-2</v>
      </c>
      <c r="K418" s="77">
        <f t="shared" si="416"/>
        <v>-1.8441875922151059</v>
      </c>
      <c r="L418" s="91">
        <f t="shared" si="417"/>
        <v>1.8446498948233656</v>
      </c>
      <c r="M418" s="93"/>
      <c r="N418" s="75">
        <f t="shared" si="418"/>
        <v>1.8058170589974054E-6</v>
      </c>
      <c r="O418" s="75">
        <f t="shared" si="419"/>
        <v>0.53669779249089711</v>
      </c>
      <c r="P418" s="75">
        <f t="shared" si="420"/>
        <v>2.2388768166127164E-2</v>
      </c>
      <c r="AF418" s="176"/>
      <c r="AG418" s="176"/>
      <c r="AH418" s="176"/>
      <c r="AI418" s="176"/>
      <c r="AJ418" s="176"/>
      <c r="AK418" s="176"/>
      <c r="AL418" s="176"/>
      <c r="AM418" s="176"/>
      <c r="AN418" s="176"/>
      <c r="AR418" s="92"/>
      <c r="AS418" s="176"/>
      <c r="AT418" s="178"/>
      <c r="AU418" s="178"/>
      <c r="AV418" s="178"/>
      <c r="AW418" s="178"/>
      <c r="AX418" s="178"/>
      <c r="AY418" s="178"/>
      <c r="AZ418" s="176"/>
    </row>
    <row r="419" spans="1:52" s="165" customFormat="1">
      <c r="A419" s="19">
        <f t="shared" si="421"/>
        <v>2.2388768166127164E-2</v>
      </c>
      <c r="B419" s="26">
        <f t="shared" si="407"/>
        <v>0.99974938199893182</v>
      </c>
      <c r="C419" s="26">
        <f t="shared" si="408"/>
        <v>3.3358552108587505</v>
      </c>
      <c r="D419" s="26">
        <f t="shared" si="409"/>
        <v>2.7688560915017094E-5</v>
      </c>
      <c r="E419" s="26">
        <f t="shared" si="410"/>
        <v>2.2386897792101138E-2</v>
      </c>
      <c r="F419" s="77">
        <f t="shared" si="411"/>
        <v>0.94377460205691999</v>
      </c>
      <c r="G419" s="77">
        <f t="shared" si="412"/>
        <v>-1.3415687365156637</v>
      </c>
      <c r="H419" s="75">
        <f t="shared" si="413"/>
        <v>1.4397923641632535E-2</v>
      </c>
      <c r="I419" s="75">
        <f t="shared" si="414"/>
        <v>-1.4616059311902152</v>
      </c>
      <c r="J419" s="77">
        <f t="shared" si="415"/>
        <v>-4.1295980363285509E-2</v>
      </c>
      <c r="K419" s="77">
        <f t="shared" si="416"/>
        <v>-1.8441872219473698</v>
      </c>
      <c r="L419" s="91">
        <f t="shared" si="417"/>
        <v>1.8446495243238272</v>
      </c>
      <c r="M419" s="93"/>
      <c r="N419" s="75">
        <f t="shared" si="418"/>
        <v>6.5650731961852671E-8</v>
      </c>
      <c r="O419" s="75">
        <f t="shared" si="419"/>
        <v>0.53669592037682123</v>
      </c>
      <c r="P419" s="75">
        <f t="shared" si="420"/>
        <v>2.2388768043803259E-2</v>
      </c>
      <c r="AF419" s="176"/>
      <c r="AG419" s="176"/>
      <c r="AH419" s="176"/>
      <c r="AI419" s="176"/>
      <c r="AJ419" s="176"/>
      <c r="AK419" s="176"/>
      <c r="AL419" s="176"/>
      <c r="AM419" s="176"/>
      <c r="AN419" s="176"/>
      <c r="AR419" s="92"/>
      <c r="AS419" s="176"/>
      <c r="AT419" s="178"/>
      <c r="AU419" s="178"/>
      <c r="AV419" s="178"/>
      <c r="AW419" s="178"/>
      <c r="AX419" s="178"/>
      <c r="AY419" s="178"/>
      <c r="AZ419" s="176"/>
    </row>
    <row r="420" spans="1:52" s="165" customFormat="1">
      <c r="A420" s="19">
        <f t="shared" si="421"/>
        <v>2.2388768043803259E-2</v>
      </c>
      <c r="B420" s="26">
        <f t="shared" si="407"/>
        <v>0.99974938200167018</v>
      </c>
      <c r="C420" s="26">
        <f t="shared" si="408"/>
        <v>3.3358552108614887</v>
      </c>
      <c r="D420" s="26">
        <f t="shared" si="409"/>
        <v>2.7688560561581426E-5</v>
      </c>
      <c r="E420" s="26">
        <f t="shared" si="410"/>
        <v>2.2386897669807889E-2</v>
      </c>
      <c r="F420" s="77">
        <f t="shared" si="411"/>
        <v>0.94377459516628381</v>
      </c>
      <c r="G420" s="77">
        <f t="shared" si="412"/>
        <v>-1.3415689009300102</v>
      </c>
      <c r="H420" s="75">
        <f t="shared" si="413"/>
        <v>1.4397922224992823E-2</v>
      </c>
      <c r="I420" s="75">
        <f t="shared" si="414"/>
        <v>-1.4616059944542166</v>
      </c>
      <c r="J420" s="77">
        <f t="shared" si="415"/>
        <v>-4.1295979836155447E-2</v>
      </c>
      <c r="K420" s="77">
        <f t="shared" si="416"/>
        <v>-1.8441872084862274</v>
      </c>
      <c r="L420" s="91">
        <f t="shared" si="417"/>
        <v>1.8446495108542575</v>
      </c>
      <c r="M420" s="93"/>
      <c r="N420" s="75">
        <f t="shared" si="418"/>
        <v>2.3867305909419656E-9</v>
      </c>
      <c r="O420" s="75">
        <f t="shared" si="419"/>
        <v>0.53669585231584327</v>
      </c>
      <c r="P420" s="75">
        <f t="shared" si="420"/>
        <v>2.2388768039356178E-2</v>
      </c>
      <c r="AF420" s="176"/>
      <c r="AG420" s="176"/>
      <c r="AH420" s="176"/>
      <c r="AI420" s="176"/>
      <c r="AJ420" s="176"/>
      <c r="AK420" s="176"/>
      <c r="AL420" s="176"/>
      <c r="AM420" s="176"/>
      <c r="AN420" s="176"/>
      <c r="AR420" s="92"/>
      <c r="AS420" s="176"/>
      <c r="AT420" s="178"/>
      <c r="AU420" s="178"/>
      <c r="AV420" s="178"/>
      <c r="AW420" s="178"/>
      <c r="AX420" s="178"/>
      <c r="AY420" s="178"/>
      <c r="AZ420" s="176"/>
    </row>
    <row r="421" spans="1:52" s="165" customFormat="1">
      <c r="A421" s="19">
        <f t="shared" si="421"/>
        <v>2.2388768039356178E-2</v>
      </c>
      <c r="B421" s="26">
        <f t="shared" si="407"/>
        <v>0.99974938200176977</v>
      </c>
      <c r="C421" s="26">
        <f t="shared" si="408"/>
        <v>3.3358552108615882</v>
      </c>
      <c r="D421" s="26">
        <f t="shared" si="409"/>
        <v>2.7688560548732302E-5</v>
      </c>
      <c r="E421" s="26">
        <f t="shared" si="410"/>
        <v>2.2386897665361921E-2</v>
      </c>
      <c r="F421" s="77">
        <f t="shared" si="411"/>
        <v>0.94377459491577564</v>
      </c>
      <c r="G421" s="77">
        <f t="shared" si="412"/>
        <v>-1.3415689069072723</v>
      </c>
      <c r="H421" s="75">
        <f t="shared" si="413"/>
        <v>1.4397922173490738E-2</v>
      </c>
      <c r="I421" s="75">
        <f t="shared" si="414"/>
        <v>-1.4616059967541739</v>
      </c>
      <c r="J421" s="77">
        <f t="shared" si="415"/>
        <v>-4.1295979816991672E-2</v>
      </c>
      <c r="K421" s="77">
        <f t="shared" si="416"/>
        <v>-1.8441872079968495</v>
      </c>
      <c r="L421" s="91">
        <f t="shared" si="417"/>
        <v>1.8446495103645735</v>
      </c>
      <c r="M421" s="93"/>
      <c r="N421" s="75">
        <f t="shared" si="418"/>
        <v>8.6773255247862835E-11</v>
      </c>
      <c r="O421" s="75">
        <f t="shared" si="419"/>
        <v>0.53669584984148855</v>
      </c>
      <c r="P421" s="75">
        <f t="shared" si="420"/>
        <v>2.2388768039194498E-2</v>
      </c>
      <c r="AF421" s="176"/>
      <c r="AG421" s="176"/>
      <c r="AH421" s="176"/>
      <c r="AI421" s="176"/>
      <c r="AJ421" s="176"/>
      <c r="AK421" s="176"/>
      <c r="AL421" s="176"/>
      <c r="AM421" s="176"/>
      <c r="AN421" s="176"/>
      <c r="AR421" s="92"/>
      <c r="AS421" s="176"/>
      <c r="AT421" s="178"/>
      <c r="AU421" s="178"/>
      <c r="AV421" s="178"/>
      <c r="AW421" s="178"/>
      <c r="AX421" s="178"/>
      <c r="AY421" s="178"/>
      <c r="AZ421" s="176"/>
    </row>
    <row r="422" spans="1:52" s="165" customFormat="1">
      <c r="A422" s="19">
        <f t="shared" si="421"/>
        <v>2.2388768039194498E-2</v>
      </c>
      <c r="B422" s="26">
        <f t="shared" si="407"/>
        <v>0.99974938200177343</v>
      </c>
      <c r="C422" s="26">
        <f t="shared" si="408"/>
        <v>3.3358552108615918</v>
      </c>
      <c r="D422" s="26">
        <f t="shared" si="409"/>
        <v>2.7688560548265194E-5</v>
      </c>
      <c r="E422" s="26">
        <f t="shared" si="410"/>
        <v>2.2386897665200283E-2</v>
      </c>
      <c r="F422" s="77">
        <f t="shared" si="411"/>
        <v>0.94377459490666937</v>
      </c>
      <c r="G422" s="77">
        <f t="shared" si="412"/>
        <v>-1.3415689071245527</v>
      </c>
      <c r="H422" s="75">
        <f t="shared" si="413"/>
        <v>1.4397922171618565E-2</v>
      </c>
      <c r="I422" s="75">
        <f t="shared" si="414"/>
        <v>-1.4616059968377904</v>
      </c>
      <c r="J422" s="77">
        <f t="shared" si="415"/>
        <v>-4.1295979816295007E-2</v>
      </c>
      <c r="K422" s="77">
        <f t="shared" si="416"/>
        <v>-1.8441872079790602</v>
      </c>
      <c r="L422" s="91">
        <f t="shared" si="417"/>
        <v>1.844649510346773</v>
      </c>
      <c r="M422" s="93"/>
      <c r="N422" s="75">
        <f t="shared" si="418"/>
        <v>3.1568081482191701E-12</v>
      </c>
      <c r="O422" s="75">
        <f t="shared" si="419"/>
        <v>0.53669584975152906</v>
      </c>
      <c r="P422" s="75">
        <f t="shared" si="420"/>
        <v>2.2388768039188617E-2</v>
      </c>
      <c r="AF422" s="176"/>
      <c r="AG422" s="176"/>
      <c r="AH422" s="176"/>
      <c r="AI422" s="176"/>
      <c r="AJ422" s="176"/>
      <c r="AK422" s="176"/>
      <c r="AL422" s="176"/>
      <c r="AM422" s="176"/>
      <c r="AN422" s="176"/>
      <c r="AR422" s="92"/>
      <c r="AS422" s="176"/>
      <c r="AT422" s="178"/>
      <c r="AU422" s="178"/>
      <c r="AV422" s="178"/>
      <c r="AW422" s="178"/>
      <c r="AX422" s="178"/>
      <c r="AY422" s="178"/>
      <c r="AZ422" s="176"/>
    </row>
    <row r="423" spans="1:52" s="165" customFormat="1">
      <c r="A423" s="19">
        <f t="shared" si="421"/>
        <v>2.2388768039188617E-2</v>
      </c>
      <c r="B423" s="26">
        <f t="shared" si="407"/>
        <v>0.99974938200177355</v>
      </c>
      <c r="C423" s="26">
        <f t="shared" si="408"/>
        <v>3.3358552108615918</v>
      </c>
      <c r="D423" s="26">
        <f t="shared" si="409"/>
        <v>2.7688560548248176E-5</v>
      </c>
      <c r="E423" s="26">
        <f t="shared" si="410"/>
        <v>2.2386897665194402E-2</v>
      </c>
      <c r="F423" s="77">
        <f t="shared" si="411"/>
        <v>0.94377459490633731</v>
      </c>
      <c r="G423" s="77">
        <f t="shared" si="412"/>
        <v>-1.3415689071324761</v>
      </c>
      <c r="H423" s="75">
        <f t="shared" si="413"/>
        <v>1.4397922171550344E-2</v>
      </c>
      <c r="I423" s="75">
        <f t="shared" si="414"/>
        <v>-1.4616059968408299</v>
      </c>
      <c r="J423" s="77">
        <f t="shared" si="415"/>
        <v>-4.1295979816269632E-2</v>
      </c>
      <c r="K423" s="77">
        <f t="shared" si="416"/>
        <v>-1.8441872079784114</v>
      </c>
      <c r="L423" s="91">
        <f t="shared" si="417"/>
        <v>1.8446495103461238</v>
      </c>
      <c r="M423" s="93"/>
      <c r="N423" s="75">
        <f t="shared" si="418"/>
        <v>1.1723955140041653E-13</v>
      </c>
      <c r="O423" s="75">
        <f t="shared" si="419"/>
        <v>0.53669584974825946</v>
      </c>
      <c r="P423" s="75">
        <f t="shared" si="420"/>
        <v>2.2388768039188399E-2</v>
      </c>
      <c r="AF423" s="176"/>
      <c r="AG423" s="176"/>
      <c r="AH423" s="176"/>
      <c r="AI423" s="176"/>
      <c r="AJ423" s="176"/>
      <c r="AK423" s="176"/>
      <c r="AL423" s="176"/>
      <c r="AM423" s="176"/>
      <c r="AN423" s="176"/>
      <c r="AR423" s="92"/>
      <c r="AS423" s="176"/>
      <c r="AT423" s="178"/>
      <c r="AU423" s="178"/>
      <c r="AV423" s="178"/>
      <c r="AW423" s="178"/>
      <c r="AX423" s="178"/>
      <c r="AY423" s="178"/>
      <c r="AZ423" s="176"/>
    </row>
    <row r="424" spans="1:52" s="165" customFormat="1">
      <c r="A424" s="19">
        <f t="shared" si="421"/>
        <v>2.2388768039188399E-2</v>
      </c>
      <c r="B424" s="26">
        <f t="shared" si="407"/>
        <v>0.99974938200177355</v>
      </c>
      <c r="C424" s="26">
        <f t="shared" si="408"/>
        <v>3.3358552108615918</v>
      </c>
      <c r="D424" s="26">
        <f t="shared" si="409"/>
        <v>2.7688560548247535E-5</v>
      </c>
      <c r="E424" s="26">
        <f t="shared" si="410"/>
        <v>2.2386897665194184E-2</v>
      </c>
      <c r="F424" s="77">
        <f t="shared" si="411"/>
        <v>0.94377459490632465</v>
      </c>
      <c r="G424" s="77">
        <f t="shared" si="412"/>
        <v>-1.3415689071327781</v>
      </c>
      <c r="H424" s="75">
        <f t="shared" si="413"/>
        <v>1.4397922171547827E-2</v>
      </c>
      <c r="I424" s="75">
        <f t="shared" si="414"/>
        <v>-1.4616059968409463</v>
      </c>
      <c r="J424" s="77">
        <f t="shared" si="415"/>
        <v>-4.1295979816268674E-2</v>
      </c>
      <c r="K424" s="77">
        <f t="shared" si="416"/>
        <v>-1.8441872079783868</v>
      </c>
      <c r="L424" s="91">
        <f t="shared" si="417"/>
        <v>1.8446495103460991</v>
      </c>
      <c r="M424" s="93"/>
      <c r="N424" s="75">
        <f t="shared" si="418"/>
        <v>0</v>
      </c>
      <c r="O424" s="75">
        <f t="shared" si="419"/>
        <v>0.53669584974813767</v>
      </c>
      <c r="P424" s="75">
        <f t="shared" si="420"/>
        <v>2.2388768039188399E-2</v>
      </c>
      <c r="AF424" s="176"/>
      <c r="AG424" s="176"/>
      <c r="AH424" s="176"/>
      <c r="AI424" s="176"/>
      <c r="AJ424" s="176"/>
      <c r="AK424" s="176"/>
      <c r="AL424" s="176"/>
      <c r="AM424" s="176"/>
      <c r="AN424" s="176"/>
      <c r="AR424" s="92"/>
      <c r="AS424" s="176"/>
      <c r="AT424" s="178"/>
      <c r="AU424" s="178"/>
      <c r="AV424" s="178"/>
      <c r="AW424" s="178"/>
      <c r="AX424" s="178"/>
      <c r="AY424" s="178"/>
      <c r="AZ424" s="176"/>
    </row>
    <row r="425" spans="1:52" s="165" customFormat="1">
      <c r="A425" s="88" t="s">
        <v>60</v>
      </c>
      <c r="B425" s="8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AF425" s="176"/>
      <c r="AG425" s="176"/>
      <c r="AH425" s="176"/>
      <c r="AI425" s="176"/>
      <c r="AJ425" s="176"/>
      <c r="AK425" s="176"/>
      <c r="AL425" s="176"/>
      <c r="AM425" s="176"/>
      <c r="AN425" s="176"/>
      <c r="AR425" s="92"/>
      <c r="AS425" s="176"/>
      <c r="AT425" s="178"/>
      <c r="AU425" s="178"/>
      <c r="AV425" s="178"/>
      <c r="AW425" s="178"/>
      <c r="AX425" s="178"/>
      <c r="AY425" s="178"/>
      <c r="AZ425" s="176"/>
    </row>
    <row r="426" spans="1:52" s="165" customFormat="1">
      <c r="A426" s="26" t="s">
        <v>11</v>
      </c>
      <c r="B426" s="26" t="s">
        <v>13</v>
      </c>
      <c r="C426" s="26" t="s">
        <v>22</v>
      </c>
      <c r="D426" s="26" t="s">
        <v>18</v>
      </c>
      <c r="E426" s="26" t="s">
        <v>19</v>
      </c>
      <c r="F426" s="26" t="s">
        <v>20</v>
      </c>
      <c r="G426" s="26" t="s">
        <v>2</v>
      </c>
      <c r="H426" s="26" t="s">
        <v>1</v>
      </c>
      <c r="I426" s="26" t="s">
        <v>0</v>
      </c>
      <c r="J426" s="76" t="s">
        <v>3</v>
      </c>
      <c r="K426" s="76" t="s">
        <v>4</v>
      </c>
      <c r="L426" s="44" t="s">
        <v>7</v>
      </c>
      <c r="M426" s="28"/>
      <c r="N426" s="28"/>
      <c r="O426" s="28"/>
      <c r="P426" s="31"/>
      <c r="AF426" s="176"/>
      <c r="AG426" s="176"/>
      <c r="AH426" s="176"/>
      <c r="AI426" s="176"/>
      <c r="AJ426" s="176"/>
      <c r="AK426" s="176"/>
      <c r="AL426" s="176"/>
      <c r="AM426" s="176"/>
      <c r="AN426" s="176"/>
      <c r="AR426" s="92"/>
      <c r="AS426" s="176"/>
      <c r="AT426" s="178"/>
      <c r="AU426" s="178"/>
      <c r="AV426" s="178"/>
      <c r="AW426" s="178"/>
      <c r="AX426" s="178"/>
      <c r="AY426" s="178"/>
      <c r="AZ426" s="176"/>
    </row>
    <row r="427" spans="1:52" s="165" customFormat="1">
      <c r="A427" s="19">
        <f>$E411</f>
        <v>2.3379582702532833E-2</v>
      </c>
      <c r="B427" s="26">
        <f t="shared" ref="B427:B432" si="422">COS(A427)</f>
        <v>0.99972671000513846</v>
      </c>
      <c r="C427" s="26">
        <f t="shared" ref="C427:C432" si="423">($C$411+B427)</f>
        <v>3.335832538864957</v>
      </c>
      <c r="D427" s="26">
        <f t="shared" ref="D427:D432" si="424">POWER(TAN(A427/2),$C$411)</f>
        <v>3.0636441790434188E-5</v>
      </c>
      <c r="E427" s="26">
        <f t="shared" ref="E427:E432" si="425">SIN(A427)</f>
        <v>2.3377452861714523E-2</v>
      </c>
      <c r="F427" s="77">
        <f t="shared" ref="F427:F432" si="426">(C427*$H$411*D427/E427/$I$411/$J$411)</f>
        <v>1</v>
      </c>
      <c r="G427" s="77">
        <f t="shared" ref="G427:G432" si="427">$D$411*($C$411+$G$411)/9.81/SIN($C$408)/(1-$C$411*$C$408)*(F427-1)</f>
        <v>0</v>
      </c>
      <c r="H427" s="100">
        <f t="shared" ref="H427:H432" si="428">-(-$H$408+$K$411*((POWER(TAN(A427/2),2*$C$411-1)/(2*$C$411-1))+(POWER(TAN(A427/2),2*$C$411+1)/(2*$C$411+1))-(POWER(TAN($E$411/2),2*$C$411-1)/(2*$C$411-1))-(POWER(TAN($E$411/2),2*$C$411+1)/(2*$C$411+1))))</f>
        <v>2.656815291105551E-2</v>
      </c>
      <c r="I427" s="100">
        <f t="shared" ref="I427:I432" si="429">-(-$I$408+0.5*$K$411*((POWER(TAN(A427/2),2*$C$411-2)/(2*$C$411-2))-(POWER(TAN(A427/2),2*$C$411+2)/(2*$C$411+2))-(POWER(TAN($E$411/2),2*$C$411-2)/(2*$C$411-2))+(POWER(TAN($E$411/2),2*$C$411+2)/(2*$C$411+2))))</f>
        <v>-0.93001918678854201</v>
      </c>
      <c r="J427" s="77">
        <f t="shared" ref="J427:J432" si="430">-$D$411*SIN(A427)*($C$411+$G$411)/($C$411+B427)*F427</f>
        <v>-4.5692584113049349E-2</v>
      </c>
      <c r="K427" s="77">
        <f t="shared" ref="K427:K432" si="431">-$D$411*COS(A427)*($C$411+$G$411)/($C$411+B427)*F427</f>
        <v>-1.9540236935642641</v>
      </c>
      <c r="L427" s="91">
        <f t="shared" ref="L427:L432" si="432">SQRT(J427*J427+K427*K427)</f>
        <v>1.9545578546703235</v>
      </c>
      <c r="M427" s="28"/>
      <c r="N427" s="28"/>
      <c r="O427" s="28"/>
      <c r="P427" s="31"/>
      <c r="AF427" s="176"/>
      <c r="AG427" s="176"/>
      <c r="AH427" s="176"/>
      <c r="AI427" s="176"/>
      <c r="AJ427" s="176"/>
      <c r="AK427" s="176"/>
      <c r="AL427" s="176"/>
      <c r="AM427" s="176"/>
      <c r="AN427" s="176"/>
      <c r="AR427" s="92"/>
      <c r="AS427" s="176"/>
      <c r="AT427" s="178"/>
      <c r="AU427" s="178"/>
      <c r="AV427" s="178"/>
      <c r="AW427" s="178"/>
      <c r="AX427" s="178"/>
      <c r="AY427" s="178"/>
      <c r="AZ427" s="176"/>
    </row>
    <row r="428" spans="1:52" s="165" customFormat="1">
      <c r="A428" s="20">
        <f>A427-$F$411</f>
        <v>2.3201419769863948E-2</v>
      </c>
      <c r="B428" s="26">
        <f t="shared" si="422"/>
        <v>0.99973085913399884</v>
      </c>
      <c r="C428" s="26">
        <f t="shared" si="423"/>
        <v>3.3358366879938171</v>
      </c>
      <c r="D428" s="26">
        <f t="shared" si="424"/>
        <v>3.0093771973060629E-5</v>
      </c>
      <c r="E428" s="26">
        <f t="shared" si="425"/>
        <v>2.3199338249110964E-2</v>
      </c>
      <c r="F428" s="77">
        <f t="shared" si="426"/>
        <v>0.98982959670699322</v>
      </c>
      <c r="G428" s="77">
        <f t="shared" si="427"/>
        <v>-0.24267138330379989</v>
      </c>
      <c r="H428" s="100">
        <f t="shared" si="428"/>
        <v>2.4275132722761286E-2</v>
      </c>
      <c r="I428" s="100">
        <f t="shared" si="429"/>
        <v>-1.0284536010495808</v>
      </c>
      <c r="J428" s="77">
        <f t="shared" si="430"/>
        <v>-4.488322164055436E-2</v>
      </c>
      <c r="K428" s="77">
        <f t="shared" si="431"/>
        <v>-1.9341561060748202</v>
      </c>
      <c r="L428" s="91">
        <f t="shared" si="432"/>
        <v>1.9346768066659987</v>
      </c>
      <c r="M428" s="28"/>
      <c r="N428" s="28"/>
      <c r="O428" s="28"/>
      <c r="P428" s="31"/>
      <c r="AF428" s="176"/>
      <c r="AG428" s="176"/>
      <c r="AH428" s="176"/>
      <c r="AI428" s="176"/>
      <c r="AJ428" s="176"/>
      <c r="AK428" s="176"/>
      <c r="AL428" s="176"/>
      <c r="AM428" s="176"/>
      <c r="AN428" s="176"/>
      <c r="AR428" s="92"/>
      <c r="AS428" s="176"/>
      <c r="AT428" s="178"/>
      <c r="AU428" s="178"/>
      <c r="AV428" s="178"/>
      <c r="AW428" s="178"/>
      <c r="AX428" s="178"/>
      <c r="AY428" s="178"/>
      <c r="AZ428" s="176"/>
    </row>
    <row r="429" spans="1:52" s="165" customFormat="1">
      <c r="A429" s="20">
        <f>A428-$F$411</f>
        <v>2.3023256837195062E-2</v>
      </c>
      <c r="B429" s="26">
        <f t="shared" si="422"/>
        <v>0.99973497652937171</v>
      </c>
      <c r="C429" s="26">
        <f t="shared" si="423"/>
        <v>3.3358408053891901</v>
      </c>
      <c r="D429" s="26">
        <f t="shared" si="424"/>
        <v>2.9556643058217322E-5</v>
      </c>
      <c r="E429" s="26">
        <f t="shared" si="425"/>
        <v>2.3021222900113304E-2</v>
      </c>
      <c r="F429" s="77">
        <f t="shared" si="426"/>
        <v>0.97968545332316537</v>
      </c>
      <c r="G429" s="77">
        <f t="shared" si="427"/>
        <v>-0.48471619081681827</v>
      </c>
      <c r="H429" s="100">
        <f t="shared" si="428"/>
        <v>2.2028698708647688E-2</v>
      </c>
      <c r="I429" s="100">
        <f t="shared" si="429"/>
        <v>-1.1256317988982827</v>
      </c>
      <c r="J429" s="77">
        <f t="shared" si="430"/>
        <v>-4.4082123122361178E-2</v>
      </c>
      <c r="K429" s="77">
        <f t="shared" si="431"/>
        <v>-1.9143396732795515</v>
      </c>
      <c r="L429" s="91">
        <f t="shared" si="432"/>
        <v>1.9148471527176876</v>
      </c>
      <c r="M429" s="45"/>
      <c r="N429" s="28"/>
      <c r="O429" s="28"/>
      <c r="P429" s="31"/>
      <c r="AF429" s="176"/>
      <c r="AG429" s="176"/>
      <c r="AH429" s="176"/>
      <c r="AI429" s="176"/>
      <c r="AJ429" s="176"/>
      <c r="AK429" s="176"/>
      <c r="AL429" s="176"/>
      <c r="AM429" s="176"/>
      <c r="AN429" s="176"/>
      <c r="AR429" s="92"/>
      <c r="AS429" s="176"/>
      <c r="AT429" s="178"/>
      <c r="AU429" s="178"/>
      <c r="AV429" s="178"/>
      <c r="AW429" s="178"/>
      <c r="AX429" s="178"/>
      <c r="AY429" s="178"/>
      <c r="AZ429" s="176"/>
    </row>
    <row r="430" spans="1:52" s="165" customFormat="1">
      <c r="A430" s="20">
        <f>A429-$F$411</f>
        <v>2.2845093904526177E-2</v>
      </c>
      <c r="B430" s="26">
        <f t="shared" si="422"/>
        <v>0.9997390621911264</v>
      </c>
      <c r="C430" s="26">
        <f t="shared" si="423"/>
        <v>3.3358448910509448</v>
      </c>
      <c r="D430" s="26">
        <f t="shared" si="424"/>
        <v>2.9025040667373387E-5</v>
      </c>
      <c r="E430" s="26">
        <f t="shared" si="425"/>
        <v>2.2843106820375284E-2</v>
      </c>
      <c r="F430" s="77">
        <f t="shared" si="426"/>
        <v>0.96956770378878254</v>
      </c>
      <c r="G430" s="77">
        <f t="shared" si="427"/>
        <v>-0.72613122665107332</v>
      </c>
      <c r="H430" s="100">
        <f t="shared" si="428"/>
        <v>1.982825373290972E-2</v>
      </c>
      <c r="I430" s="100">
        <f t="shared" si="429"/>
        <v>-1.2215602817938127</v>
      </c>
      <c r="J430" s="77">
        <f t="shared" si="430"/>
        <v>-4.3289267113674194E-2</v>
      </c>
      <c r="K430" s="77">
        <f t="shared" si="431"/>
        <v>-1.8945746586696044</v>
      </c>
      <c r="L430" s="91">
        <f t="shared" si="432"/>
        <v>1.895069153862277</v>
      </c>
      <c r="M430" s="45"/>
      <c r="N430" s="28"/>
      <c r="O430" s="28"/>
      <c r="P430" s="31"/>
      <c r="AF430" s="176"/>
      <c r="AG430" s="176"/>
      <c r="AH430" s="176"/>
      <c r="AI430" s="176"/>
      <c r="AJ430" s="176"/>
      <c r="AK430" s="176"/>
      <c r="AL430" s="176"/>
      <c r="AM430" s="176"/>
      <c r="AN430" s="176"/>
      <c r="AR430" s="92"/>
      <c r="AS430" s="176"/>
      <c r="AT430" s="178"/>
      <c r="AU430" s="178"/>
      <c r="AV430" s="178"/>
      <c r="AW430" s="178"/>
      <c r="AX430" s="178"/>
      <c r="AY430" s="178"/>
      <c r="AZ430" s="176"/>
    </row>
    <row r="431" spans="1:52" s="165" customFormat="1">
      <c r="A431" s="20">
        <f>A430-$F$411</f>
        <v>2.2666930971857291E-2</v>
      </c>
      <c r="B431" s="26">
        <f t="shared" si="422"/>
        <v>0.99974311611913336</v>
      </c>
      <c r="C431" s="26">
        <f t="shared" si="423"/>
        <v>3.3358489449789519</v>
      </c>
      <c r="D431" s="26">
        <f t="shared" si="424"/>
        <v>2.8498950348678164E-5</v>
      </c>
      <c r="E431" s="26">
        <f t="shared" si="425"/>
        <v>2.2664990015550671E-2</v>
      </c>
      <c r="F431" s="77">
        <f t="shared" si="426"/>
        <v>0.95947648378821104</v>
      </c>
      <c r="G431" s="77">
        <f t="shared" si="427"/>
        <v>-0.96691325330339883</v>
      </c>
      <c r="H431" s="100">
        <f t="shared" si="428"/>
        <v>1.7673203771427469E-2</v>
      </c>
      <c r="I431" s="100">
        <f t="shared" si="429"/>
        <v>-1.3162455675265385</v>
      </c>
      <c r="J431" s="77">
        <f t="shared" si="430"/>
        <v>-4.2504632060345382E-2</v>
      </c>
      <c r="K431" s="77">
        <f t="shared" si="431"/>
        <v>-1.874861329140298</v>
      </c>
      <c r="L431" s="91">
        <f t="shared" si="432"/>
        <v>1.8753430745472439</v>
      </c>
      <c r="M431" s="45"/>
      <c r="N431" s="28"/>
      <c r="O431" s="28"/>
      <c r="P431" s="89"/>
      <c r="AF431" s="176"/>
      <c r="AG431" s="176"/>
      <c r="AH431" s="176"/>
      <c r="AI431" s="176"/>
      <c r="AJ431" s="176"/>
      <c r="AK431" s="176"/>
      <c r="AL431" s="176"/>
      <c r="AM431" s="176"/>
      <c r="AN431" s="176"/>
      <c r="AR431" s="92"/>
      <c r="AS431" s="176"/>
      <c r="AT431" s="178"/>
      <c r="AU431" s="178"/>
      <c r="AV431" s="178"/>
      <c r="AW431" s="178"/>
      <c r="AX431" s="178"/>
      <c r="AY431" s="178"/>
      <c r="AZ431" s="176"/>
    </row>
    <row r="432" spans="1:52" s="165" customFormat="1">
      <c r="A432" s="20">
        <f>A431-$F$411</f>
        <v>2.2488768039188405E-2</v>
      </c>
      <c r="B432" s="26">
        <f t="shared" si="422"/>
        <v>0.99974713831326389</v>
      </c>
      <c r="C432" s="26">
        <f t="shared" si="423"/>
        <v>3.3358529671730821</v>
      </c>
      <c r="D432" s="26">
        <f t="shared" si="424"/>
        <v>2.7978357575998947E-5</v>
      </c>
      <c r="E432" s="26">
        <f t="shared" si="425"/>
        <v>2.2486872491293254E-2</v>
      </c>
      <c r="F432" s="77">
        <f t="shared" si="426"/>
        <v>0.94941193078634578</v>
      </c>
      <c r="G432" s="77">
        <f t="shared" si="427"/>
        <v>-1.2070589907862426</v>
      </c>
      <c r="H432" s="100">
        <f t="shared" si="428"/>
        <v>1.556295791941702E-2</v>
      </c>
      <c r="I432" s="100">
        <f t="shared" si="429"/>
        <v>-1.4096941903896929</v>
      </c>
      <c r="J432" s="77">
        <f t="shared" si="430"/>
        <v>-4.1728196297439075E-2</v>
      </c>
      <c r="K432" s="77">
        <f t="shared" si="431"/>
        <v>-1.8551999550622971</v>
      </c>
      <c r="L432" s="91">
        <f t="shared" si="432"/>
        <v>1.8556691827018594</v>
      </c>
      <c r="M432" s="45"/>
      <c r="N432" s="28"/>
      <c r="O432" s="28"/>
      <c r="P432" s="28"/>
      <c r="W432" s="152"/>
      <c r="X432" s="152"/>
      <c r="Y432" s="152"/>
      <c r="Z432" s="152"/>
      <c r="AA432" s="152"/>
      <c r="AB432" s="152"/>
      <c r="AC432" s="152"/>
      <c r="AD432" s="152"/>
      <c r="AE432" s="152"/>
      <c r="AF432" s="176"/>
      <c r="AG432" s="176"/>
      <c r="AH432" s="176"/>
      <c r="AI432" s="176"/>
      <c r="AJ432" s="176"/>
      <c r="AK432" s="176"/>
      <c r="AL432" s="176"/>
      <c r="AM432" s="176"/>
      <c r="AN432" s="176"/>
      <c r="AO432" s="152"/>
      <c r="AP432" s="152"/>
      <c r="AQ432" s="152"/>
      <c r="AR432" s="28"/>
      <c r="AS432" s="176"/>
      <c r="AT432" s="178"/>
      <c r="AU432" s="178"/>
      <c r="AV432" s="178"/>
      <c r="AW432" s="178"/>
      <c r="AX432" s="178"/>
      <c r="AY432" s="178"/>
      <c r="AZ432" s="176"/>
    </row>
    <row r="433" spans="1:60">
      <c r="A433" s="159"/>
      <c r="B433" s="159"/>
      <c r="C433" s="159"/>
      <c r="D433" s="159"/>
      <c r="E433" s="159"/>
      <c r="F433" s="159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65"/>
      <c r="R433" s="165"/>
      <c r="AI433" s="176"/>
      <c r="AJ433" s="179"/>
      <c r="AK433" s="179"/>
      <c r="AL433" s="179"/>
      <c r="AM433" s="179"/>
      <c r="AN433" s="179"/>
      <c r="AO433" s="179"/>
      <c r="AP433" s="176"/>
      <c r="AQ433" s="176"/>
      <c r="AT433" s="178"/>
      <c r="AU433" s="178"/>
      <c r="AV433" s="178"/>
      <c r="AW433" s="178"/>
      <c r="AX433" s="178"/>
      <c r="AY433" s="178"/>
      <c r="AZ433" s="176"/>
      <c r="BA433" s="176"/>
      <c r="BB433" s="176"/>
      <c r="BC433" s="176"/>
      <c r="BD433" s="176"/>
      <c r="BE433" s="176"/>
      <c r="BF433" s="176"/>
      <c r="BG433" s="176"/>
      <c r="BH433" s="176"/>
    </row>
    <row r="434" spans="1:60">
      <c r="A434" s="88" t="s">
        <v>73</v>
      </c>
      <c r="B434" s="88"/>
      <c r="C434" s="23" t="str">
        <f>CONCATENATE("m",Stufengrün!AH40)</f>
        <v>m-8</v>
      </c>
      <c r="D434" s="23" t="s">
        <v>30</v>
      </c>
      <c r="E434" s="28"/>
      <c r="F434" s="28"/>
      <c r="G434" s="28"/>
      <c r="H434" s="36" t="s">
        <v>57</v>
      </c>
      <c r="I434" s="36" t="s">
        <v>51</v>
      </c>
      <c r="J434" s="36" t="s">
        <v>58</v>
      </c>
      <c r="K434" s="36" t="s">
        <v>59</v>
      </c>
      <c r="L434" s="28"/>
      <c r="M434" s="28"/>
      <c r="N434" s="28"/>
      <c r="O434" s="28"/>
      <c r="P434" s="28"/>
      <c r="AI434" s="176"/>
      <c r="AJ434" s="179"/>
      <c r="AK434" s="179"/>
      <c r="AL434" s="179"/>
      <c r="AM434" s="179"/>
      <c r="AN434" s="179"/>
      <c r="AO434" s="179"/>
      <c r="AP434" s="176"/>
      <c r="AQ434" s="176"/>
      <c r="AU434" s="178"/>
      <c r="AV434" s="178"/>
      <c r="AW434" s="178"/>
      <c r="BA434" s="176"/>
      <c r="BB434" s="176"/>
      <c r="BC434" s="176"/>
      <c r="BD434" s="176"/>
      <c r="BE434" s="176"/>
      <c r="BF434" s="176"/>
      <c r="BG434" s="176"/>
      <c r="BH434" s="176"/>
    </row>
    <row r="435" spans="1:60">
      <c r="A435" s="88" t="s">
        <v>69</v>
      </c>
      <c r="B435" s="88"/>
      <c r="C435" s="90">
        <f>Stufengrün!AI40</f>
        <v>1.0323563876231049E-2</v>
      </c>
      <c r="D435" s="26"/>
      <c r="E435" s="28"/>
      <c r="F435" s="28"/>
      <c r="G435" s="28"/>
      <c r="H435" s="78">
        <f>H424</f>
        <v>1.4397922171547827E-2</v>
      </c>
      <c r="I435" s="78">
        <f>I424</f>
        <v>-1.4616059968409463</v>
      </c>
      <c r="J435" s="78">
        <f>J424</f>
        <v>-4.1295979816268674E-2</v>
      </c>
      <c r="K435" s="78">
        <f>K424</f>
        <v>-1.8441872079783868</v>
      </c>
      <c r="L435" s="28"/>
      <c r="M435" s="28"/>
      <c r="N435" s="28"/>
      <c r="O435" s="28"/>
      <c r="P435" s="28"/>
      <c r="AI435" s="176"/>
      <c r="AJ435" s="179"/>
      <c r="AK435" s="179"/>
      <c r="AL435" s="179"/>
      <c r="AM435" s="179"/>
      <c r="AN435" s="179"/>
      <c r="AO435" s="179"/>
      <c r="AP435" s="176"/>
      <c r="AQ435" s="176"/>
      <c r="BA435" s="176"/>
      <c r="BB435" s="15"/>
      <c r="BC435" s="15"/>
      <c r="BD435" s="15"/>
      <c r="BE435" s="15"/>
      <c r="BF435" s="15"/>
      <c r="BG435" s="15"/>
      <c r="BH435" s="176"/>
    </row>
    <row r="436" spans="1:60">
      <c r="A436" s="95"/>
      <c r="B436" s="95"/>
      <c r="C436" s="28"/>
      <c r="D436" s="28"/>
      <c r="E436" s="28"/>
      <c r="F436" s="28"/>
      <c r="G436" s="28"/>
      <c r="H436" s="37" t="s">
        <v>8</v>
      </c>
      <c r="I436" s="37" t="s">
        <v>8</v>
      </c>
      <c r="J436" s="37" t="s">
        <v>9</v>
      </c>
      <c r="K436" s="37" t="s">
        <v>9</v>
      </c>
      <c r="L436" s="28"/>
      <c r="M436" s="28"/>
      <c r="N436" s="28"/>
      <c r="O436" s="28"/>
      <c r="P436" s="28"/>
      <c r="AI436" s="176"/>
      <c r="AJ436" s="180"/>
      <c r="AK436" s="181"/>
      <c r="AL436" s="181"/>
      <c r="AM436" s="181"/>
      <c r="AN436" s="180"/>
      <c r="AO436" s="179"/>
      <c r="AP436" s="176"/>
      <c r="AQ436" s="176"/>
      <c r="BA436" s="176"/>
      <c r="BB436" s="16"/>
      <c r="BC436" s="16"/>
      <c r="BD436" s="16"/>
      <c r="BE436" s="16"/>
      <c r="BF436" s="16"/>
      <c r="BG436" s="16"/>
      <c r="BH436" s="176"/>
    </row>
    <row r="437" spans="1:60">
      <c r="A437" s="88" t="s">
        <v>68</v>
      </c>
      <c r="B437" s="88"/>
      <c r="C437" s="26" t="s">
        <v>15</v>
      </c>
      <c r="D437" s="26" t="s">
        <v>55</v>
      </c>
      <c r="E437" s="26" t="s">
        <v>12</v>
      </c>
      <c r="F437" s="26" t="s">
        <v>10</v>
      </c>
      <c r="G437" s="26" t="s">
        <v>14</v>
      </c>
      <c r="H437" s="26" t="s">
        <v>21</v>
      </c>
      <c r="I437" s="26" t="s">
        <v>16</v>
      </c>
      <c r="J437" s="26" t="s">
        <v>17</v>
      </c>
      <c r="K437" s="26" t="s">
        <v>23</v>
      </c>
      <c r="L437" s="28"/>
      <c r="M437" s="28"/>
      <c r="N437" s="28"/>
      <c r="O437" s="28"/>
      <c r="P437" s="28"/>
      <c r="AI437" s="176"/>
      <c r="AJ437" s="180"/>
      <c r="AK437" s="181"/>
      <c r="AL437" s="181"/>
      <c r="AM437" s="181"/>
      <c r="AN437" s="180"/>
      <c r="AO437" s="179"/>
      <c r="AP437" s="176"/>
      <c r="AQ437" s="176"/>
    </row>
    <row r="438" spans="1:60">
      <c r="A438" s="28"/>
      <c r="B438" s="28"/>
      <c r="C438" s="23">
        <f>Mü/TAN($C435)</f>
        <v>6.7803632591293521</v>
      </c>
      <c r="D438" s="42">
        <f>SQRT($J435*$J435+$K435*$K435)</f>
        <v>1.8446495103460991</v>
      </c>
      <c r="E438" s="20">
        <f>ATAN($J435/$K435)</f>
        <v>2.2388768039188395E-2</v>
      </c>
      <c r="F438" s="23">
        <f>($E438-0.0001)/100</f>
        <v>2.2288768039188396E-4</v>
      </c>
      <c r="G438" s="23">
        <f>COS($E438)</f>
        <v>0.99974938200177355</v>
      </c>
      <c r="H438" s="23">
        <f>SIN($E438)</f>
        <v>2.238689766519418E-2</v>
      </c>
      <c r="I438" s="23">
        <f>$C438+$G438</f>
        <v>7.7801126411311259</v>
      </c>
      <c r="J438" s="23">
        <f>POWER(TAN($E438/2),$C438)</f>
        <v>5.910655564079417E-14</v>
      </c>
      <c r="K438" s="23">
        <f>-$D438*$D438*SIN($E438)*SIN($E438)/(2*9.81*SIN($C435)*POWER(TAN($E438/2),2*$C438))</f>
        <v>-2.4100347659588907E+24</v>
      </c>
      <c r="L438" s="28"/>
      <c r="M438" s="28"/>
      <c r="N438" s="28"/>
      <c r="O438" s="28"/>
      <c r="P438" s="28"/>
      <c r="AI438" s="176"/>
      <c r="AJ438" s="180"/>
      <c r="AK438" s="181"/>
      <c r="AL438" s="181"/>
      <c r="AM438" s="181"/>
      <c r="AN438" s="180"/>
      <c r="AO438" s="179"/>
      <c r="AP438" s="176"/>
      <c r="AQ438" s="182"/>
    </row>
    <row r="439" spans="1:60">
      <c r="A439" s="88" t="s">
        <v>70</v>
      </c>
      <c r="B439" s="88"/>
      <c r="C439" s="28"/>
      <c r="D439" s="102" t="s">
        <v>75</v>
      </c>
      <c r="E439" s="102"/>
      <c r="F439" s="102"/>
      <c r="G439" s="102"/>
      <c r="H439" s="28"/>
      <c r="I439" s="28"/>
      <c r="J439" s="28"/>
      <c r="K439" s="28"/>
      <c r="L439" s="28"/>
      <c r="M439" s="45"/>
      <c r="N439" s="28"/>
      <c r="O439" s="28"/>
      <c r="P439" s="28"/>
      <c r="AI439" s="176"/>
      <c r="AJ439" s="180"/>
      <c r="AK439" s="181"/>
      <c r="AL439" s="181"/>
      <c r="AM439" s="181"/>
      <c r="AN439" s="180"/>
      <c r="AO439" s="179"/>
      <c r="AP439" s="176"/>
      <c r="AQ439" s="176"/>
    </row>
    <row r="440" spans="1:60">
      <c r="A440" s="26" t="s">
        <v>11</v>
      </c>
      <c r="B440" s="26" t="s">
        <v>13</v>
      </c>
      <c r="C440" s="26" t="s">
        <v>22</v>
      </c>
      <c r="D440" s="26" t="s">
        <v>18</v>
      </c>
      <c r="E440" s="26" t="s">
        <v>19</v>
      </c>
      <c r="F440" s="26" t="s">
        <v>20</v>
      </c>
      <c r="G440" s="26" t="s">
        <v>2</v>
      </c>
      <c r="H440" s="26" t="s">
        <v>65</v>
      </c>
      <c r="I440" s="26" t="s">
        <v>66</v>
      </c>
      <c r="J440" s="76" t="s">
        <v>3</v>
      </c>
      <c r="K440" s="76" t="s">
        <v>4</v>
      </c>
      <c r="L440" s="44" t="s">
        <v>7</v>
      </c>
      <c r="M440" s="93"/>
      <c r="N440" s="28"/>
      <c r="O440" s="28"/>
      <c r="P440" s="28"/>
      <c r="AI440" s="176"/>
      <c r="AJ440" s="180"/>
      <c r="AK440" s="181"/>
      <c r="AL440" s="181"/>
      <c r="AM440" s="181"/>
      <c r="AN440" s="180"/>
      <c r="AO440" s="179"/>
      <c r="AP440" s="176"/>
      <c r="AQ440" s="176"/>
    </row>
    <row r="441" spans="1:60">
      <c r="A441" s="88" t="s">
        <v>60</v>
      </c>
      <c r="B441" s="8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AI441" s="176"/>
      <c r="AJ441" s="179"/>
      <c r="AK441" s="179"/>
      <c r="AL441" s="179"/>
      <c r="AM441" s="179"/>
      <c r="AN441" s="179"/>
      <c r="AO441" s="179"/>
      <c r="AP441" s="176"/>
      <c r="AQ441" s="176"/>
    </row>
    <row r="442" spans="1:60">
      <c r="A442" s="26" t="s">
        <v>11</v>
      </c>
      <c r="B442" s="26" t="s">
        <v>13</v>
      </c>
      <c r="C442" s="26" t="s">
        <v>22</v>
      </c>
      <c r="D442" s="26" t="s">
        <v>18</v>
      </c>
      <c r="E442" s="26" t="s">
        <v>19</v>
      </c>
      <c r="F442" s="26" t="s">
        <v>20</v>
      </c>
      <c r="G442" s="26" t="s">
        <v>2</v>
      </c>
      <c r="H442" s="26" t="s">
        <v>1</v>
      </c>
      <c r="I442" s="26" t="s">
        <v>0</v>
      </c>
      <c r="J442" s="76" t="s">
        <v>3</v>
      </c>
      <c r="K442" s="76" t="s">
        <v>4</v>
      </c>
      <c r="L442" s="44" t="s">
        <v>7</v>
      </c>
      <c r="M442" s="28"/>
      <c r="N442" s="28"/>
      <c r="O442" s="28"/>
      <c r="P442" s="28"/>
      <c r="AI442" s="176"/>
      <c r="AJ442" s="179"/>
      <c r="AK442" s="179"/>
      <c r="AL442" s="179"/>
      <c r="AM442" s="179"/>
      <c r="AN442" s="179"/>
      <c r="AO442" s="179"/>
      <c r="AP442" s="176"/>
      <c r="AQ442" s="176"/>
    </row>
    <row r="443" spans="1:60">
      <c r="A443" s="19">
        <f>$E438</f>
        <v>2.2388768039188395E-2</v>
      </c>
      <c r="B443" s="26">
        <f>COS(A443)</f>
        <v>0.99974938200177355</v>
      </c>
      <c r="C443" s="26">
        <f>($C$438+B443)</f>
        <v>7.7801126411311259</v>
      </c>
      <c r="D443" s="26">
        <f>POWER(TAN(A443/2),$C$438)</f>
        <v>5.910655564079417E-14</v>
      </c>
      <c r="E443" s="26">
        <f>SIN(A443)</f>
        <v>2.238689766519418E-2</v>
      </c>
      <c r="F443" s="77">
        <f>(C443*$H$438*D443/E443/$I$438/$J$438)</f>
        <v>1</v>
      </c>
      <c r="G443" s="77">
        <f>$D$438*($C$438+$G$438)/9.81/SIN($C$435)/(1-$C$438*$C$438)*(F443-1)</f>
        <v>0</v>
      </c>
      <c r="H443" s="81">
        <f>-(-$H$435+$K$438*((POWER(TAN(A443/2),2*$C$438-1)/(2*$C$438-1))+(POWER(TAN(A443/2),2*$C$438+1)/(2*$C$438+1))-(POWER(TAN($E$438/2),2*$C$438-1)/(2*$C$438-1))-(POWER(TAN($E$438/2),2*$C$438+1)/(2*$C$438+1))))</f>
        <v>1.4397922171547829E-2</v>
      </c>
      <c r="I443" s="81">
        <f>-(-$I$435+0.5*$K$438*((POWER(TAN(A443/2),2*$C$438-2)/(2*$C$438-2))-(POWER(TAN(A443/2),2*$C$438+2)/(2*$C$438+2))-(POWER(TAN($E$438/2),2*$C$438-2)/(2*$C$438-2))+(POWER(TAN($E$438/2),2*$C$438+2)/(2*$C$438+2))))</f>
        <v>-1.4616059968409465</v>
      </c>
      <c r="J443" s="77">
        <f>-$D$438*SIN(A443)*($C$438+$G$438)/($C$438+B443)*F443</f>
        <v>-4.1295979816268674E-2</v>
      </c>
      <c r="K443" s="77">
        <f>-$D$438*COS(A443)*($C$438+$G$438)/($C$438+B443)*F443</f>
        <v>-1.8441872079783868</v>
      </c>
      <c r="L443" s="91">
        <f>SQRT(J443*J443+K443*K443)</f>
        <v>1.8446495103460991</v>
      </c>
      <c r="M443" s="28"/>
      <c r="N443" s="28"/>
      <c r="O443" s="28"/>
      <c r="P443" s="28"/>
      <c r="AI443" s="176"/>
      <c r="AJ443" s="176"/>
      <c r="AK443" s="176"/>
      <c r="AL443" s="176"/>
      <c r="AM443" s="176"/>
      <c r="AN443" s="176"/>
      <c r="AO443" s="176"/>
      <c r="AP443" s="176"/>
      <c r="AQ443" s="176"/>
    </row>
    <row r="444" spans="1:60">
      <c r="A444" s="20">
        <f>A443-$F$438</f>
        <v>2.2165880358796512E-2</v>
      </c>
      <c r="B444" s="26">
        <f t="shared" ref="B444:B493" si="433">COS(A444)</f>
        <v>0.99975434693219023</v>
      </c>
      <c r="C444" s="26">
        <f t="shared" ref="C444:C493" si="434">($C$438+B444)</f>
        <v>7.780117606061542</v>
      </c>
      <c r="D444" s="26">
        <f t="shared" ref="D444:D493" si="435">POWER(TAN(A444/2),$C$438)</f>
        <v>5.5229498418425989E-14</v>
      </c>
      <c r="E444" s="26">
        <f t="shared" ref="E444:E493" si="436">SIN(A444)</f>
        <v>2.2164065290233168E-2</v>
      </c>
      <c r="F444" s="77">
        <f t="shared" ref="F444:F493" si="437">(C444*$H$438*D444/E444/$I$438/$J$438)</f>
        <v>0.94380053089489446</v>
      </c>
      <c r="G444" s="77">
        <f t="shared" ref="G444:G493" si="438">$D$438*($C$438+$G$438)/9.81/SIN($C$435)/(1-$C$438*$C$438)*(F444-1)</f>
        <v>0.17708672651679339</v>
      </c>
      <c r="H444" s="81">
        <f t="shared" ref="H444:H493" si="439">-(-$H$435+$K$438*((POWER(TAN(A444/2),2*$C$438-1)/(2*$C$438-1))+(POWER(TAN(A444/2),2*$C$438+1)/(2*$C$438+1))-(POWER(TAN($E$438/2),2*$C$438-1)/(2*$C$438-1))-(POWER(TAN($E$438/2),2*$C$438+1)/(2*$C$438+1))))</f>
        <v>7.3251969411100501E-3</v>
      </c>
      <c r="I444" s="81">
        <f t="shared" ref="I444:I493" si="440">-(-$I$435+0.5*$K$438*((POWER(TAN(A444/2),2*$C$438-2)/(2*$C$438-2))-(POWER(TAN(A444/2),2*$C$438+2)/(2*$C$438+2))-(POWER(TAN($E$438/2),2*$C$438-2)/(2*$C$438-2))+(POWER(TAN($E$438/2),2*$C$438+2)/(2*$C$438+2))))</f>
        <v>-1.7790109069630018</v>
      </c>
      <c r="J444" s="77">
        <f t="shared" ref="J444:J493" si="441">-$D$438*SIN(A444)*($C$438+$G$438)/($C$438+B444)*F444</f>
        <v>-3.8587196077042758E-2</v>
      </c>
      <c r="K444" s="77">
        <f t="shared" ref="K444:K493" si="442">-$D$438*COS(A444)*($C$438+$G$438)/($C$438+B444)*F444</f>
        <v>-1.7405523990649832</v>
      </c>
      <c r="L444" s="91">
        <f t="shared" ref="L444:L493" si="443">SQRT(J444*J444+K444*K444)</f>
        <v>1.7409800761616878</v>
      </c>
      <c r="M444" s="28"/>
      <c r="N444" s="28"/>
      <c r="O444" s="28"/>
      <c r="P444" s="28"/>
      <c r="AI444" s="176"/>
      <c r="AJ444" s="176"/>
      <c r="AK444" s="176"/>
      <c r="AL444" s="176"/>
      <c r="AM444" s="176"/>
      <c r="AN444" s="176"/>
      <c r="AO444" s="176"/>
      <c r="AP444" s="176"/>
      <c r="AQ444" s="176"/>
    </row>
    <row r="445" spans="1:60">
      <c r="A445" s="20">
        <f t="shared" ref="A445:A490" si="444">A444-$F$438</f>
        <v>2.1942992678404629E-2</v>
      </c>
      <c r="B445" s="26">
        <f t="shared" si="433"/>
        <v>0.99975926219589295</v>
      </c>
      <c r="C445" s="26">
        <f t="shared" si="434"/>
        <v>7.7801225213252447</v>
      </c>
      <c r="D445" s="26">
        <f t="shared" si="435"/>
        <v>5.1571387238801598E-14</v>
      </c>
      <c r="E445" s="26">
        <f t="shared" si="436"/>
        <v>2.1941231814185377E-2</v>
      </c>
      <c r="F445" s="77">
        <f t="shared" si="437"/>
        <v>0.89023901071095668</v>
      </c>
      <c r="G445" s="77">
        <f t="shared" si="438"/>
        <v>0.3458611727468382</v>
      </c>
      <c r="H445" s="81">
        <f t="shared" si="439"/>
        <v>1.0287054056920767E-3</v>
      </c>
      <c r="I445" s="81">
        <f t="shared" si="440"/>
        <v>-2.0644366833764103</v>
      </c>
      <c r="J445" s="77">
        <f t="shared" si="441"/>
        <v>-3.6031383379082516E-2</v>
      </c>
      <c r="K445" s="77">
        <f t="shared" si="442"/>
        <v>-1.6417815356966241</v>
      </c>
      <c r="L445" s="91">
        <f t="shared" si="443"/>
        <v>1.642176869750203</v>
      </c>
      <c r="M445" s="45"/>
      <c r="N445" s="28"/>
      <c r="O445" s="28"/>
      <c r="P445" s="31"/>
      <c r="AI445" s="176"/>
      <c r="AJ445" s="176"/>
      <c r="AK445" s="176"/>
      <c r="AL445" s="176"/>
      <c r="AM445" s="176"/>
      <c r="AN445" s="176"/>
      <c r="AO445" s="176"/>
      <c r="AP445" s="176"/>
      <c r="AQ445" s="176"/>
    </row>
    <row r="446" spans="1:60">
      <c r="A446" s="20">
        <f t="shared" si="444"/>
        <v>2.1720104998012746E-2</v>
      </c>
      <c r="B446" s="26">
        <f t="shared" si="433"/>
        <v>0.99976412779263735</v>
      </c>
      <c r="C446" s="26">
        <f t="shared" si="434"/>
        <v>7.7801273869219898</v>
      </c>
      <c r="D446" s="26">
        <f t="shared" si="435"/>
        <v>4.8121894466530396E-14</v>
      </c>
      <c r="E446" s="26">
        <f t="shared" si="436"/>
        <v>2.1718397248120934E-2</v>
      </c>
      <c r="F446" s="77">
        <f t="shared" si="437"/>
        <v>0.83921652872084485</v>
      </c>
      <c r="G446" s="77">
        <f t="shared" si="438"/>
        <v>0.5066350102628604</v>
      </c>
      <c r="H446" s="81">
        <f t="shared" si="439"/>
        <v>-4.5701317309539361E-3</v>
      </c>
      <c r="I446" s="81">
        <f t="shared" si="440"/>
        <v>-2.3208286631558352</v>
      </c>
      <c r="J446" s="77">
        <f t="shared" si="441"/>
        <v>-3.3621326112917606E-2</v>
      </c>
      <c r="K446" s="77">
        <f t="shared" si="442"/>
        <v>-1.547692280995602</v>
      </c>
      <c r="L446" s="91">
        <f t="shared" si="443"/>
        <v>1.5480574247174943</v>
      </c>
      <c r="M446" s="45"/>
      <c r="N446" s="28"/>
      <c r="O446" s="28"/>
      <c r="P446" s="31"/>
      <c r="AI446" s="176"/>
      <c r="AJ446" s="176"/>
      <c r="AK446" s="176"/>
      <c r="AL446" s="176"/>
      <c r="AM446" s="176"/>
      <c r="AN446" s="176"/>
      <c r="AO446" s="176"/>
      <c r="AP446" s="176"/>
      <c r="AQ446" s="176"/>
    </row>
    <row r="447" spans="1:60">
      <c r="A447" s="20">
        <f t="shared" si="444"/>
        <v>2.1497217317620863E-2</v>
      </c>
      <c r="B447" s="26">
        <f t="shared" si="433"/>
        <v>0.99976894372218172</v>
      </c>
      <c r="C447" s="26">
        <f t="shared" si="434"/>
        <v>7.7801322028515338</v>
      </c>
      <c r="D447" s="26">
        <f t="shared" si="435"/>
        <v>4.487108163473211E-14</v>
      </c>
      <c r="E447" s="26">
        <f t="shared" si="436"/>
        <v>2.1495561603110017E-2</v>
      </c>
      <c r="F447" s="77">
        <f t="shared" si="437"/>
        <v>0.79063693026444082</v>
      </c>
      <c r="G447" s="77">
        <f t="shared" si="438"/>
        <v>0.65971122616190569</v>
      </c>
      <c r="H447" s="81">
        <f t="shared" si="439"/>
        <v>-9.5426215082695543E-3</v>
      </c>
      <c r="I447" s="81">
        <f t="shared" si="440"/>
        <v>-2.5508868882765245</v>
      </c>
      <c r="J447" s="77">
        <f t="shared" si="441"/>
        <v>-3.1350080569457865E-2</v>
      </c>
      <c r="K447" s="77">
        <f t="shared" si="442"/>
        <v>-1.4581073765477912</v>
      </c>
      <c r="L447" s="91">
        <f t="shared" si="443"/>
        <v>1.45844435927285</v>
      </c>
      <c r="M447" s="45"/>
      <c r="N447" s="28"/>
      <c r="O447" s="28"/>
      <c r="P447" s="89"/>
      <c r="AI447" s="176"/>
      <c r="AJ447" s="176"/>
      <c r="AK447" s="176"/>
      <c r="AL447" s="176"/>
      <c r="AM447" s="176"/>
      <c r="AN447" s="176"/>
      <c r="AO447" s="176"/>
      <c r="AP447" s="176"/>
      <c r="AQ447" s="176"/>
    </row>
    <row r="448" spans="1:60">
      <c r="A448" s="20">
        <f t="shared" si="444"/>
        <v>2.1274329637228979E-2</v>
      </c>
      <c r="B448" s="26">
        <f t="shared" si="433"/>
        <v>0.99977370998428683</v>
      </c>
      <c r="C448" s="26">
        <f t="shared" si="434"/>
        <v>7.7801369691136388</v>
      </c>
      <c r="D448" s="26">
        <f t="shared" si="435"/>
        <v>4.1809388546152756E-14</v>
      </c>
      <c r="E448" s="26">
        <f t="shared" si="436"/>
        <v>2.1272724890222861E-2</v>
      </c>
      <c r="F448" s="77">
        <f t="shared" si="437"/>
        <v>0.74440676701845887</v>
      </c>
      <c r="G448" s="77">
        <f t="shared" si="438"/>
        <v>0.80538427976774796</v>
      </c>
      <c r="H448" s="81">
        <f t="shared" si="439"/>
        <v>-1.3953407333630296E-2</v>
      </c>
      <c r="I448" s="81">
        <f t="shared" si="440"/>
        <v>-2.7570843283683919</v>
      </c>
      <c r="J448" s="77">
        <f t="shared" si="441"/>
        <v>-2.9210967325269448E-2</v>
      </c>
      <c r="K448" s="77">
        <f t="shared" si="442"/>
        <v>-1.3728545508731229</v>
      </c>
      <c r="L448" s="91">
        <f t="shared" si="443"/>
        <v>1.3731652844669218</v>
      </c>
      <c r="M448" s="45"/>
      <c r="N448" s="28"/>
      <c r="O448" s="28"/>
      <c r="P448" s="28"/>
      <c r="AI448" s="176"/>
      <c r="AJ448" s="176"/>
      <c r="AK448" s="176"/>
      <c r="AL448" s="176"/>
      <c r="AM448" s="176"/>
      <c r="AN448" s="176"/>
      <c r="AO448" s="176"/>
      <c r="AP448" s="176"/>
      <c r="AQ448" s="176"/>
    </row>
    <row r="449" spans="1:12">
      <c r="A449" s="20">
        <f t="shared" si="444"/>
        <v>2.1051441956837096E-2</v>
      </c>
      <c r="B449" s="26">
        <f t="shared" si="433"/>
        <v>0.99977842657871596</v>
      </c>
      <c r="C449" s="26">
        <f t="shared" si="434"/>
        <v>7.7801416857080685</v>
      </c>
      <c r="D449" s="26">
        <f t="shared" si="435"/>
        <v>3.8927622571968191E-14</v>
      </c>
      <c r="E449" s="26">
        <f t="shared" si="436"/>
        <v>2.1049887120529753E-2</v>
      </c>
      <c r="F449" s="77">
        <f t="shared" si="437"/>
        <v>0.70043524766610676</v>
      </c>
      <c r="G449" s="77">
        <f t="shared" si="438"/>
        <v>0.94394025807271853</v>
      </c>
      <c r="H449" s="81">
        <f t="shared" si="439"/>
        <v>-1.7861032166836814E-2</v>
      </c>
      <c r="I449" s="81">
        <f t="shared" si="440"/>
        <v>-2.9416839168627709</v>
      </c>
      <c r="J449" s="77">
        <f t="shared" si="441"/>
        <v>-2.7197563765969494E-2</v>
      </c>
      <c r="K449" s="77">
        <f t="shared" si="442"/>
        <v>-1.2917664286282862</v>
      </c>
      <c r="L449" s="91">
        <f t="shared" si="443"/>
        <v>1.2920527131684221</v>
      </c>
    </row>
    <row r="450" spans="1:12">
      <c r="A450" s="20">
        <f t="shared" si="444"/>
        <v>2.0828554276445213E-2</v>
      </c>
      <c r="B450" s="26">
        <f t="shared" si="433"/>
        <v>0.99978309350523475</v>
      </c>
      <c r="C450" s="26">
        <f t="shared" si="434"/>
        <v>7.7801463526345866</v>
      </c>
      <c r="D450" s="26">
        <f t="shared" si="435"/>
        <v>3.6216948146674179E-14</v>
      </c>
      <c r="E450" s="26">
        <f t="shared" si="436"/>
        <v>2.0827048305101029E-2</v>
      </c>
      <c r="F450" s="77">
        <f t="shared" si="437"/>
        <v>0.65863418896757875</v>
      </c>
      <c r="G450" s="77">
        <f t="shared" si="438"/>
        <v>1.0756570299164969</v>
      </c>
      <c r="H450" s="81">
        <f t="shared" si="439"/>
        <v>-2.131845923841566E-2</v>
      </c>
      <c r="I450" s="81">
        <f t="shared" si="440"/>
        <v>-3.1067544666982023</v>
      </c>
      <c r="J450" s="77">
        <f t="shared" si="441"/>
        <v>-2.5303696746620481E-2</v>
      </c>
      <c r="K450" s="77">
        <f t="shared" si="442"/>
        <v>-1.2146804405431972</v>
      </c>
      <c r="L450" s="91">
        <f t="shared" si="443"/>
        <v>1.2149439697810187</v>
      </c>
    </row>
    <row r="451" spans="1:12">
      <c r="A451" s="20">
        <f t="shared" si="444"/>
        <v>2.060566659605333E-2</v>
      </c>
      <c r="B451" s="26">
        <f t="shared" si="433"/>
        <v>0.99978771076361139</v>
      </c>
      <c r="C451" s="26">
        <f t="shared" si="434"/>
        <v>7.7801509698929632</v>
      </c>
      <c r="D451" s="26">
        <f t="shared" si="435"/>
        <v>3.3668876457464305E-14</v>
      </c>
      <c r="E451" s="26">
        <f t="shared" si="436"/>
        <v>2.0604208455007083E-2</v>
      </c>
      <c r="F451" s="77">
        <f t="shared" si="437"/>
        <v>0.61891796723228243</v>
      </c>
      <c r="G451" s="77">
        <f t="shared" si="438"/>
        <v>1.2008043988990234</v>
      </c>
      <c r="H451" s="81">
        <f t="shared" si="439"/>
        <v>-2.4373553109066311E-2</v>
      </c>
      <c r="I451" s="81">
        <f t="shared" si="440"/>
        <v>-3.2541855286934132</v>
      </c>
      <c r="J451" s="77">
        <f t="shared" si="441"/>
        <v>-2.3523435388007458E-2</v>
      </c>
      <c r="K451" s="77">
        <f t="shared" si="442"/>
        <v>-1.1414387340930066</v>
      </c>
      <c r="L451" s="91">
        <f t="shared" si="443"/>
        <v>1.141681100702074</v>
      </c>
    </row>
    <row r="452" spans="1:12">
      <c r="A452" s="20">
        <f t="shared" si="444"/>
        <v>2.0382778915661447E-2</v>
      </c>
      <c r="B452" s="26">
        <f t="shared" si="433"/>
        <v>0.99979227835361639</v>
      </c>
      <c r="C452" s="26">
        <f t="shared" si="434"/>
        <v>7.780155537482969</v>
      </c>
      <c r="D452" s="26">
        <f t="shared" si="435"/>
        <v>3.1275255326482691E-14</v>
      </c>
      <c r="E452" s="26">
        <f t="shared" si="436"/>
        <v>2.0381367581318359E-2</v>
      </c>
      <c r="F452" s="77">
        <f t="shared" si="437"/>
        <v>0.58120347019350371</v>
      </c>
      <c r="G452" s="77">
        <f t="shared" si="438"/>
        <v>1.3196442550253134</v>
      </c>
      <c r="H452" s="81">
        <f t="shared" si="439"/>
        <v>-2.7069523718640437E-2</v>
      </c>
      <c r="I452" s="81">
        <f t="shared" si="440"/>
        <v>-3.3857012527496138</v>
      </c>
      <c r="J452" s="77">
        <f t="shared" si="441"/>
        <v>-2.1851084007671079E-2</v>
      </c>
      <c r="K452" s="77">
        <f t="shared" si="442"/>
        <v>-1.0718880849070387</v>
      </c>
      <c r="L452" s="91">
        <f t="shared" si="443"/>
        <v>1.0721107855245133</v>
      </c>
    </row>
    <row r="453" spans="1:12">
      <c r="A453" s="20">
        <f t="shared" si="444"/>
        <v>2.0159891235269563E-2</v>
      </c>
      <c r="B453" s="26">
        <f t="shared" si="433"/>
        <v>0.99979679627502294</v>
      </c>
      <c r="C453" s="26">
        <f t="shared" si="434"/>
        <v>7.7801600554043748</v>
      </c>
      <c r="D453" s="26">
        <f t="shared" si="435"/>
        <v>2.9028259284350677E-14</v>
      </c>
      <c r="E453" s="26">
        <f t="shared" si="436"/>
        <v>2.0158525695105348E-2</v>
      </c>
      <c r="F453" s="77">
        <f t="shared" si="437"/>
        <v>0.54541004928651793</v>
      </c>
      <c r="G453" s="77">
        <f t="shared" si="438"/>
        <v>1.4324307250789963</v>
      </c>
      <c r="H453" s="81">
        <f t="shared" si="439"/>
        <v>-2.9445335921527926E-2</v>
      </c>
      <c r="I453" s="81">
        <f t="shared" si="440"/>
        <v>-3.502873309205635</v>
      </c>
      <c r="J453" s="77">
        <f t="shared" si="441"/>
        <v>-2.0281175184578098E-2</v>
      </c>
      <c r="K453" s="77">
        <f t="shared" si="442"/>
        <v>-1.0058798089166368</v>
      </c>
      <c r="L453" s="91">
        <f t="shared" si="443"/>
        <v>1.006084248983671</v>
      </c>
    </row>
    <row r="454" spans="1:12">
      <c r="A454" s="20">
        <f t="shared" si="444"/>
        <v>1.993700355487768E-2</v>
      </c>
      <c r="B454" s="26">
        <f t="shared" si="433"/>
        <v>0.99980126452760665</v>
      </c>
      <c r="C454" s="26">
        <f t="shared" si="434"/>
        <v>7.7801645236569588</v>
      </c>
      <c r="D454" s="26">
        <f t="shared" si="435"/>
        <v>2.6920379833346307E-14</v>
      </c>
      <c r="E454" s="26">
        <f t="shared" si="436"/>
        <v>1.9935682807438598E-2</v>
      </c>
      <c r="F454" s="77">
        <f t="shared" si="437"/>
        <v>0.51145947233084865</v>
      </c>
      <c r="G454" s="77">
        <f t="shared" si="438"/>
        <v>1.5394103217223705</v>
      </c>
      <c r="H454" s="81">
        <f t="shared" si="439"/>
        <v>-3.15360868610257E-2</v>
      </c>
      <c r="I454" s="81">
        <f t="shared" si="440"/>
        <v>-3.6071329249381394</v>
      </c>
      <c r="J454" s="77">
        <f t="shared" si="441"/>
        <v>-1.8808462956296509E-2</v>
      </c>
      <c r="K454" s="77">
        <f t="shared" si="442"/>
        <v>-0.94326967524329253</v>
      </c>
      <c r="L454" s="91">
        <f t="shared" si="443"/>
        <v>0.94345717365038084</v>
      </c>
    </row>
    <row r="455" spans="1:12">
      <c r="A455" s="20">
        <f t="shared" si="444"/>
        <v>1.9714115874485797E-2</v>
      </c>
      <c r="B455" s="26">
        <f t="shared" si="433"/>
        <v>0.99980568311114537</v>
      </c>
      <c r="C455" s="26">
        <f t="shared" si="434"/>
        <v>7.7801689422404978</v>
      </c>
      <c r="D455" s="26">
        <f t="shared" si="435"/>
        <v>2.494441589862729E-14</v>
      </c>
      <c r="E455" s="26">
        <f t="shared" si="436"/>
        <v>1.9712838929388694E-2</v>
      </c>
      <c r="F455" s="77">
        <f t="shared" si="437"/>
        <v>0.4792758766176804</v>
      </c>
      <c r="G455" s="77">
        <f t="shared" si="438"/>
        <v>1.6408220913198011</v>
      </c>
      <c r="H455" s="81">
        <f t="shared" si="439"/>
        <v>-3.3373353397855299E-2</v>
      </c>
      <c r="I455" s="81">
        <f t="shared" si="440"/>
        <v>-3.6997820861690234</v>
      </c>
      <c r="J455" s="77">
        <f t="shared" si="441"/>
        <v>-1.7427916147551095E-2</v>
      </c>
      <c r="K455" s="77">
        <f t="shared" si="442"/>
        <v>-0.88391781982902973</v>
      </c>
      <c r="L455" s="91">
        <f t="shared" si="443"/>
        <v>0.88408961337216896</v>
      </c>
    </row>
    <row r="456" spans="1:12">
      <c r="A456" s="20">
        <f t="shared" si="444"/>
        <v>1.9491228194093914E-2</v>
      </c>
      <c r="B456" s="26">
        <f t="shared" si="433"/>
        <v>0.99981005202541962</v>
      </c>
      <c r="C456" s="26">
        <f t="shared" si="434"/>
        <v>7.7801733111547717</v>
      </c>
      <c r="D456" s="26">
        <f t="shared" si="435"/>
        <v>2.3093464465873622E-14</v>
      </c>
      <c r="E456" s="26">
        <f t="shared" si="436"/>
        <v>1.9489994072026288E-2</v>
      </c>
      <c r="F456" s="77">
        <f t="shared" si="437"/>
        <v>0.44878572240323222</v>
      </c>
      <c r="G456" s="77">
        <f t="shared" si="438"/>
        <v>1.7368977604819196</v>
      </c>
      <c r="H456" s="75">
        <f t="shared" si="439"/>
        <v>-3.4985511677265373E-2</v>
      </c>
      <c r="I456" s="75">
        <f t="shared" si="440"/>
        <v>-3.7820039574132553</v>
      </c>
      <c r="J456" s="77">
        <f t="shared" si="441"/>
        <v>-1.613471182902481E-2</v>
      </c>
      <c r="K456" s="77">
        <f t="shared" si="442"/>
        <v>-0.82768865981062434</v>
      </c>
      <c r="L456" s="91">
        <f t="shared" si="443"/>
        <v>0.82784590746401177</v>
      </c>
    </row>
    <row r="457" spans="1:12">
      <c r="A457" s="20">
        <f t="shared" si="444"/>
        <v>1.9268340513702031E-2</v>
      </c>
      <c r="B457" s="26">
        <f t="shared" si="433"/>
        <v>0.99981437127021255</v>
      </c>
      <c r="C457" s="26">
        <f t="shared" si="434"/>
        <v>7.7801776303995647</v>
      </c>
      <c r="D457" s="26">
        <f t="shared" si="435"/>
        <v>2.136091140372692E-14</v>
      </c>
      <c r="E457" s="26">
        <f t="shared" si="436"/>
        <v>1.9267148246422068E-2</v>
      </c>
      <c r="F457" s="77">
        <f t="shared" si="437"/>
        <v>0.41991774680899907</v>
      </c>
      <c r="G457" s="77">
        <f t="shared" si="438"/>
        <v>1.8278618813277696</v>
      </c>
      <c r="H457" s="75">
        <f t="shared" si="439"/>
        <v>-3.6398030794809605E-2</v>
      </c>
      <c r="I457" s="75">
        <f t="shared" si="440"/>
        <v>-3.8548725635681742</v>
      </c>
      <c r="J457" s="77">
        <f t="shared" si="441"/>
        <v>-1.4924228905272036E-2</v>
      </c>
      <c r="K457" s="77">
        <f t="shared" si="442"/>
        <v>-0.77445080863942717</v>
      </c>
      <c r="L457" s="91">
        <f t="shared" si="443"/>
        <v>0.77459459565031796</v>
      </c>
    </row>
    <row r="458" spans="1:12">
      <c r="A458" s="20">
        <f t="shared" si="444"/>
        <v>1.9045452833310147E-2</v>
      </c>
      <c r="B458" s="26">
        <f t="shared" si="433"/>
        <v>0.99981864084530936</v>
      </c>
      <c r="C458" s="26">
        <f t="shared" si="434"/>
        <v>7.7801818999746617</v>
      </c>
      <c r="D458" s="26">
        <f t="shared" si="435"/>
        <v>1.9740422469402568E-14</v>
      </c>
      <c r="E458" s="26">
        <f t="shared" si="436"/>
        <v>1.904430146364677E-2</v>
      </c>
      <c r="F458" s="77">
        <f t="shared" si="437"/>
        <v>0.39260291812983267</v>
      </c>
      <c r="G458" s="77">
        <f t="shared" si="438"/>
        <v>1.9139319754618289</v>
      </c>
      <c r="H458" s="75">
        <f t="shared" si="439"/>
        <v>-3.7633742402702335E-2</v>
      </c>
      <c r="I458" s="75">
        <f t="shared" si="440"/>
        <v>-3.9193617798074767</v>
      </c>
      <c r="J458" s="77">
        <f t="shared" si="441"/>
        <v>-1.3792041830609232E-2</v>
      </c>
      <c r="K458" s="77">
        <f t="shared" si="442"/>
        <v>-0.72407699194868913</v>
      </c>
      <c r="L458" s="91">
        <f t="shared" si="443"/>
        <v>0.72420833375991978</v>
      </c>
    </row>
    <row r="459" spans="1:12">
      <c r="A459" s="20">
        <f t="shared" si="444"/>
        <v>1.8822565152918264E-2</v>
      </c>
      <c r="B459" s="26">
        <f t="shared" si="433"/>
        <v>0.99982286075049809</v>
      </c>
      <c r="C459" s="26">
        <f t="shared" si="434"/>
        <v>7.7801861198798505</v>
      </c>
      <c r="D459" s="26">
        <f t="shared" si="435"/>
        <v>1.8225934495840436E-14</v>
      </c>
      <c r="E459" s="26">
        <f t="shared" si="436"/>
        <v>1.8821453734771183E-2</v>
      </c>
      <c r="F459" s="77">
        <f t="shared" si="437"/>
        <v>0.36677439055071831</v>
      </c>
      <c r="G459" s="77">
        <f t="shared" si="438"/>
        <v>1.9953186766632209</v>
      </c>
      <c r="H459" s="75">
        <f t="shared" si="439"/>
        <v>-3.8713087986383246E-2</v>
      </c>
      <c r="I459" s="75">
        <f t="shared" si="440"/>
        <v>-3.976353671697761</v>
      </c>
      <c r="J459" s="77">
        <f t="shared" si="441"/>
        <v>-1.2733914451841142E-2</v>
      </c>
      <c r="K459" s="77">
        <f t="shared" si="442"/>
        <v>-0.67644396417005592</v>
      </c>
      <c r="L459" s="91">
        <f t="shared" si="443"/>
        <v>0.67656381017563061</v>
      </c>
    </row>
    <row r="460" spans="1:12">
      <c r="A460" s="20">
        <f t="shared" si="444"/>
        <v>1.8599677472526381E-2</v>
      </c>
      <c r="B460" s="26">
        <f t="shared" si="433"/>
        <v>0.99982703098556902</v>
      </c>
      <c r="C460" s="26">
        <f t="shared" si="434"/>
        <v>7.7801902901149216</v>
      </c>
      <c r="D460" s="26">
        <f t="shared" si="435"/>
        <v>1.6811646758762728E-14</v>
      </c>
      <c r="E460" s="26">
        <f t="shared" si="436"/>
        <v>1.8598605070866144E-2</v>
      </c>
      <c r="F460" s="77">
        <f t="shared" si="437"/>
        <v>0.34236745927324647</v>
      </c>
      <c r="G460" s="77">
        <f t="shared" si="438"/>
        <v>2.0722258722839566</v>
      </c>
      <c r="H460" s="75">
        <f t="shared" si="439"/>
        <v>-3.9654345434321912E-2</v>
      </c>
      <c r="I460" s="75">
        <f t="shared" si="440"/>
        <v>-4.0266462257985385</v>
      </c>
      <c r="J460" s="77">
        <f t="shared" si="441"/>
        <v>-1.1745793976682756E-2</v>
      </c>
      <c r="K460" s="77">
        <f t="shared" si="442"/>
        <v>-0.63143242590117477</v>
      </c>
      <c r="L460" s="91">
        <f t="shared" si="443"/>
        <v>0.63154166304020298</v>
      </c>
    </row>
    <row r="461" spans="1:12">
      <c r="A461" s="20">
        <f t="shared" si="444"/>
        <v>1.8376789792134498E-2</v>
      </c>
      <c r="B461" s="26">
        <f t="shared" si="433"/>
        <v>0.99983115155031499</v>
      </c>
      <c r="C461" s="26">
        <f t="shared" si="434"/>
        <v>7.780194410679667</v>
      </c>
      <c r="D461" s="26">
        <f t="shared" si="435"/>
        <v>1.5492012521999787E-14</v>
      </c>
      <c r="E461" s="26">
        <f t="shared" si="436"/>
        <v>1.8375755483002531E-2</v>
      </c>
      <c r="F461" s="77">
        <f t="shared" si="437"/>
        <v>0.31931951605271403</v>
      </c>
      <c r="G461" s="77">
        <f t="shared" si="438"/>
        <v>2.1448508433532689</v>
      </c>
      <c r="H461" s="75">
        <f t="shared" si="439"/>
        <v>-4.0473836422949605E-2</v>
      </c>
      <c r="I461" s="75">
        <f t="shared" si="440"/>
        <v>-4.0709605089370076</v>
      </c>
      <c r="J461" s="77">
        <f t="shared" si="441"/>
        <v>-1.0823805066731662E-2</v>
      </c>
      <c r="K461" s="77">
        <f t="shared" si="442"/>
        <v>-0.58892694202623219</v>
      </c>
      <c r="L461" s="91">
        <f t="shared" si="443"/>
        <v>0.58902639822039526</v>
      </c>
    </row>
    <row r="462" spans="1:12">
      <c r="A462" s="20">
        <f t="shared" si="444"/>
        <v>1.8153902111742615E-2</v>
      </c>
      <c r="B462" s="26">
        <f t="shared" si="433"/>
        <v>0.99983522244453127</v>
      </c>
      <c r="C462" s="26">
        <f t="shared" si="434"/>
        <v>7.7801984815738834</v>
      </c>
      <c r="D462" s="26">
        <f t="shared" si="435"/>
        <v>1.4261730759441866E-14</v>
      </c>
      <c r="E462" s="26">
        <f t="shared" si="436"/>
        <v>1.8152904982251271E-2</v>
      </c>
      <c r="F462" s="77">
        <f t="shared" si="437"/>
        <v>0.2975700051468278</v>
      </c>
      <c r="G462" s="77">
        <f t="shared" si="438"/>
        <v>2.2133844033849739</v>
      </c>
      <c r="H462" s="75">
        <f t="shared" si="439"/>
        <v>-4.1186116042691977E-2</v>
      </c>
      <c r="I462" s="75">
        <f t="shared" si="440"/>
        <v>-4.1099472923629286</v>
      </c>
      <c r="J462" s="77">
        <f t="shared" si="441"/>
        <v>-9.964244053843772E-3</v>
      </c>
      <c r="K462" s="77">
        <f t="shared" si="442"/>
        <v>-0.5488158605913086</v>
      </c>
      <c r="L462" s="91">
        <f t="shared" si="443"/>
        <v>0.54890630803092733</v>
      </c>
    </row>
    <row r="463" spans="1:12">
      <c r="A463" s="20">
        <f t="shared" si="444"/>
        <v>1.7931014431350732E-2</v>
      </c>
      <c r="B463" s="26">
        <f t="shared" si="433"/>
        <v>0.99983924366801569</v>
      </c>
      <c r="C463" s="26">
        <f t="shared" si="434"/>
        <v>7.7802025027973674</v>
      </c>
      <c r="D463" s="26">
        <f t="shared" si="435"/>
        <v>1.3115738051972915E-14</v>
      </c>
      <c r="E463" s="26">
        <f t="shared" si="436"/>
        <v>1.7930053579683334E-2</v>
      </c>
      <c r="F463" s="77">
        <f t="shared" si="437"/>
        <v>0.27706037967703578</v>
      </c>
      <c r="G463" s="77">
        <f t="shared" si="438"/>
        <v>2.2780110358846208</v>
      </c>
      <c r="H463" s="75">
        <f t="shared" si="439"/>
        <v>-4.1804146000178843E-2</v>
      </c>
      <c r="I463" s="75">
        <f t="shared" si="440"/>
        <v>-4.1441931750847001</v>
      </c>
      <c r="J463" s="77">
        <f t="shared" si="441"/>
        <v>-9.1635732787636835E-3</v>
      </c>
      <c r="K463" s="77">
        <f t="shared" si="442"/>
        <v>-0.51099123243653666</v>
      </c>
      <c r="L463" s="91">
        <f t="shared" si="443"/>
        <v>0.51107339072020364</v>
      </c>
    </row>
    <row r="464" spans="1:12">
      <c r="A464" s="20">
        <f t="shared" si="444"/>
        <v>1.7708126750958848E-2</v>
      </c>
      <c r="B464" s="26">
        <f t="shared" si="433"/>
        <v>0.99984321522056852</v>
      </c>
      <c r="C464" s="26">
        <f t="shared" si="434"/>
        <v>7.7802064743499209</v>
      </c>
      <c r="D464" s="26">
        <f t="shared" si="435"/>
        <v>1.2049200657734021E-14</v>
      </c>
      <c r="E464" s="26">
        <f t="shared" si="436"/>
        <v>1.7707201286369739E-2</v>
      </c>
      <c r="F464" s="77">
        <f t="shared" si="437"/>
        <v>0.25773405840343977</v>
      </c>
      <c r="G464" s="77">
        <f t="shared" si="438"/>
        <v>2.3389090305534364</v>
      </c>
      <c r="H464" s="75">
        <f t="shared" si="439"/>
        <v>-4.2339452645622E-2</v>
      </c>
      <c r="I464" s="75">
        <f t="shared" si="440"/>
        <v>-4.1742262388628006</v>
      </c>
      <c r="J464" s="77">
        <f t="shared" si="441"/>
        <v>-8.4184155508552939E-3</v>
      </c>
      <c r="K464" s="77">
        <f t="shared" si="442"/>
        <v>-0.47534873158691188</v>
      </c>
      <c r="L464" s="91">
        <f t="shared" si="443"/>
        <v>0.47542327071954826</v>
      </c>
    </row>
    <row r="465" spans="1:12">
      <c r="A465" s="20">
        <f t="shared" si="444"/>
        <v>1.7485239070566965E-2</v>
      </c>
      <c r="B465" s="26">
        <f t="shared" si="433"/>
        <v>0.99984713710199224</v>
      </c>
      <c r="C465" s="26">
        <f t="shared" si="434"/>
        <v>7.780210396231344</v>
      </c>
      <c r="D465" s="26">
        <f t="shared" si="435"/>
        <v>1.1057506754065156E-14</v>
      </c>
      <c r="E465" s="26">
        <f t="shared" si="436"/>
        <v>1.7484348113381544E-2</v>
      </c>
      <c r="F465" s="77">
        <f t="shared" si="437"/>
        <v>0.23953638291436091</v>
      </c>
      <c r="G465" s="77">
        <f t="shared" si="438"/>
        <v>2.396250618185678</v>
      </c>
      <c r="H465" s="75">
        <f t="shared" si="439"/>
        <v>-4.2802270992872302E-2</v>
      </c>
      <c r="I465" s="75">
        <f t="shared" si="440"/>
        <v>-4.2005212655883071</v>
      </c>
      <c r="J465" s="77">
        <f t="shared" si="441"/>
        <v>-7.7255487277788854E-3</v>
      </c>
      <c r="K465" s="77">
        <f t="shared" si="442"/>
        <v>-0.44178757640382693</v>
      </c>
      <c r="L465" s="91">
        <f t="shared" si="443"/>
        <v>0.44185511965791741</v>
      </c>
    </row>
    <row r="466" spans="1:12">
      <c r="A466" s="20">
        <f t="shared" si="444"/>
        <v>1.7262351390175082E-2</v>
      </c>
      <c r="B466" s="26">
        <f t="shared" si="433"/>
        <v>0.99985100931209225</v>
      </c>
      <c r="C466" s="26">
        <f t="shared" si="434"/>
        <v>7.7802142684414441</v>
      </c>
      <c r="D466" s="26">
        <f t="shared" si="435"/>
        <v>1.0136258849466427E-14</v>
      </c>
      <c r="E466" s="26">
        <f t="shared" si="436"/>
        <v>1.7261494071789858E-2</v>
      </c>
      <c r="F466" s="77">
        <f t="shared" si="437"/>
        <v>0.22241457523158001</v>
      </c>
      <c r="G466" s="77">
        <f t="shared" si="438"/>
        <v>2.4502021042561806</v>
      </c>
      <c r="H466" s="75">
        <f t="shared" si="439"/>
        <v>-4.3201675822603973E-2</v>
      </c>
      <c r="I466" s="75">
        <f t="shared" si="440"/>
        <v>-4.2235045461004521</v>
      </c>
      <c r="J466" s="77">
        <f t="shared" si="441"/>
        <v>-7.0819004139557754E-3</v>
      </c>
      <c r="K466" s="77">
        <f t="shared" si="442"/>
        <v>-0.41021045149929991</v>
      </c>
      <c r="L466" s="91">
        <f t="shared" si="443"/>
        <v>0.41027157814395659</v>
      </c>
    </row>
    <row r="467" spans="1:12">
      <c r="A467" s="20">
        <f t="shared" si="444"/>
        <v>1.7039463709783199E-2</v>
      </c>
      <c r="B467" s="26">
        <f t="shared" si="433"/>
        <v>0.99985483185067603</v>
      </c>
      <c r="C467" s="26">
        <f t="shared" si="434"/>
        <v>7.7802180909800285</v>
      </c>
      <c r="D467" s="26">
        <f t="shared" si="435"/>
        <v>9.2812663639174976E-15</v>
      </c>
      <c r="E467" s="26">
        <f t="shared" si="436"/>
        <v>1.7038639172665824E-2</v>
      </c>
      <c r="F467" s="77">
        <f t="shared" si="437"/>
        <v>0.20631769583232498</v>
      </c>
      <c r="G467" s="77">
        <f t="shared" si="438"/>
        <v>2.500924001194718</v>
      </c>
      <c r="H467" s="75">
        <f t="shared" si="439"/>
        <v>-4.3545700886232386E-2</v>
      </c>
      <c r="I467" s="75">
        <f t="shared" si="440"/>
        <v>-4.2435583078952641</v>
      </c>
      <c r="J467" s="77">
        <f t="shared" si="441"/>
        <v>-6.4845427766597637E-3</v>
      </c>
      <c r="K467" s="77">
        <f t="shared" si="442"/>
        <v>-0.38052343041496872</v>
      </c>
      <c r="L467" s="91">
        <f t="shared" si="443"/>
        <v>0.38057867831737219</v>
      </c>
    </row>
    <row r="468" spans="1:12">
      <c r="A468" s="20">
        <f t="shared" si="444"/>
        <v>1.6816576029391316E-2</v>
      </c>
      <c r="B468" s="26">
        <f t="shared" ref="B468:B488" si="445">COS(A468)</f>
        <v>0.99985860471755383</v>
      </c>
      <c r="C468" s="26">
        <f t="shared" ref="C468:C488" si="446">($C$438+B468)</f>
        <v>7.7802218638469061</v>
      </c>
      <c r="D468" s="26">
        <f t="shared" ref="D468:D488" si="447">POWER(TAN(A468/2),$C$438)</f>
        <v>8.4885383758877233E-15</v>
      </c>
      <c r="E468" s="26">
        <f t="shared" ref="E468:E488" si="448">SIN(A468)</f>
        <v>1.6815783427080636E-2</v>
      </c>
      <c r="F468" s="77">
        <f t="shared" ref="F468:F488" si="449">(C468*$H$438*D468/E468/$I$438/$J$438)</f>
        <v>0.19119660208905562</v>
      </c>
      <c r="G468" s="77">
        <f t="shared" ref="G468:G488" si="450">$D$438*($C$438+$G$438)/9.81/SIN($C$435)/(1-$C$438*$C$438)*(F468-1)</f>
        <v>2.5485711593438665</v>
      </c>
      <c r="H468" s="75">
        <f t="shared" ref="H468:H488" si="451">-(-$H$435+$K$438*((POWER(TAN(A468/2),2*$C$438-1)/(2*$C$438-1))+(POWER(TAN(A468/2),2*$C$438+1)/(2*$C$438+1))-(POWER(TAN($E$438/2),2*$C$438-1)/(2*$C$438-1))-(POWER(TAN($E$438/2),2*$C$438+1)/(2*$C$438+1))))</f>
        <v>-4.3841447159374922E-2</v>
      </c>
      <c r="I468" s="75">
        <f t="shared" ref="I468:I488" si="452">-(-$I$435+0.5*$K$438*((POWER(TAN(A468/2),2*$C$438-2)/(2*$C$438-2))-(POWER(TAN(A468/2),2*$C$438+2)/(2*$C$438+2))-(POWER(TAN($E$438/2),2*$C$438-2)/(2*$C$438-2))+(POWER(TAN($E$438/2),2*$C$438+2)/(2*$C$438+2))))</f>
        <v>-4.2610247876455372</v>
      </c>
      <c r="J468" s="77">
        <f t="shared" ref="J468:J488" si="453">-$D$438*SIN(A468)*($C$438+$G$438)/($C$438+B468)*F468</f>
        <v>-5.93068747857038E-3</v>
      </c>
      <c r="K468" s="77">
        <f t="shared" ref="K468:K488" si="454">-$D$438*COS(A468)*($C$438+$G$438)/($C$438+B468)*F468</f>
        <v>-0.35263589906787479</v>
      </c>
      <c r="L468" s="91">
        <f t="shared" ref="L468:L488" si="455">SQRT(J468*J468+K468*K468)</f>
        <v>0.35268576717153877</v>
      </c>
    </row>
    <row r="469" spans="1:12">
      <c r="A469" s="20">
        <f t="shared" si="444"/>
        <v>1.6593688348999432E-2</v>
      </c>
      <c r="B469" s="26">
        <f t="shared" si="445"/>
        <v>0.99986232791253804</v>
      </c>
      <c r="C469" s="26">
        <f t="shared" si="446"/>
        <v>7.7802255870418904</v>
      </c>
      <c r="D469" s="26">
        <f t="shared" si="447"/>
        <v>7.7542765343682479E-15</v>
      </c>
      <c r="E469" s="26">
        <f t="shared" si="448"/>
        <v>1.659292684610552E-2</v>
      </c>
      <c r="F469" s="77">
        <f t="shared" si="449"/>
        <v>0.17700390712818051</v>
      </c>
      <c r="G469" s="77">
        <f t="shared" si="450"/>
        <v>2.5932928965967976</v>
      </c>
      <c r="H469" s="75">
        <f t="shared" si="451"/>
        <v>-4.4095181028726844E-2</v>
      </c>
      <c r="I469" s="75">
        <f t="shared" si="452"/>
        <v>-4.2762099729878624</v>
      </c>
      <c r="J469" s="77">
        <f t="shared" si="453"/>
        <v>-5.4176807256220349E-3</v>
      </c>
      <c r="K469" s="77">
        <f t="shared" si="454"/>
        <v>-0.32646047996521665</v>
      </c>
      <c r="L469" s="91">
        <f t="shared" si="455"/>
        <v>0.32650543064942184</v>
      </c>
    </row>
    <row r="470" spans="1:12">
      <c r="A470" s="20">
        <f t="shared" si="444"/>
        <v>1.6370800668607549E-2</v>
      </c>
      <c r="B470" s="26">
        <f t="shared" si="445"/>
        <v>0.9998660014354438</v>
      </c>
      <c r="C470" s="26">
        <f t="shared" si="446"/>
        <v>7.7802292605647958</v>
      </c>
      <c r="D470" s="26">
        <f t="shared" si="447"/>
        <v>7.0748681342504418E-15</v>
      </c>
      <c r="E470" s="26">
        <f t="shared" si="448"/>
        <v>1.637006944081176E-2</v>
      </c>
      <c r="F470" s="77">
        <f t="shared" si="449"/>
        <v>0.16369393910880692</v>
      </c>
      <c r="G470" s="77">
        <f t="shared" si="450"/>
        <v>2.6352331267115328</v>
      </c>
      <c r="H470" s="75">
        <f t="shared" si="451"/>
        <v>-4.4312423234982884E-2</v>
      </c>
      <c r="I470" s="75">
        <f t="shared" si="452"/>
        <v>-4.2893870366337135</v>
      </c>
      <c r="J470" s="77">
        <f t="shared" si="453"/>
        <v>-4.9429984289783777E-3</v>
      </c>
      <c r="K470" s="77">
        <f t="shared" si="454"/>
        <v>-0.30191295719019323</v>
      </c>
      <c r="L470" s="91">
        <f t="shared" si="455"/>
        <v>0.30195341851483704</v>
      </c>
    </row>
    <row r="471" spans="1:12">
      <c r="A471" s="20">
        <f t="shared" si="444"/>
        <v>1.6147912988215666E-2</v>
      </c>
      <c r="B471" s="26">
        <f t="shared" si="445"/>
        <v>0.99986962528608869</v>
      </c>
      <c r="C471" s="26">
        <f t="shared" si="446"/>
        <v>7.7802328844154411</v>
      </c>
      <c r="D471" s="26">
        <f t="shared" si="447"/>
        <v>6.4468793533705049E-15</v>
      </c>
      <c r="E471" s="26">
        <f t="shared" si="448"/>
        <v>1.6147211222270658E-2</v>
      </c>
      <c r="F471" s="77">
        <f t="shared" si="449"/>
        <v>0.15122270092264051</v>
      </c>
      <c r="G471" s="77">
        <f t="shared" si="450"/>
        <v>2.6745304862981345</v>
      </c>
      <c r="H471" s="75">
        <f t="shared" si="451"/>
        <v>-4.4498029336718023E-2</v>
      </c>
      <c r="I471" s="75">
        <f t="shared" si="452"/>
        <v>-4.300799484525891</v>
      </c>
      <c r="J471" s="77">
        <f t="shared" si="453"/>
        <v>-4.5042414799579501E-3</v>
      </c>
      <c r="K471" s="77">
        <f t="shared" si="454"/>
        <v>-0.27891220216107998</v>
      </c>
      <c r="L471" s="91">
        <f t="shared" si="455"/>
        <v>0.2789485700010898</v>
      </c>
    </row>
    <row r="472" spans="1:12">
      <c r="A472" s="20">
        <f t="shared" si="444"/>
        <v>1.5925025307823783E-2</v>
      </c>
      <c r="B472" s="26">
        <f t="shared" si="445"/>
        <v>0.99987319946429254</v>
      </c>
      <c r="C472" s="26">
        <f t="shared" si="446"/>
        <v>7.7802364585936443</v>
      </c>
      <c r="D472" s="26">
        <f t="shared" si="447"/>
        <v>5.8670486495380344E-15</v>
      </c>
      <c r="E472" s="26">
        <f t="shared" si="448"/>
        <v>1.5924352201553582E-2</v>
      </c>
      <c r="F472" s="77">
        <f t="shared" si="449"/>
        <v>0.139547830316229</v>
      </c>
      <c r="G472" s="77">
        <f t="shared" si="450"/>
        <v>2.711318460475078</v>
      </c>
      <c r="H472" s="75">
        <f t="shared" si="451"/>
        <v>-4.4656262405789481E-2</v>
      </c>
      <c r="I472" s="75">
        <f t="shared" si="452"/>
        <v>-4.310664038487297</v>
      </c>
      <c r="J472" s="77">
        <f t="shared" si="453"/>
        <v>-4.0991311367358455E-3</v>
      </c>
      <c r="K472" s="77">
        <f t="shared" si="454"/>
        <v>-0.25738010016582719</v>
      </c>
      <c r="L472" s="91">
        <f t="shared" si="455"/>
        <v>0.25741274023918742</v>
      </c>
    </row>
    <row r="473" spans="1:12">
      <c r="A473" s="20">
        <f t="shared" si="444"/>
        <v>1.57021376274319E-2</v>
      </c>
      <c r="B473" s="26">
        <f t="shared" si="445"/>
        <v>0.99987672396987781</v>
      </c>
      <c r="C473" s="26">
        <f t="shared" si="446"/>
        <v>7.7802399830992304</v>
      </c>
      <c r="D473" s="26">
        <f t="shared" si="447"/>
        <v>5.3322803158587097E-15</v>
      </c>
      <c r="E473" s="26">
        <f t="shared" si="448"/>
        <v>1.5701492389731918E-2</v>
      </c>
      <c r="F473" s="77">
        <f t="shared" si="449"/>
        <v>0.12862856043669899</v>
      </c>
      <c r="G473" s="77">
        <f t="shared" si="450"/>
        <v>2.7457255071911777</v>
      </c>
      <c r="H473" s="75">
        <f t="shared" si="451"/>
        <v>-4.4790858613680304E-2</v>
      </c>
      <c r="I473" s="75">
        <f t="shared" si="452"/>
        <v>-4.3191732725937939</v>
      </c>
      <c r="J473" s="77">
        <f t="shared" si="453"/>
        <v>-3.7255045216407286E-3</v>
      </c>
      <c r="K473" s="77">
        <f t="shared" si="454"/>
        <v>-0.23724147767438425</v>
      </c>
      <c r="L473" s="91">
        <f t="shared" si="455"/>
        <v>0.23727072746773067</v>
      </c>
    </row>
    <row r="474" spans="1:12">
      <c r="A474" s="20">
        <f t="shared" si="444"/>
        <v>1.5479249947040016E-2</v>
      </c>
      <c r="B474" s="26">
        <f t="shared" si="445"/>
        <v>0.99988019880266943</v>
      </c>
      <c r="C474" s="26">
        <f t="shared" si="446"/>
        <v>7.7802434579320217</v>
      </c>
      <c r="D474" s="26">
        <f t="shared" si="447"/>
        <v>4.8396381926584504E-15</v>
      </c>
      <c r="E474" s="26">
        <f t="shared" si="448"/>
        <v>1.5478631797877103E-2</v>
      </c>
      <c r="F474" s="77">
        <f t="shared" si="449"/>
        <v>0.11842568080219673</v>
      </c>
      <c r="G474" s="77">
        <f t="shared" si="450"/>
        <v>2.7778751802092585</v>
      </c>
      <c r="H474" s="75">
        <f t="shared" si="451"/>
        <v>-4.4905086320124167E-2</v>
      </c>
      <c r="I474" s="75">
        <f t="shared" si="452"/>
        <v>-4.3264980213448911</v>
      </c>
      <c r="J474" s="77">
        <f t="shared" si="453"/>
        <v>-3.3813102278646167E-3</v>
      </c>
      <c r="K474" s="77">
        <f t="shared" si="454"/>
        <v>-0.2184240304310659</v>
      </c>
      <c r="L474" s="91">
        <f t="shared" si="455"/>
        <v>0.21845020102670601</v>
      </c>
    </row>
    <row r="475" spans="1:12">
      <c r="A475" s="20">
        <f t="shared" si="444"/>
        <v>1.5256362266648133E-2</v>
      </c>
      <c r="B475" s="26">
        <f t="shared" si="445"/>
        <v>0.99988362396249475</v>
      </c>
      <c r="C475" s="26">
        <f t="shared" si="446"/>
        <v>7.7802468830918468</v>
      </c>
      <c r="D475" s="26">
        <f t="shared" si="447"/>
        <v>4.3863395343107583E-15</v>
      </c>
      <c r="E475" s="26">
        <f t="shared" si="448"/>
        <v>1.525577043706061E-2</v>
      </c>
      <c r="F475" s="77">
        <f t="shared" si="449"/>
        <v>0.10890149869824985</v>
      </c>
      <c r="G475" s="77">
        <f t="shared" si="450"/>
        <v>2.8078862507477265</v>
      </c>
      <c r="H475" s="75">
        <f t="shared" si="451"/>
        <v>-4.5001799230184061E-2</v>
      </c>
      <c r="I475" s="75">
        <f t="shared" si="452"/>
        <v>-4.332789576603119</v>
      </c>
      <c r="J475" s="77">
        <f t="shared" si="453"/>
        <v>-3.0646040343988586E-3</v>
      </c>
      <c r="K475" s="77">
        <f t="shared" si="454"/>
        <v>-0.200858252329288</v>
      </c>
      <c r="L475" s="91">
        <f t="shared" si="455"/>
        <v>0.20088163013741098</v>
      </c>
    </row>
    <row r="476" spans="1:12">
      <c r="A476" s="20">
        <f t="shared" si="444"/>
        <v>1.503347458625625E-2</v>
      </c>
      <c r="B476" s="26">
        <f t="shared" si="445"/>
        <v>0.99988699944918369</v>
      </c>
      <c r="C476" s="26">
        <f t="shared" si="446"/>
        <v>7.780250258578536</v>
      </c>
      <c r="D476" s="26">
        <f t="shared" si="447"/>
        <v>3.9697490292647213E-15</v>
      </c>
      <c r="E476" s="26">
        <f t="shared" si="448"/>
        <v>1.5032908318353952E-2</v>
      </c>
      <c r="F476" s="77">
        <f t="shared" si="449"/>
        <v>0.10001980100130399</v>
      </c>
      <c r="G476" s="77">
        <f t="shared" si="450"/>
        <v>2.8358728277761025</v>
      </c>
      <c r="H476" s="75">
        <f t="shared" si="451"/>
        <v>-4.5083484143566624E-2</v>
      </c>
      <c r="I476" s="75">
        <f t="shared" si="452"/>
        <v>-4.338181689223461</v>
      </c>
      <c r="J476" s="77">
        <f t="shared" si="453"/>
        <v>-2.7735447280068481E-3</v>
      </c>
      <c r="K476" s="77">
        <f t="shared" si="454"/>
        <v>-0.18447736507106752</v>
      </c>
      <c r="L476" s="91">
        <f t="shared" si="455"/>
        <v>0.18449821347081433</v>
      </c>
    </row>
    <row r="477" spans="1:12">
      <c r="A477" s="20">
        <f t="shared" si="444"/>
        <v>1.4810586905864367E-2</v>
      </c>
      <c r="B477" s="26">
        <f t="shared" si="445"/>
        <v>0.9998903252625686</v>
      </c>
      <c r="C477" s="26">
        <f t="shared" si="446"/>
        <v>7.7802535843919207</v>
      </c>
      <c r="D477" s="26">
        <f t="shared" si="447"/>
        <v>3.5873729715654621E-15</v>
      </c>
      <c r="E477" s="26">
        <f t="shared" si="448"/>
        <v>1.4810045452828676E-2</v>
      </c>
      <c r="F477" s="77">
        <f t="shared" si="449"/>
        <v>9.1745816430695584E-2</v>
      </c>
      <c r="G477" s="77">
        <f t="shared" si="450"/>
        <v>2.8619444769605322</v>
      </c>
      <c r="H477" s="75">
        <f t="shared" si="451"/>
        <v>-4.5152303780202394E-2</v>
      </c>
      <c r="I477" s="75">
        <f t="shared" si="452"/>
        <v>-4.3427923902960091</v>
      </c>
      <c r="J477" s="77">
        <f t="shared" si="453"/>
        <v>-2.5063900310399578E-3</v>
      </c>
      <c r="K477" s="77">
        <f t="shared" si="454"/>
        <v>-0.16921724861369294</v>
      </c>
      <c r="L477" s="91">
        <f t="shared" si="455"/>
        <v>0.16923580950666459</v>
      </c>
    </row>
    <row r="478" spans="1:12">
      <c r="A478" s="20">
        <f t="shared" si="444"/>
        <v>1.4587699225472484E-2</v>
      </c>
      <c r="B478" s="26">
        <f t="shared" si="445"/>
        <v>0.99989360140248407</v>
      </c>
      <c r="C478" s="26">
        <f t="shared" si="446"/>
        <v>7.7802568605318365</v>
      </c>
      <c r="D478" s="26">
        <f t="shared" si="447"/>
        <v>3.236853582153753E-15</v>
      </c>
      <c r="E478" s="26">
        <f t="shared" si="448"/>
        <v>1.4587181851556368E-2</v>
      </c>
      <c r="F478" s="77">
        <f t="shared" si="449"/>
        <v>8.4046178230346449E-2</v>
      </c>
      <c r="G478" s="77">
        <f t="shared" si="450"/>
        <v>2.8862063382552257</v>
      </c>
      <c r="H478" s="75">
        <f t="shared" si="451"/>
        <v>-4.5210135128880821E-2</v>
      </c>
      <c r="I478" s="75">
        <f t="shared" si="452"/>
        <v>-4.3467256459764725</v>
      </c>
      <c r="J478" s="77">
        <f t="shared" si="453"/>
        <v>-2.2614926338996931E-3</v>
      </c>
      <c r="K478" s="77">
        <f t="shared" si="454"/>
        <v>-0.15501637240601693</v>
      </c>
      <c r="L478" s="91">
        <f t="shared" si="455"/>
        <v>0.15503286768570756</v>
      </c>
    </row>
    <row r="479" spans="1:12">
      <c r="A479" s="20">
        <f t="shared" si="444"/>
        <v>1.43648115450806E-2</v>
      </c>
      <c r="B479" s="26">
        <f t="shared" si="445"/>
        <v>0.99989682786876743</v>
      </c>
      <c r="C479" s="26">
        <f t="shared" si="446"/>
        <v>7.7802600869981191</v>
      </c>
      <c r="D479" s="26">
        <f t="shared" si="447"/>
        <v>2.9159634782275293E-15</v>
      </c>
      <c r="E479" s="26">
        <f t="shared" si="448"/>
        <v>1.436431752560865E-2</v>
      </c>
      <c r="F479" s="77">
        <f t="shared" si="449"/>
        <v>7.6888887281520685E-2</v>
      </c>
      <c r="G479" s="77">
        <f t="shared" si="450"/>
        <v>2.9087592421356057</v>
      </c>
      <c r="H479" s="75">
        <f t="shared" si="451"/>
        <v>-4.5258603730871566E-2</v>
      </c>
      <c r="I479" s="75">
        <f t="shared" si="452"/>
        <v>-4.350072858978324</v>
      </c>
      <c r="J479" s="77">
        <f t="shared" si="453"/>
        <v>-2.0372963309462557E-3</v>
      </c>
      <c r="K479" s="77">
        <f t="shared" si="454"/>
        <v>-0.14181572741692253</v>
      </c>
      <c r="L479" s="91">
        <f t="shared" si="455"/>
        <v>0.14183036035747409</v>
      </c>
    </row>
    <row r="480" spans="1:12">
      <c r="A480" s="20">
        <f t="shared" si="444"/>
        <v>1.4141923864688717E-2</v>
      </c>
      <c r="B480" s="26">
        <f t="shared" si="445"/>
        <v>0.99990000466125839</v>
      </c>
      <c r="C480" s="26">
        <f t="shared" si="446"/>
        <v>7.7802632637906104</v>
      </c>
      <c r="D480" s="26">
        <f t="shared" si="447"/>
        <v>2.6226002889408032E-15</v>
      </c>
      <c r="E480" s="26">
        <f t="shared" si="448"/>
        <v>1.4141452486057183E-2</v>
      </c>
      <c r="F480" s="77">
        <f t="shared" si="449"/>
        <v>7.0243275647962899E-2</v>
      </c>
      <c r="G480" s="77">
        <f t="shared" si="450"/>
        <v>2.9296998244690027</v>
      </c>
      <c r="H480" s="75">
        <f t="shared" si="451"/>
        <v>-4.529911427786959E-2</v>
      </c>
      <c r="I480" s="75">
        <f t="shared" si="452"/>
        <v>-4.3529142289455889</v>
      </c>
      <c r="J480" s="77">
        <f t="shared" si="453"/>
        <v>-1.8323322586486725E-3</v>
      </c>
      <c r="K480" s="77">
        <f t="shared" si="454"/>
        <v>-0.12955875895847302</v>
      </c>
      <c r="L480" s="91">
        <f t="shared" si="455"/>
        <v>0.12957171552605837</v>
      </c>
    </row>
    <row r="481" spans="1:16">
      <c r="A481" s="20">
        <f t="shared" si="444"/>
        <v>1.3919036184296834E-2</v>
      </c>
      <c r="B481" s="26">
        <f t="shared" si="445"/>
        <v>0.99990313177979917</v>
      </c>
      <c r="C481" s="26">
        <f t="shared" si="446"/>
        <v>7.7802663909091514</v>
      </c>
      <c r="D481" s="26">
        <f t="shared" si="447"/>
        <v>2.3547814157117203E-15</v>
      </c>
      <c r="E481" s="26">
        <f t="shared" si="448"/>
        <v>1.3918586743973659E-2</v>
      </c>
      <c r="F481" s="77">
        <f t="shared" si="449"/>
        <v>6.4079970554802454E-2</v>
      </c>
      <c r="G481" s="77">
        <f t="shared" si="450"/>
        <v>2.9491206400185384</v>
      </c>
      <c r="H481" s="75">
        <f t="shared" si="451"/>
        <v>-4.5332877873154293E-2</v>
      </c>
      <c r="I481" s="75">
        <f t="shared" si="452"/>
        <v>-4.3553199831147538</v>
      </c>
      <c r="J481" s="77">
        <f t="shared" si="453"/>
        <v>-1.645215234768994E-3</v>
      </c>
      <c r="K481" s="77">
        <f t="shared" si="454"/>
        <v>-0.11819130030637745</v>
      </c>
      <c r="L481" s="91">
        <f t="shared" si="455"/>
        <v>0.11820275039643119</v>
      </c>
    </row>
    <row r="482" spans="1:16">
      <c r="A482" s="20">
        <f t="shared" si="444"/>
        <v>1.3696148503904951E-2</v>
      </c>
      <c r="B482" s="26">
        <f t="shared" si="445"/>
        <v>0.99990620922423445</v>
      </c>
      <c r="C482" s="26">
        <f t="shared" si="446"/>
        <v>7.7802694683535867</v>
      </c>
      <c r="D482" s="26">
        <f t="shared" si="447"/>
        <v>2.1106389354053902E-15</v>
      </c>
      <c r="E482" s="26">
        <f t="shared" si="448"/>
        <v>1.3695720310429807E-2</v>
      </c>
      <c r="F482" s="77">
        <f t="shared" si="449"/>
        <v>5.8370858802623077E-2</v>
      </c>
      <c r="G482" s="77">
        <f t="shared" si="450"/>
        <v>2.9671102745757825</v>
      </c>
      <c r="H482" s="75">
        <f t="shared" si="451"/>
        <v>-4.536093627644025E-2</v>
      </c>
      <c r="I482" s="75">
        <f t="shared" si="452"/>
        <v>-4.3573514879064028</v>
      </c>
      <c r="J482" s="77">
        <f t="shared" si="453"/>
        <v>-1.4746401973688191E-3</v>
      </c>
      <c r="K482" s="77">
        <f t="shared" si="454"/>
        <v>-0.10766150712042828</v>
      </c>
      <c r="L482" s="91">
        <f t="shared" si="455"/>
        <v>0.10767160572385705</v>
      </c>
    </row>
    <row r="483" spans="1:16">
      <c r="A483" s="20">
        <f t="shared" si="444"/>
        <v>1.3473260823513068E-2</v>
      </c>
      <c r="B483" s="26">
        <f t="shared" si="445"/>
        <v>0.99990923699441125</v>
      </c>
      <c r="C483" s="26">
        <f t="shared" si="446"/>
        <v>7.7802724961237635</v>
      </c>
      <c r="D483" s="26">
        <f t="shared" si="447"/>
        <v>1.8884146446512168E-15</v>
      </c>
      <c r="E483" s="26">
        <f t="shared" si="448"/>
        <v>1.3472853196497391E-2</v>
      </c>
      <c r="F483" s="77">
        <f t="shared" si="449"/>
        <v>5.3089051618117E-2</v>
      </c>
      <c r="G483" s="77">
        <f t="shared" si="450"/>
        <v>2.983753455717721</v>
      </c>
      <c r="H483" s="75">
        <f t="shared" si="451"/>
        <v>-4.5384183426411616E-2</v>
      </c>
      <c r="I483" s="75">
        <f t="shared" si="452"/>
        <v>-4.3590622513602693</v>
      </c>
      <c r="J483" s="77">
        <f t="shared" si="453"/>
        <v>-1.3193787424222682E-3</v>
      </c>
      <c r="K483" s="77">
        <f t="shared" si="454"/>
        <v>-9.7919792667604408E-2</v>
      </c>
      <c r="L483" s="91">
        <f t="shared" si="455"/>
        <v>9.7928680969022505E-2</v>
      </c>
    </row>
    <row r="484" spans="1:16">
      <c r="A484" s="20">
        <f t="shared" si="444"/>
        <v>1.3250373143121184E-2</v>
      </c>
      <c r="B484" s="26">
        <f t="shared" si="445"/>
        <v>0.99991221509017914</v>
      </c>
      <c r="C484" s="26">
        <f t="shared" si="446"/>
        <v>7.7802754742195308</v>
      </c>
      <c r="D484" s="26">
        <f t="shared" si="447"/>
        <v>1.6864552435494075E-15</v>
      </c>
      <c r="E484" s="26">
        <f t="shared" si="448"/>
        <v>1.3249985413248207E-2</v>
      </c>
      <c r="F484" s="77">
        <f t="shared" si="449"/>
        <v>4.8208849942790635E-2</v>
      </c>
      <c r="G484" s="77">
        <f t="shared" si="450"/>
        <v>2.9991311621834007</v>
      </c>
      <c r="H484" s="75">
        <f t="shared" si="451"/>
        <v>-4.5403384510269575E-2</v>
      </c>
      <c r="I484" s="75">
        <f t="shared" si="452"/>
        <v>-4.3604988256398656</v>
      </c>
      <c r="J484" s="77">
        <f t="shared" si="453"/>
        <v>-1.1782757588159986E-3</v>
      </c>
      <c r="K484" s="77">
        <f t="shared" si="454"/>
        <v>-8.891876385061924E-2</v>
      </c>
      <c r="L484" s="91">
        <f t="shared" si="455"/>
        <v>8.8926570261570331E-2</v>
      </c>
    </row>
    <row r="485" spans="1:16">
      <c r="A485" s="20">
        <f t="shared" si="444"/>
        <v>1.3027485462729301E-2</v>
      </c>
      <c r="B485" s="26">
        <f t="shared" si="445"/>
        <v>0.99991514351139033</v>
      </c>
      <c r="C485" s="26">
        <f t="shared" si="446"/>
        <v>7.7802784026407421</v>
      </c>
      <c r="D485" s="26">
        <f t="shared" si="447"/>
        <v>1.5032076570147293E-15</v>
      </c>
      <c r="E485" s="26">
        <f t="shared" si="448"/>
        <v>1.3027116971754087E-2</v>
      </c>
      <c r="F485" s="77">
        <f t="shared" si="449"/>
        <v>4.3705710161199215E-2</v>
      </c>
      <c r="G485" s="77">
        <f t="shared" si="450"/>
        <v>3.0133207318656012</v>
      </c>
      <c r="H485" s="75">
        <f t="shared" si="451"/>
        <v>-4.5419192826683483E-2</v>
      </c>
      <c r="I485" s="75">
        <f t="shared" si="452"/>
        <v>-4.3617016181831438</v>
      </c>
      <c r="J485" s="77">
        <f t="shared" si="453"/>
        <v>-1.0502461595122429E-3</v>
      </c>
      <c r="K485" s="77">
        <f t="shared" si="454"/>
        <v>-8.0613158044712668E-2</v>
      </c>
      <c r="L485" s="91">
        <f t="shared" si="455"/>
        <v>8.0619999174754362E-2</v>
      </c>
    </row>
    <row r="486" spans="1:16">
      <c r="A486" s="20">
        <f t="shared" si="444"/>
        <v>1.2804597782337418E-2</v>
      </c>
      <c r="B486" s="26">
        <f t="shared" si="445"/>
        <v>0.99991802225789916</v>
      </c>
      <c r="C486" s="26">
        <f t="shared" si="446"/>
        <v>7.7802812813872517</v>
      </c>
      <c r="D486" s="26">
        <f t="shared" si="447"/>
        <v>1.337214492000317E-15</v>
      </c>
      <c r="E486" s="26">
        <f t="shared" si="448"/>
        <v>1.2804247883086893E-2</v>
      </c>
      <c r="F486" s="77">
        <f t="shared" si="449"/>
        <v>3.9556210270239249E-2</v>
      </c>
      <c r="G486" s="77">
        <f t="shared" si="450"/>
        <v>3.0263959684127224</v>
      </c>
      <c r="H486" s="75">
        <f t="shared" si="451"/>
        <v>-4.5432164667225584E-2</v>
      </c>
      <c r="I486" s="75">
        <f t="shared" si="452"/>
        <v>-4.3627056194622611</v>
      </c>
      <c r="J486" s="77">
        <f t="shared" si="453"/>
        <v>-9.3427170764716675E-4</v>
      </c>
      <c r="K486" s="77">
        <f t="shared" si="454"/>
        <v>-7.2959780745579114E-2</v>
      </c>
      <c r="L486" s="91">
        <f t="shared" si="455"/>
        <v>7.2965762314024282E-2</v>
      </c>
    </row>
    <row r="487" spans="1:16">
      <c r="A487" s="20">
        <f t="shared" si="444"/>
        <v>1.2581710101945535E-2</v>
      </c>
      <c r="B487" s="26">
        <f t="shared" si="445"/>
        <v>0.99992085132956265</v>
      </c>
      <c r="C487" s="26">
        <f t="shared" si="446"/>
        <v>7.7802841104589149</v>
      </c>
      <c r="D487" s="26">
        <f t="shared" si="447"/>
        <v>1.1871096288377232E-15</v>
      </c>
      <c r="E487" s="26">
        <f t="shared" si="448"/>
        <v>1.2581378158318519E-2</v>
      </c>
      <c r="F487" s="77">
        <f t="shared" si="449"/>
        <v>3.5738016491046416E-2</v>
      </c>
      <c r="G487" s="77">
        <f t="shared" si="450"/>
        <v>3.0384272464359983</v>
      </c>
      <c r="H487" s="75">
        <f t="shared" si="451"/>
        <v>-4.5442772421594745E-2</v>
      </c>
      <c r="I487" s="75">
        <f t="shared" si="452"/>
        <v>-4.3635410547368858</v>
      </c>
      <c r="J487" s="77">
        <f t="shared" si="453"/>
        <v>-8.2939793633223023E-4</v>
      </c>
      <c r="K487" s="77">
        <f t="shared" si="454"/>
        <v>-6.5917444031357603E-2</v>
      </c>
      <c r="L487" s="91">
        <f t="shared" si="455"/>
        <v>6.5922661722384618E-2</v>
      </c>
    </row>
    <row r="488" spans="1:16">
      <c r="A488" s="20">
        <f t="shared" si="444"/>
        <v>1.2358822421553652E-2</v>
      </c>
      <c r="B488" s="26">
        <f t="shared" si="445"/>
        <v>0.99992363072624035</v>
      </c>
      <c r="C488" s="26">
        <f t="shared" si="446"/>
        <v>7.7802868898555921</v>
      </c>
      <c r="D488" s="26">
        <f t="shared" si="447"/>
        <v>1.0516139449233018E-15</v>
      </c>
      <c r="E488" s="26">
        <f t="shared" si="448"/>
        <v>1.2358507808520894E-2</v>
      </c>
      <c r="F488" s="77">
        <f t="shared" si="449"/>
        <v>3.2229850325084373E-2</v>
      </c>
      <c r="G488" s="77">
        <f t="shared" si="450"/>
        <v>3.0494816153170516</v>
      </c>
      <c r="H488" s="75">
        <f t="shared" si="451"/>
        <v>-4.5451416093608817E-2</v>
      </c>
      <c r="I488" s="75">
        <f t="shared" si="452"/>
        <v>-4.3642339666403318</v>
      </c>
      <c r="J488" s="77">
        <f t="shared" si="453"/>
        <v>-7.3473116092196377E-4</v>
      </c>
      <c r="K488" s="77">
        <f t="shared" si="454"/>
        <v>-5.9446905841678943E-2</v>
      </c>
      <c r="L488" s="91">
        <f t="shared" si="455"/>
        <v>5.9451446105441973E-2</v>
      </c>
    </row>
    <row r="489" spans="1:16">
      <c r="A489" s="20">
        <f t="shared" si="444"/>
        <v>1.2135934741161768E-2</v>
      </c>
      <c r="B489" s="26">
        <f t="shared" si="433"/>
        <v>0.99992636044779415</v>
      </c>
      <c r="C489" s="26">
        <f t="shared" si="434"/>
        <v>7.7802896195771467</v>
      </c>
      <c r="D489" s="26">
        <f t="shared" si="435"/>
        <v>9.2953116897489983E-16</v>
      </c>
      <c r="E489" s="26">
        <f t="shared" si="436"/>
        <v>1.2135636844765972E-2</v>
      </c>
      <c r="F489" s="77">
        <f t="shared" si="437"/>
        <v>2.9011456056053753E-2</v>
      </c>
      <c r="G489" s="77">
        <f t="shared" si="438"/>
        <v>3.0596229016106489</v>
      </c>
      <c r="H489" s="75">
        <f t="shared" si="439"/>
        <v>-4.5458433397983347E-2</v>
      </c>
      <c r="I489" s="75">
        <f t="shared" si="440"/>
        <v>-4.3648067349244934</v>
      </c>
      <c r="J489" s="77">
        <f t="shared" si="441"/>
        <v>-6.494355825073134E-4</v>
      </c>
      <c r="K489" s="77">
        <f t="shared" si="442"/>
        <v>-5.3510810076844724E-2</v>
      </c>
      <c r="L489" s="91">
        <f t="shared" si="443"/>
        <v>5.3514750879135875E-2</v>
      </c>
    </row>
    <row r="490" spans="1:16">
      <c r="A490" s="20">
        <f t="shared" si="444"/>
        <v>1.1913047060769885E-2</v>
      </c>
      <c r="B490" s="26">
        <f t="shared" si="433"/>
        <v>0.99992904049408837</v>
      </c>
      <c r="C490" s="26">
        <f t="shared" si="434"/>
        <v>7.78029229962344</v>
      </c>
      <c r="D490" s="26">
        <f t="shared" si="435"/>
        <v>8.197438640757875E-16</v>
      </c>
      <c r="E490" s="26">
        <f t="shared" si="436"/>
        <v>1.1912765278125747E-2</v>
      </c>
      <c r="F490" s="77">
        <f t="shared" si="437"/>
        <v>2.6063568699271199E-2</v>
      </c>
      <c r="G490" s="77">
        <f t="shared" si="438"/>
        <v>3.0689118100374624</v>
      </c>
      <c r="H490" s="75">
        <f t="shared" si="439"/>
        <v>-4.5464108592236201E-2</v>
      </c>
      <c r="I490" s="75">
        <f t="shared" si="440"/>
        <v>-4.3652785392069369</v>
      </c>
      <c r="J490" s="77">
        <f t="shared" si="441"/>
        <v>-5.7273048138876416E-4</v>
      </c>
      <c r="K490" s="77">
        <f t="shared" si="442"/>
        <v>-4.8073627520249976E-2</v>
      </c>
      <c r="L490" s="91">
        <f t="shared" si="443"/>
        <v>4.8077039043186172E-2</v>
      </c>
    </row>
    <row r="491" spans="1:16">
      <c r="A491" s="20">
        <v>0.1</v>
      </c>
      <c r="B491" s="26">
        <f t="shared" si="433"/>
        <v>0.99500416527802582</v>
      </c>
      <c r="C491" s="26">
        <f t="shared" si="434"/>
        <v>7.7753674244073778</v>
      </c>
      <c r="D491" s="26">
        <f t="shared" si="435"/>
        <v>1.5170480833377319E-9</v>
      </c>
      <c r="E491" s="26">
        <f t="shared" si="436"/>
        <v>9.9833416646828155E-2</v>
      </c>
      <c r="F491" s="77">
        <f t="shared" si="437"/>
        <v>5751.9712879914359</v>
      </c>
      <c r="G491" s="77">
        <f t="shared" si="438"/>
        <v>-18121.535592761502</v>
      </c>
      <c r="H491" s="75">
        <f t="shared" si="439"/>
        <v>8843257.383215148</v>
      </c>
      <c r="I491" s="75">
        <f t="shared" si="440"/>
        <v>95794500.675169051</v>
      </c>
      <c r="J491" s="77">
        <f t="shared" si="441"/>
        <v>-1059.9160507770418</v>
      </c>
      <c r="K491" s="77">
        <f t="shared" si="442"/>
        <v>-10563.806396599961</v>
      </c>
      <c r="L491" s="91">
        <f t="shared" si="443"/>
        <v>10616.846406515499</v>
      </c>
    </row>
    <row r="492" spans="1:16">
      <c r="A492" s="20">
        <v>0.01</v>
      </c>
      <c r="B492" s="26">
        <f t="shared" si="433"/>
        <v>0.99995000041666526</v>
      </c>
      <c r="C492" s="26">
        <f t="shared" si="434"/>
        <v>7.7803132595460172</v>
      </c>
      <c r="D492" s="26">
        <f t="shared" si="435"/>
        <v>2.5015275966153728E-16</v>
      </c>
      <c r="E492" s="26">
        <f t="shared" si="436"/>
        <v>9.9998333341666645E-3</v>
      </c>
      <c r="F492" s="77">
        <f t="shared" si="437"/>
        <v>9.4750606178196535E-3</v>
      </c>
      <c r="G492" s="77">
        <f t="shared" si="438"/>
        <v>3.1211828481934929</v>
      </c>
      <c r="H492" s="75">
        <f t="shared" si="439"/>
        <v>-4.5483353371877575E-2</v>
      </c>
      <c r="I492" s="75">
        <f t="shared" si="440"/>
        <v>-4.3669917379559742</v>
      </c>
      <c r="J492" s="77">
        <f t="shared" si="441"/>
        <v>-1.747742395403088E-4</v>
      </c>
      <c r="K492" s="77">
        <f t="shared" si="442"/>
        <v>-1.7476841369348503E-2</v>
      </c>
      <c r="L492" s="91">
        <f t="shared" si="443"/>
        <v>1.7477715247828537E-2</v>
      </c>
    </row>
    <row r="493" spans="1:16">
      <c r="A493" s="20">
        <f>0.001</f>
        <v>1E-3</v>
      </c>
      <c r="B493" s="26">
        <f t="shared" si="433"/>
        <v>0.99999950000004167</v>
      </c>
      <c r="C493" s="26">
        <f t="shared" si="434"/>
        <v>7.7803627591293942</v>
      </c>
      <c r="D493" s="26">
        <f t="shared" si="435"/>
        <v>4.1477994101462107E-23</v>
      </c>
      <c r="E493" s="26">
        <f t="shared" si="436"/>
        <v>9.9999983333334168E-4</v>
      </c>
      <c r="F493" s="77">
        <f t="shared" si="437"/>
        <v>1.5710501243369924E-8</v>
      </c>
      <c r="G493" s="77">
        <f t="shared" si="438"/>
        <v>3.1510390855024002</v>
      </c>
      <c r="H493" s="113">
        <f t="shared" si="439"/>
        <v>-4.548575471868848E-2</v>
      </c>
      <c r="I493" s="113">
        <f t="shared" si="440"/>
        <v>-4.3672526364269046</v>
      </c>
      <c r="J493" s="77">
        <f t="shared" si="441"/>
        <v>-2.8979431954094424E-11</v>
      </c>
      <c r="K493" s="77">
        <f t="shared" si="442"/>
        <v>-2.8979422294283131E-8</v>
      </c>
      <c r="L493" s="91">
        <f t="shared" si="443"/>
        <v>2.8979436784000316E-8</v>
      </c>
    </row>
    <row r="494" spans="1:16">
      <c r="G494" s="79" t="s">
        <v>67</v>
      </c>
      <c r="H494" s="364">
        <f>SQRT(H493*H493+POWER((I493-$M$3),2))</f>
        <v>2.3676895908358553</v>
      </c>
      <c r="I494" s="364"/>
    </row>
    <row r="495" spans="1:16">
      <c r="A495" s="159"/>
      <c r="B495" s="159"/>
      <c r="C495" s="159"/>
      <c r="D495" s="159"/>
      <c r="E495" s="159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</row>
  </sheetData>
  <mergeCells count="2">
    <mergeCell ref="A1:C1"/>
    <mergeCell ref="H494:I494"/>
  </mergeCells>
  <conditionalFormatting sqref="AB36:AQ36">
    <cfRule type="cellIs" dxfId="5" priority="1" operator="greaterThan">
      <formula>0.01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BH78"/>
  <sheetViews>
    <sheetView workbookViewId="0">
      <selection sqref="A1:C1"/>
    </sheetView>
  </sheetViews>
  <sheetFormatPr baseColWidth="10" defaultRowHeight="15"/>
  <cols>
    <col min="1" max="56" width="5.7109375" customWidth="1"/>
    <col min="57" max="57" width="11.42578125" customWidth="1"/>
  </cols>
  <sheetData>
    <row r="1" spans="1:56">
      <c r="A1" s="366" t="s">
        <v>5</v>
      </c>
      <c r="B1" s="366"/>
      <c r="C1" s="366"/>
      <c r="D1" s="29" t="s">
        <v>72</v>
      </c>
      <c r="E1" s="29"/>
      <c r="F1" s="87">
        <f>Stufengrün!B47</f>
        <v>1</v>
      </c>
      <c r="G1" s="29" t="s">
        <v>71</v>
      </c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94"/>
      <c r="AV1" s="94"/>
      <c r="AW1" s="94"/>
      <c r="AX1" s="94"/>
      <c r="AY1" s="94"/>
      <c r="AZ1" s="94"/>
      <c r="BA1" s="94"/>
      <c r="BB1" s="94"/>
      <c r="BC1" s="94"/>
      <c r="BD1" s="94"/>
    </row>
    <row r="2" spans="1:56">
      <c r="A2" s="88" t="s">
        <v>73</v>
      </c>
      <c r="B2" s="88"/>
      <c r="C2" s="2" t="str">
        <f>CONCATENATE("m",Stufengrün!B48)</f>
        <v>m0</v>
      </c>
      <c r="D2" s="2" t="s">
        <v>30</v>
      </c>
      <c r="H2" s="3" t="s">
        <v>57</v>
      </c>
      <c r="I2" s="3" t="s">
        <v>51</v>
      </c>
      <c r="J2" s="3" t="s">
        <v>58</v>
      </c>
      <c r="K2" s="3" t="s">
        <v>59</v>
      </c>
      <c r="M2" s="189" t="s">
        <v>96</v>
      </c>
      <c r="R2" s="88" t="s">
        <v>74</v>
      </c>
      <c r="S2" s="88"/>
      <c r="T2" s="26" t="s">
        <v>65</v>
      </c>
      <c r="U2" s="26" t="s">
        <v>66</v>
      </c>
    </row>
    <row r="3" spans="1:56">
      <c r="A3" s="88" t="s">
        <v>69</v>
      </c>
      <c r="B3" s="88"/>
      <c r="C3" s="3">
        <f>Stufengrün!C48</f>
        <v>8.9486308657749328E-2</v>
      </c>
      <c r="D3" s="82"/>
      <c r="H3" s="70">
        <v>2</v>
      </c>
      <c r="I3" s="2">
        <f>Ystart</f>
        <v>-2</v>
      </c>
      <c r="J3" s="146">
        <f>'Up-17'!J3</f>
        <v>-1.115</v>
      </c>
      <c r="K3" s="146">
        <f>'Up-17'!K3</f>
        <v>3.4449999999999998</v>
      </c>
      <c r="M3" s="189">
        <f>Yloch</f>
        <v>2</v>
      </c>
      <c r="T3" s="101">
        <f t="shared" ref="T3:T23" si="0">H11</f>
        <v>1.9999999999999998</v>
      </c>
      <c r="U3" s="101">
        <f t="shared" ref="U3:U23" si="1">I11</f>
        <v>-2</v>
      </c>
    </row>
    <row r="4" spans="1:56">
      <c r="H4" s="1" t="s">
        <v>8</v>
      </c>
      <c r="I4" s="1" t="s">
        <v>8</v>
      </c>
      <c r="J4" s="1" t="s">
        <v>9</v>
      </c>
      <c r="K4" s="1" t="s">
        <v>9</v>
      </c>
      <c r="T4" s="101">
        <f t="shared" si="0"/>
        <v>0.93390225183595366</v>
      </c>
      <c r="U4" s="101">
        <f t="shared" si="1"/>
        <v>0.82810689668325166</v>
      </c>
    </row>
    <row r="5" spans="1:56">
      <c r="A5" s="86" t="s">
        <v>68</v>
      </c>
      <c r="B5" s="86"/>
      <c r="C5" s="26" t="s">
        <v>15</v>
      </c>
      <c r="D5" s="26" t="s">
        <v>55</v>
      </c>
      <c r="E5" s="26" t="s">
        <v>12</v>
      </c>
      <c r="F5" s="26" t="s">
        <v>10</v>
      </c>
      <c r="G5" s="26" t="s">
        <v>14</v>
      </c>
      <c r="H5" s="26" t="s">
        <v>21</v>
      </c>
      <c r="I5" s="26" t="s">
        <v>16</v>
      </c>
      <c r="J5" s="26" t="s">
        <v>17</v>
      </c>
      <c r="K5" s="26" t="s">
        <v>23</v>
      </c>
      <c r="T5" s="101">
        <f t="shared" si="0"/>
        <v>0.55668444848760767</v>
      </c>
      <c r="U5" s="101">
        <f t="shared" si="1"/>
        <v>1.5348568191179806</v>
      </c>
    </row>
    <row r="6" spans="1:56">
      <c r="C6" s="23">
        <f>Mü/TAN($C$3)</f>
        <v>0.78015343986943553</v>
      </c>
      <c r="D6" s="42">
        <f>SQRT($J$3*$J$3+$K$3*$K$3)</f>
        <v>3.6209460089871541</v>
      </c>
      <c r="E6" s="20">
        <f>ATAN($J$3/$K$3)+PI()</f>
        <v>2.8285755016015774</v>
      </c>
      <c r="F6" s="23">
        <f>($E$6-0.0001)/20</f>
        <v>0.14142377508007886</v>
      </c>
      <c r="G6" s="23">
        <f>COS($E$6)</f>
        <v>-0.95140882836958685</v>
      </c>
      <c r="H6" s="23">
        <f>SIN($E$6)</f>
        <v>0.30793057870307405</v>
      </c>
      <c r="I6" s="23">
        <f>$C$6+$G$6</f>
        <v>-0.17125538850015132</v>
      </c>
      <c r="J6" s="23">
        <f>POWER(TAN($E$6/2),$C$6)</f>
        <v>4.2228095165034061</v>
      </c>
      <c r="K6" s="23">
        <f>-$D$6*$D$6*SIN($E$6)*SIN($E$6)/(2*9.81*SIN($C$3)*POWER(TAN($E$6/2),2*$C$6))</f>
        <v>-3.9762248347743688E-2</v>
      </c>
      <c r="T6" s="101">
        <f t="shared" si="0"/>
        <v>0.38424937869091913</v>
      </c>
      <c r="U6" s="101">
        <f t="shared" si="1"/>
        <v>1.7771436586918643</v>
      </c>
    </row>
    <row r="7" spans="1:56">
      <c r="A7" s="86" t="s">
        <v>70</v>
      </c>
      <c r="B7" s="86"/>
      <c r="D7" s="102" t="s">
        <v>76</v>
      </c>
      <c r="M7" s="45"/>
      <c r="N7" s="28"/>
      <c r="T7" s="101">
        <f t="shared" si="0"/>
        <v>0.29176030585199109</v>
      </c>
      <c r="U7" s="101">
        <f t="shared" si="1"/>
        <v>1.8772184429219503</v>
      </c>
    </row>
    <row r="8" spans="1:56">
      <c r="A8" s="26" t="s">
        <v>11</v>
      </c>
      <c r="B8" s="26" t="s">
        <v>13</v>
      </c>
      <c r="C8" s="26" t="s">
        <v>22</v>
      </c>
      <c r="D8" s="26" t="s">
        <v>18</v>
      </c>
      <c r="E8" s="26" t="s">
        <v>19</v>
      </c>
      <c r="F8" s="26" t="s">
        <v>20</v>
      </c>
      <c r="G8" s="26" t="s">
        <v>2</v>
      </c>
      <c r="H8" s="26" t="s">
        <v>65</v>
      </c>
      <c r="I8" s="26" t="s">
        <v>66</v>
      </c>
      <c r="J8" s="76" t="s">
        <v>3</v>
      </c>
      <c r="K8" s="76" t="s">
        <v>4</v>
      </c>
      <c r="L8" s="44" t="s">
        <v>7</v>
      </c>
      <c r="M8" s="2" t="s">
        <v>64</v>
      </c>
      <c r="N8" s="2" t="s">
        <v>61</v>
      </c>
      <c r="O8" s="2" t="s">
        <v>62</v>
      </c>
      <c r="P8" s="2" t="s">
        <v>63</v>
      </c>
      <c r="T8" s="101">
        <f t="shared" si="0"/>
        <v>0.23633491465295076</v>
      </c>
      <c r="U8" s="101">
        <f t="shared" si="1"/>
        <v>1.9236873050025909</v>
      </c>
    </row>
    <row r="9" spans="1:56">
      <c r="A9" s="86" t="s">
        <v>60</v>
      </c>
      <c r="B9" s="86"/>
      <c r="M9" s="1">
        <v>0.01</v>
      </c>
      <c r="T9" s="101">
        <f t="shared" si="0"/>
        <v>0.20026624479726229</v>
      </c>
      <c r="U9" s="101">
        <f t="shared" si="1"/>
        <v>1.9468546592973803</v>
      </c>
    </row>
    <row r="10" spans="1:56">
      <c r="A10" s="26" t="s">
        <v>11</v>
      </c>
      <c r="B10" s="26" t="s">
        <v>13</v>
      </c>
      <c r="C10" s="26" t="s">
        <v>22</v>
      </c>
      <c r="D10" s="26" t="s">
        <v>18</v>
      </c>
      <c r="E10" s="26" t="s">
        <v>19</v>
      </c>
      <c r="F10" s="26" t="s">
        <v>20</v>
      </c>
      <c r="G10" s="26" t="s">
        <v>2</v>
      </c>
      <c r="H10" s="26" t="s">
        <v>1</v>
      </c>
      <c r="I10" s="26" t="s">
        <v>0</v>
      </c>
      <c r="J10" s="76" t="s">
        <v>3</v>
      </c>
      <c r="K10" s="76" t="s">
        <v>4</v>
      </c>
      <c r="L10" s="44" t="s">
        <v>7</v>
      </c>
      <c r="M10" s="44" t="s">
        <v>24</v>
      </c>
      <c r="N10" s="28"/>
      <c r="P10" s="84"/>
      <c r="Q10" s="84"/>
      <c r="R10" s="84"/>
      <c r="S10" s="84"/>
      <c r="T10" s="101">
        <f t="shared" si="0"/>
        <v>0.17523103863995937</v>
      </c>
      <c r="U10" s="101">
        <f t="shared" si="1"/>
        <v>1.9587744517562782</v>
      </c>
    </row>
    <row r="11" spans="1:56">
      <c r="A11" s="20">
        <f>$E$6</f>
        <v>2.8285755016015774</v>
      </c>
      <c r="B11" s="23">
        <f t="shared" ref="B11:B31" si="2">COS(A11)</f>
        <v>-0.95140882836958685</v>
      </c>
      <c r="C11" s="23">
        <f t="shared" ref="C11:C31" si="3">($C$6+B11)</f>
        <v>-0.17125538850015132</v>
      </c>
      <c r="D11" s="23">
        <f t="shared" ref="D11:D31" si="4">POWER(TAN(A11/2),$C$6)</f>
        <v>4.2228095165034061</v>
      </c>
      <c r="E11" s="23">
        <f t="shared" ref="E11:E31" si="5">SIN(A11)</f>
        <v>0.30793057870307405</v>
      </c>
      <c r="F11" s="71">
        <f t="shared" ref="F11:F31" si="6">(C11*$H$6*D11/E11/$I$6/$J$6)</f>
        <v>1</v>
      </c>
      <c r="G11" s="71">
        <f t="shared" ref="G11:G31" si="7">$D$6*($C$6+$G$6)/9.81/SIN($C$3)/(1-$C$6*$C$6)*(F11-1)</f>
        <v>0</v>
      </c>
      <c r="H11" s="98">
        <f t="shared" ref="H11:H31" si="8">-(-$H$3+$K$6*((POWER(TAN(A11/2),2*$C$6-1)/(2*$C$6-1))+(POWER(TAN(A11/2),2*$C$6+1)/(2*$C$6+1))-(POWER(TAN($E$6/2),2*$C$6-1)/(2*$C$6-1))-(POWER(TAN($E$6/2),2*$C$6+1)/(2*$C$6+1))))</f>
        <v>1.9999999999999998</v>
      </c>
      <c r="I11" s="98">
        <f t="shared" ref="I11:I31" si="9">-(-$I$3+0.5*$K$6*((POWER(TAN(A11/2),2*$C$6-2)/(2*$C$6-2))-(POWER(TAN(A11/2),2*$C$6+2)/(2*$C$6+2))-(POWER(TAN($E$6/2),2*$C$6-2)/(2*$C$6-2))+(POWER(TAN($E$6/2),2*$C$6+2)/(2*$C$6+2))))</f>
        <v>-2</v>
      </c>
      <c r="J11" s="71">
        <f t="shared" ref="J11:J31" si="10">-$D$6*SIN(A11)*($C$6+$G$6)/($C$6+B11)*F11</f>
        <v>-1.1150000000000007</v>
      </c>
      <c r="K11" s="71">
        <f t="shared" ref="K11:K31" si="11">-$D$6*COS(A11)*($C$6+$G$6)/($C$6+B11)*F11</f>
        <v>3.4449999999999998</v>
      </c>
      <c r="L11" s="72">
        <f t="shared" ref="L11:L31" si="12">SQRT(J11*J11+K11*K11)</f>
        <v>3.6209460089871541</v>
      </c>
      <c r="M11" s="73">
        <f>-K11/J11*H11+I11</f>
        <v>4.1793721973094122</v>
      </c>
      <c r="N11" s="28"/>
      <c r="P11" s="84"/>
      <c r="Q11" s="84"/>
      <c r="R11" s="84"/>
      <c r="S11" s="84"/>
      <c r="T11" s="101">
        <f t="shared" si="0"/>
        <v>0.15691865725334253</v>
      </c>
      <c r="U11" s="101">
        <f t="shared" si="1"/>
        <v>1.9648002911827596</v>
      </c>
    </row>
    <row r="12" spans="1:56">
      <c r="A12" s="20">
        <f>A11-($E$6-PI()/2)/10</f>
        <v>2.7027975841209093</v>
      </c>
      <c r="B12" s="23">
        <f t="shared" si="2"/>
        <v>-0.90526423377643694</v>
      </c>
      <c r="C12" s="23">
        <f t="shared" si="3"/>
        <v>-0.12511079390700142</v>
      </c>
      <c r="D12" s="23">
        <f t="shared" si="4"/>
        <v>3.2243493071775253</v>
      </c>
      <c r="E12" s="23">
        <f t="shared" si="5"/>
        <v>0.42484899322601727</v>
      </c>
      <c r="F12" s="71">
        <f t="shared" si="6"/>
        <v>0.40430522356334686</v>
      </c>
      <c r="G12" s="71">
        <f t="shared" si="7"/>
        <v>1.0766316715984412</v>
      </c>
      <c r="H12" s="99">
        <f t="shared" si="8"/>
        <v>0.93390225183595366</v>
      </c>
      <c r="I12" s="99">
        <f t="shared" si="9"/>
        <v>0.82810689668325166</v>
      </c>
      <c r="J12" s="71">
        <f t="shared" si="10"/>
        <v>-0.85136434960007823</v>
      </c>
      <c r="K12" s="71">
        <f t="shared" si="11"/>
        <v>1.8140791384558521</v>
      </c>
      <c r="L12" s="42">
        <f t="shared" si="12"/>
        <v>2.0039222480801722</v>
      </c>
      <c r="M12" s="45"/>
      <c r="N12" s="28"/>
      <c r="P12" s="84"/>
      <c r="Q12" s="84"/>
      <c r="R12" s="84"/>
      <c r="S12" s="84"/>
      <c r="T12" s="101">
        <f t="shared" si="0"/>
        <v>0.14292074675441846</v>
      </c>
      <c r="U12" s="101">
        <f t="shared" si="1"/>
        <v>1.9675144386094181</v>
      </c>
    </row>
    <row r="13" spans="1:56">
      <c r="A13" s="20">
        <f t="shared" ref="A13:A20" si="13">A12-($E$6-PI()/2)/10</f>
        <v>2.5770196666402412</v>
      </c>
      <c r="B13" s="23">
        <f t="shared" si="2"/>
        <v>-0.84481715295605531</v>
      </c>
      <c r="C13" s="23">
        <f t="shared" si="3"/>
        <v>-6.4663713086619778E-2</v>
      </c>
      <c r="D13" s="23">
        <f t="shared" si="4"/>
        <v>2.6264868530910084</v>
      </c>
      <c r="E13" s="23">
        <f t="shared" si="5"/>
        <v>0.53505511685360507</v>
      </c>
      <c r="F13" s="71">
        <f t="shared" si="6"/>
        <v>0.13515883187285471</v>
      </c>
      <c r="G13" s="71">
        <f t="shared" si="7"/>
        <v>1.5630746303965497</v>
      </c>
      <c r="H13" s="99">
        <f t="shared" si="8"/>
        <v>0.55668444848760767</v>
      </c>
      <c r="I13" s="99">
        <f t="shared" si="9"/>
        <v>1.5348568191179806</v>
      </c>
      <c r="J13" s="77">
        <f t="shared" si="10"/>
        <v>-0.69350341987989461</v>
      </c>
      <c r="K13" s="77">
        <f t="shared" si="11"/>
        <v>1.094996695281623</v>
      </c>
      <c r="L13" s="42">
        <f t="shared" si="12"/>
        <v>1.2961345439663219</v>
      </c>
      <c r="M13" s="45"/>
      <c r="N13" s="28"/>
      <c r="P13" s="84"/>
      <c r="Q13" s="84"/>
      <c r="R13" s="84"/>
      <c r="S13" s="84"/>
      <c r="T13" s="110">
        <f t="shared" si="0"/>
        <v>0.13180625200625995</v>
      </c>
      <c r="U13" s="110">
        <f t="shared" si="1"/>
        <v>1.9682401618762233</v>
      </c>
    </row>
    <row r="14" spans="1:56">
      <c r="A14" s="20">
        <f t="shared" si="13"/>
        <v>2.451241749159573</v>
      </c>
      <c r="B14" s="23">
        <f t="shared" si="2"/>
        <v>-0.77102260380117726</v>
      </c>
      <c r="C14" s="23">
        <f t="shared" si="3"/>
        <v>9.1308360682582634E-3</v>
      </c>
      <c r="D14" s="23">
        <f t="shared" si="4"/>
        <v>2.221040317474634</v>
      </c>
      <c r="E14" s="23">
        <f t="shared" si="5"/>
        <v>0.63680777667020749</v>
      </c>
      <c r="F14" s="71">
        <f t="shared" si="6"/>
        <v>-1.3560188001643735E-2</v>
      </c>
      <c r="G14" s="71">
        <f t="shared" si="7"/>
        <v>1.8318626293844678</v>
      </c>
      <c r="H14" s="99">
        <f t="shared" si="8"/>
        <v>0.38424937869091913</v>
      </c>
      <c r="I14" s="99">
        <f t="shared" si="9"/>
        <v>1.7771436586918643</v>
      </c>
      <c r="J14" s="71">
        <f t="shared" si="10"/>
        <v>-0.58644841646439949</v>
      </c>
      <c r="K14" s="71">
        <f t="shared" si="11"/>
        <v>0.71004940835015506</v>
      </c>
      <c r="L14" s="42">
        <f t="shared" si="12"/>
        <v>0.92091905587408007</v>
      </c>
      <c r="M14" s="45"/>
      <c r="N14" s="28"/>
      <c r="P14" s="84"/>
      <c r="Q14" s="84"/>
      <c r="R14" s="84"/>
      <c r="S14" s="84"/>
      <c r="T14" s="101">
        <f t="shared" si="0"/>
        <v>0.12064384049187304</v>
      </c>
      <c r="U14" s="101">
        <f t="shared" si="1"/>
        <v>1.9673924262684297</v>
      </c>
    </row>
    <row r="15" spans="1:56">
      <c r="A15" s="20">
        <f t="shared" si="13"/>
        <v>2.3254638316789049</v>
      </c>
      <c r="B15" s="23">
        <f t="shared" si="2"/>
        <v>-0.68504648405033308</v>
      </c>
      <c r="C15" s="23">
        <f t="shared" si="3"/>
        <v>9.5106955819102446E-2</v>
      </c>
      <c r="D15" s="23">
        <f t="shared" si="4"/>
        <v>1.9236160671635689</v>
      </c>
      <c r="E15" s="23">
        <f t="shared" si="5"/>
        <v>0.72849935805755972</v>
      </c>
      <c r="F15" s="71">
        <f t="shared" si="6"/>
        <v>-0.10693222037211308</v>
      </c>
      <c r="G15" s="71">
        <f t="shared" si="7"/>
        <v>2.0006189980283215</v>
      </c>
      <c r="H15" s="99">
        <f t="shared" si="8"/>
        <v>0.29176030585199109</v>
      </c>
      <c r="I15" s="99">
        <f t="shared" si="9"/>
        <v>1.8772184429219503</v>
      </c>
      <c r="J15" s="71">
        <f t="shared" si="10"/>
        <v>-0.50791585708638742</v>
      </c>
      <c r="K15" s="71">
        <f t="shared" si="11"/>
        <v>0.47762014920396056</v>
      </c>
      <c r="L15" s="42">
        <f t="shared" si="12"/>
        <v>0.69720837975845718</v>
      </c>
      <c r="M15" s="45"/>
      <c r="N15" s="28"/>
      <c r="P15" s="85"/>
      <c r="Q15" s="84"/>
      <c r="R15" s="84"/>
      <c r="S15" s="84"/>
      <c r="T15" s="101">
        <f t="shared" si="0"/>
        <v>0.11149986024782188</v>
      </c>
      <c r="U15" s="101">
        <f t="shared" si="1"/>
        <v>1.965214775024247</v>
      </c>
    </row>
    <row r="16" spans="1:56">
      <c r="A16" s="20">
        <f t="shared" si="13"/>
        <v>2.1996859141982368</v>
      </c>
      <c r="B16" s="23">
        <f t="shared" si="2"/>
        <v>-0.58824715099051927</v>
      </c>
      <c r="C16" s="23">
        <f t="shared" si="3"/>
        <v>0.19190628887891625</v>
      </c>
      <c r="D16" s="23">
        <f t="shared" si="4"/>
        <v>1.69314734372329</v>
      </c>
      <c r="E16" s="23">
        <f t="shared" si="5"/>
        <v>0.80868120378276209</v>
      </c>
      <c r="F16" s="71">
        <f t="shared" si="6"/>
        <v>-0.17108569288513151</v>
      </c>
      <c r="G16" s="71">
        <f t="shared" si="7"/>
        <v>2.1165670692262912</v>
      </c>
      <c r="H16" s="99">
        <f t="shared" si="8"/>
        <v>0.23633491465295076</v>
      </c>
      <c r="I16" s="99">
        <f t="shared" si="9"/>
        <v>1.9236873050025909</v>
      </c>
      <c r="J16" s="71">
        <f t="shared" si="10"/>
        <v>-0.44706238367452228</v>
      </c>
      <c r="K16" s="71">
        <f t="shared" si="11"/>
        <v>0.32520005693394843</v>
      </c>
      <c r="L16" s="42">
        <f t="shared" si="12"/>
        <v>0.55282895358925355</v>
      </c>
      <c r="M16" s="45"/>
      <c r="N16" s="28"/>
      <c r="Q16" s="85"/>
      <c r="R16" s="85"/>
      <c r="S16" s="85"/>
      <c r="T16" s="101">
        <f t="shared" si="0"/>
        <v>0.10367935754613344</v>
      </c>
      <c r="U16" s="101">
        <f t="shared" si="1"/>
        <v>1.9619838347855727</v>
      </c>
    </row>
    <row r="17" spans="1:21">
      <c r="A17" s="20">
        <f t="shared" si="13"/>
        <v>2.0739079967175686</v>
      </c>
      <c r="B17" s="23">
        <f t="shared" si="2"/>
        <v>-0.48215396044541337</v>
      </c>
      <c r="C17" s="23">
        <f t="shared" si="3"/>
        <v>0.29799947942402216</v>
      </c>
      <c r="D17" s="23">
        <f t="shared" si="4"/>
        <v>1.5071107746326409</v>
      </c>
      <c r="E17" s="23">
        <f t="shared" si="5"/>
        <v>0.87608650168051483</v>
      </c>
      <c r="F17" s="71">
        <f t="shared" si="6"/>
        <v>-0.21828343146234375</v>
      </c>
      <c r="G17" s="71">
        <f t="shared" si="7"/>
        <v>2.2018701173477044</v>
      </c>
      <c r="H17" s="99">
        <f t="shared" si="8"/>
        <v>0.20026624479726229</v>
      </c>
      <c r="I17" s="99">
        <f t="shared" si="9"/>
        <v>1.9468546592973803</v>
      </c>
      <c r="J17" s="71">
        <f t="shared" si="10"/>
        <v>-0.3979408749430956</v>
      </c>
      <c r="K17" s="71">
        <f t="shared" si="11"/>
        <v>0.21900664889697827</v>
      </c>
      <c r="L17" s="42">
        <f t="shared" si="12"/>
        <v>0.45422555213413607</v>
      </c>
      <c r="M17" s="45"/>
      <c r="N17" s="28"/>
      <c r="T17" s="101">
        <f t="shared" si="0"/>
        <v>9.6711332910320413E-2</v>
      </c>
      <c r="U17" s="101">
        <f t="shared" si="1"/>
        <v>1.9577136344613328</v>
      </c>
    </row>
    <row r="18" spans="1:21">
      <c r="A18" s="20">
        <f t="shared" si="13"/>
        <v>1.9481300792369005</v>
      </c>
      <c r="B18" s="23">
        <f t="shared" si="2"/>
        <v>-0.36844310411679571</v>
      </c>
      <c r="C18" s="23">
        <f t="shared" si="3"/>
        <v>0.41171033575263982</v>
      </c>
      <c r="D18" s="23">
        <f t="shared" si="4"/>
        <v>1.3520517872366518</v>
      </c>
      <c r="E18" s="23">
        <f t="shared" si="5"/>
        <v>0.92965029932162124</v>
      </c>
      <c r="F18" s="71">
        <f t="shared" si="6"/>
        <v>-0.25496030159871658</v>
      </c>
      <c r="G18" s="71">
        <f t="shared" si="7"/>
        <v>2.2681582258990831</v>
      </c>
      <c r="H18" s="99">
        <f t="shared" si="8"/>
        <v>0.17523103863995937</v>
      </c>
      <c r="I18" s="99">
        <f t="shared" si="9"/>
        <v>1.9587744517562782</v>
      </c>
      <c r="J18" s="71">
        <f t="shared" si="10"/>
        <v>-0.35699875565714539</v>
      </c>
      <c r="K18" s="71">
        <f t="shared" si="11"/>
        <v>0.14148732033554351</v>
      </c>
      <c r="L18" s="42">
        <f t="shared" si="12"/>
        <v>0.3840140275517066</v>
      </c>
      <c r="M18" s="45"/>
      <c r="N18" s="28"/>
      <c r="T18" s="101">
        <f t="shared" si="0"/>
        <v>9.0245489641216148E-2</v>
      </c>
      <c r="U18" s="101">
        <f t="shared" si="1"/>
        <v>1.9521794471646721</v>
      </c>
    </row>
    <row r="19" spans="1:21">
      <c r="A19" s="20">
        <f t="shared" si="13"/>
        <v>1.8223521617562324</v>
      </c>
      <c r="B19" s="23">
        <f t="shared" si="2"/>
        <v>-0.24891112703079879</v>
      </c>
      <c r="C19" s="23">
        <f t="shared" si="3"/>
        <v>0.53124231283863677</v>
      </c>
      <c r="D19" s="23">
        <f t="shared" si="4"/>
        <v>1.2193955996610544</v>
      </c>
      <c r="E19" s="23">
        <f t="shared" si="5"/>
        <v>0.9685263294512223</v>
      </c>
      <c r="F19" s="71">
        <f t="shared" si="6"/>
        <v>-0.28479537485582551</v>
      </c>
      <c r="G19" s="71">
        <f t="shared" si="7"/>
        <v>2.322080781650214</v>
      </c>
      <c r="H19" s="99">
        <f t="shared" si="8"/>
        <v>0.15691865725334253</v>
      </c>
      <c r="I19" s="99">
        <f t="shared" si="9"/>
        <v>1.9648002911827596</v>
      </c>
      <c r="J19" s="71">
        <f t="shared" si="10"/>
        <v>-0.32197192137330444</v>
      </c>
      <c r="K19" s="71">
        <f t="shared" si="11"/>
        <v>8.2746737372344351E-2</v>
      </c>
      <c r="L19" s="42">
        <f t="shared" si="12"/>
        <v>0.33243486685151585</v>
      </c>
      <c r="M19" s="45"/>
      <c r="N19" s="28"/>
      <c r="T19" s="101">
        <f t="shared" si="0"/>
        <v>8.3984004282430247E-2</v>
      </c>
      <c r="U19" s="101">
        <f t="shared" si="1"/>
        <v>1.9448139513794853</v>
      </c>
    </row>
    <row r="20" spans="1:21">
      <c r="A20" s="20">
        <f t="shared" si="13"/>
        <v>1.6965742442755642</v>
      </c>
      <c r="B20" s="23">
        <f t="shared" si="2"/>
        <v>-0.12544654349318995</v>
      </c>
      <c r="C20" s="23">
        <f t="shared" si="3"/>
        <v>0.65470689637624557</v>
      </c>
      <c r="D20" s="23">
        <f t="shared" si="4"/>
        <v>1.1033884234709774</v>
      </c>
      <c r="E20" s="23">
        <f t="shared" si="5"/>
        <v>0.99210038036763759</v>
      </c>
      <c r="F20" s="71">
        <f t="shared" si="6"/>
        <v>-0.31004647907859195</v>
      </c>
      <c r="G20" s="71">
        <f t="shared" si="7"/>
        <v>2.3677184800562445</v>
      </c>
      <c r="H20" s="99">
        <f t="shared" si="8"/>
        <v>0.14292074675441846</v>
      </c>
      <c r="I20" s="99">
        <f t="shared" si="9"/>
        <v>1.9675144386094181</v>
      </c>
      <c r="J20" s="71">
        <f t="shared" si="10"/>
        <v>-0.29134112901896708</v>
      </c>
      <c r="K20" s="71">
        <f t="shared" si="11"/>
        <v>3.6838749723379409E-2</v>
      </c>
      <c r="L20" s="42">
        <f t="shared" si="12"/>
        <v>0.29366093873586285</v>
      </c>
      <c r="M20" s="45"/>
      <c r="N20" s="103"/>
      <c r="O20" s="104"/>
      <c r="T20" s="101">
        <f t="shared" si="0"/>
        <v>7.7617864461175357E-2</v>
      </c>
      <c r="U20" s="101">
        <f t="shared" si="1"/>
        <v>1.9343323345342118</v>
      </c>
    </row>
    <row r="21" spans="1:21">
      <c r="A21" s="79">
        <f>PI()/2</f>
        <v>1.5707963267948966</v>
      </c>
      <c r="B21" s="79">
        <f t="shared" si="2"/>
        <v>6.1257422745431001E-17</v>
      </c>
      <c r="C21" s="79">
        <f t="shared" si="3"/>
        <v>0.78015343986943564</v>
      </c>
      <c r="D21" s="79">
        <f t="shared" si="4"/>
        <v>0.99999999999999989</v>
      </c>
      <c r="E21" s="79">
        <f t="shared" si="5"/>
        <v>1</v>
      </c>
      <c r="F21" s="80">
        <f t="shared" si="6"/>
        <v>-0.33219042401257698</v>
      </c>
      <c r="G21" s="80">
        <f t="shared" si="7"/>
        <v>2.4077404399476379</v>
      </c>
      <c r="H21" s="81">
        <f t="shared" si="8"/>
        <v>0.13180625200625995</v>
      </c>
      <c r="I21" s="81">
        <f t="shared" si="9"/>
        <v>1.9682401618762233</v>
      </c>
      <c r="J21" s="80">
        <f t="shared" si="10"/>
        <v>-0.26404222014808021</v>
      </c>
      <c r="K21" s="80">
        <f t="shared" si="11"/>
        <v>-1.6174545902253113E-17</v>
      </c>
      <c r="L21" s="149">
        <f t="shared" si="12"/>
        <v>0.26404222014808021</v>
      </c>
      <c r="M21" s="45"/>
      <c r="N21" s="103"/>
      <c r="O21" s="104"/>
      <c r="T21" s="101">
        <f t="shared" si="0"/>
        <v>7.0721527099487203E-2</v>
      </c>
      <c r="U21" s="101">
        <f t="shared" si="1"/>
        <v>1.9173671092138362</v>
      </c>
    </row>
    <row r="22" spans="1:21">
      <c r="A22" s="20">
        <f>A21-PI()/2/10</f>
        <v>1.4137166941154069</v>
      </c>
      <c r="B22" s="23">
        <f t="shared" si="2"/>
        <v>0.15643446504023092</v>
      </c>
      <c r="C22" s="23">
        <f t="shared" si="3"/>
        <v>0.93658790490966648</v>
      </c>
      <c r="D22" s="23">
        <f t="shared" si="4"/>
        <v>0.88421653436759695</v>
      </c>
      <c r="E22" s="23">
        <f t="shared" si="5"/>
        <v>0.98768834059513777</v>
      </c>
      <c r="F22" s="71">
        <f t="shared" si="6"/>
        <v>-0.35702146759572395</v>
      </c>
      <c r="G22" s="71">
        <f t="shared" si="7"/>
        <v>2.4526189398404434</v>
      </c>
      <c r="H22" s="99">
        <f t="shared" si="8"/>
        <v>0.12064384049187304</v>
      </c>
      <c r="I22" s="99">
        <f t="shared" si="9"/>
        <v>1.9673924262684297</v>
      </c>
      <c r="J22" s="71">
        <f t="shared" si="10"/>
        <v>-0.23347049682606158</v>
      </c>
      <c r="K22" s="71">
        <f t="shared" si="11"/>
        <v>-3.6978093972087206E-2</v>
      </c>
      <c r="L22" s="42">
        <f t="shared" si="12"/>
        <v>0.23638073593678599</v>
      </c>
      <c r="M22" s="45"/>
      <c r="N22" s="103"/>
      <c r="O22" s="104"/>
      <c r="T22" s="101">
        <f t="shared" si="0"/>
        <v>6.2413423381173061E-2</v>
      </c>
      <c r="U22" s="101">
        <f t="shared" si="1"/>
        <v>1.8807761191464496</v>
      </c>
    </row>
    <row r="23" spans="1:21">
      <c r="A23" s="20">
        <f t="shared" ref="A23:A29" si="14">A22-PI()/2/10</f>
        <v>1.2566370614359172</v>
      </c>
      <c r="B23" s="23">
        <f t="shared" si="2"/>
        <v>0.30901699437494745</v>
      </c>
      <c r="C23" s="23">
        <f t="shared" si="3"/>
        <v>1.0891704342443829</v>
      </c>
      <c r="D23" s="23">
        <f t="shared" si="4"/>
        <v>0.77940344967008202</v>
      </c>
      <c r="E23" s="23">
        <f t="shared" si="5"/>
        <v>0.95105651629515353</v>
      </c>
      <c r="F23" s="71">
        <f t="shared" si="6"/>
        <v>-0.38006591512370774</v>
      </c>
      <c r="G23" s="71">
        <f t="shared" si="7"/>
        <v>2.4942684272029605</v>
      </c>
      <c r="H23" s="99">
        <f t="shared" si="8"/>
        <v>0.11149986024782188</v>
      </c>
      <c r="I23" s="99">
        <f t="shared" si="9"/>
        <v>1.965214775024247</v>
      </c>
      <c r="J23" s="71">
        <f t="shared" si="10"/>
        <v>-0.20579541724196102</v>
      </c>
      <c r="K23" s="71">
        <f t="shared" si="11"/>
        <v>-6.6866984456382186E-2</v>
      </c>
      <c r="L23" s="42">
        <f t="shared" si="12"/>
        <v>0.2163861071512746</v>
      </c>
      <c r="M23" s="45"/>
      <c r="N23" s="28"/>
      <c r="T23" s="101">
        <f t="shared" si="0"/>
        <v>4.560215965492409E-2</v>
      </c>
      <c r="U23" s="101">
        <f t="shared" si="1"/>
        <v>-1.3555768054320982</v>
      </c>
    </row>
    <row r="24" spans="1:21">
      <c r="A24" s="20">
        <f t="shared" si="14"/>
        <v>1.0995574287564276</v>
      </c>
      <c r="B24" s="23">
        <f t="shared" si="2"/>
        <v>0.4539904997395468</v>
      </c>
      <c r="C24" s="23">
        <f t="shared" si="3"/>
        <v>1.2341439396089824</v>
      </c>
      <c r="D24" s="23">
        <f t="shared" si="4"/>
        <v>0.68245879053360226</v>
      </c>
      <c r="E24" s="23">
        <f t="shared" si="5"/>
        <v>0.89100652418836779</v>
      </c>
      <c r="F24" s="71">
        <f t="shared" si="6"/>
        <v>-0.40250237214834872</v>
      </c>
      <c r="G24" s="71">
        <f t="shared" si="7"/>
        <v>2.534819060155765</v>
      </c>
      <c r="H24" s="99">
        <f t="shared" si="8"/>
        <v>0.10367935754613344</v>
      </c>
      <c r="I24" s="99">
        <f t="shared" si="9"/>
        <v>1.9619838347855727</v>
      </c>
      <c r="J24" s="71">
        <f t="shared" si="10"/>
        <v>-0.18019793421206601</v>
      </c>
      <c r="K24" s="71">
        <f t="shared" si="11"/>
        <v>-9.181543342737046E-2</v>
      </c>
      <c r="L24" s="42">
        <f t="shared" si="12"/>
        <v>0.20224086953371212</v>
      </c>
      <c r="M24" s="45"/>
      <c r="N24" s="28"/>
    </row>
    <row r="25" spans="1:21">
      <c r="A25" s="20">
        <f t="shared" si="14"/>
        <v>0.94247779607693793</v>
      </c>
      <c r="B25" s="23">
        <f t="shared" si="2"/>
        <v>0.58778525229247314</v>
      </c>
      <c r="C25" s="23">
        <f t="shared" si="3"/>
        <v>1.3679386921619088</v>
      </c>
      <c r="D25" s="23">
        <f t="shared" si="4"/>
        <v>0.59094145151724708</v>
      </c>
      <c r="E25" s="23">
        <f t="shared" si="5"/>
        <v>0.80901699437494745</v>
      </c>
      <c r="F25" s="71">
        <f t="shared" si="6"/>
        <v>-0.42546175283411014</v>
      </c>
      <c r="G25" s="71">
        <f t="shared" si="7"/>
        <v>2.5763148015729382</v>
      </c>
      <c r="H25" s="99">
        <f t="shared" si="8"/>
        <v>9.6711332910320413E-2</v>
      </c>
      <c r="I25" s="99">
        <f t="shared" si="9"/>
        <v>1.9577136344613328</v>
      </c>
      <c r="J25" s="71">
        <f t="shared" si="10"/>
        <v>-0.15603349283614304</v>
      </c>
      <c r="K25" s="71">
        <f t="shared" si="11"/>
        <v>-0.11336496833867774</v>
      </c>
      <c r="L25" s="42">
        <f t="shared" si="12"/>
        <v>0.19286800391219924</v>
      </c>
      <c r="M25" s="45"/>
      <c r="N25" s="28"/>
    </row>
    <row r="26" spans="1:21">
      <c r="A26" s="20">
        <f t="shared" si="14"/>
        <v>0.78539816339744828</v>
      </c>
      <c r="B26" s="23">
        <f t="shared" si="2"/>
        <v>0.70710678118654757</v>
      </c>
      <c r="C26" s="23">
        <f t="shared" si="3"/>
        <v>1.4872602210559831</v>
      </c>
      <c r="D26" s="23">
        <f t="shared" si="4"/>
        <v>0.50277796102068784</v>
      </c>
      <c r="E26" s="23">
        <f t="shared" si="5"/>
        <v>0.70710678118654746</v>
      </c>
      <c r="F26" s="71">
        <f t="shared" si="6"/>
        <v>-0.45028271260393649</v>
      </c>
      <c r="G26" s="71">
        <f t="shared" si="7"/>
        <v>2.621175076439739</v>
      </c>
      <c r="H26" s="99">
        <f t="shared" si="8"/>
        <v>9.0245489641216148E-2</v>
      </c>
      <c r="I26" s="99">
        <f t="shared" si="9"/>
        <v>1.9521794471646721</v>
      </c>
      <c r="J26" s="71">
        <f t="shared" si="10"/>
        <v>-0.13275460906942735</v>
      </c>
      <c r="K26" s="71">
        <f t="shared" si="11"/>
        <v>-0.13275460906942738</v>
      </c>
      <c r="L26" s="42">
        <f t="shared" si="12"/>
        <v>0.18774336861352248</v>
      </c>
      <c r="M26" s="45"/>
      <c r="N26" s="28"/>
    </row>
    <row r="27" spans="1:21">
      <c r="A27" s="20">
        <f t="shared" si="14"/>
        <v>0.62831853071795862</v>
      </c>
      <c r="B27" s="23">
        <f t="shared" si="2"/>
        <v>0.80901699437494745</v>
      </c>
      <c r="C27" s="23">
        <f t="shared" si="3"/>
        <v>1.5891704342443829</v>
      </c>
      <c r="D27" s="23">
        <f t="shared" si="4"/>
        <v>0.41601634781966323</v>
      </c>
      <c r="E27" s="23">
        <f t="shared" si="5"/>
        <v>0.58778525229247314</v>
      </c>
      <c r="F27" s="71">
        <f t="shared" si="6"/>
        <v>-0.47892694273782038</v>
      </c>
      <c r="G27" s="71">
        <f t="shared" si="7"/>
        <v>2.6729453564397914</v>
      </c>
      <c r="H27" s="99">
        <f t="shared" si="8"/>
        <v>8.3984004282430247E-2</v>
      </c>
      <c r="I27" s="99">
        <f t="shared" si="9"/>
        <v>1.9448139513794853</v>
      </c>
      <c r="J27" s="71">
        <f t="shared" si="10"/>
        <v>-0.10984588009619982</v>
      </c>
      <c r="K27" s="71">
        <f t="shared" si="11"/>
        <v>-0.15118988340265377</v>
      </c>
      <c r="L27" s="42">
        <f t="shared" si="12"/>
        <v>0.18688097339594725</v>
      </c>
      <c r="M27" s="45"/>
      <c r="N27" s="28"/>
    </row>
    <row r="28" spans="1:21">
      <c r="A28" s="20">
        <f t="shared" si="14"/>
        <v>0.47123889803846897</v>
      </c>
      <c r="B28" s="23">
        <f t="shared" si="2"/>
        <v>0.8910065241883679</v>
      </c>
      <c r="C28" s="23">
        <f t="shared" si="3"/>
        <v>1.6711599640578034</v>
      </c>
      <c r="D28" s="23">
        <f t="shared" si="4"/>
        <v>0.32853438999335438</v>
      </c>
      <c r="E28" s="23">
        <f t="shared" si="5"/>
        <v>0.45399049973954675</v>
      </c>
      <c r="F28" s="71">
        <f t="shared" si="6"/>
        <v>-0.51494302037193695</v>
      </c>
      <c r="G28" s="71">
        <f t="shared" si="7"/>
        <v>2.7380391786478522</v>
      </c>
      <c r="H28" s="99">
        <f t="shared" si="8"/>
        <v>7.7617864461175357E-2</v>
      </c>
      <c r="I28" s="99">
        <f t="shared" si="9"/>
        <v>1.9343323345342118</v>
      </c>
      <c r="J28" s="71">
        <f t="shared" si="10"/>
        <v>-8.6746949728840547E-2</v>
      </c>
      <c r="K28" s="71">
        <f t="shared" si="11"/>
        <v>-0.17025047485834965</v>
      </c>
      <c r="L28" s="42">
        <f t="shared" si="12"/>
        <v>0.1910765749032349</v>
      </c>
      <c r="M28" s="45"/>
      <c r="N28" s="28"/>
    </row>
    <row r="29" spans="1:21">
      <c r="A29" s="20">
        <f t="shared" si="14"/>
        <v>0.31415926535897931</v>
      </c>
      <c r="B29" s="23">
        <f t="shared" si="2"/>
        <v>0.95105651629515353</v>
      </c>
      <c r="C29" s="23">
        <f t="shared" si="3"/>
        <v>1.7312099561645891</v>
      </c>
      <c r="D29" s="23">
        <f t="shared" si="4"/>
        <v>0.23749417661524727</v>
      </c>
      <c r="E29" s="23">
        <f t="shared" si="5"/>
        <v>0.3090169943749474</v>
      </c>
      <c r="F29" s="71">
        <f t="shared" si="6"/>
        <v>-0.56653588446910352</v>
      </c>
      <c r="G29" s="71">
        <f t="shared" si="7"/>
        <v>2.831285776927182</v>
      </c>
      <c r="H29" s="99">
        <f t="shared" si="8"/>
        <v>7.0721527099487203E-2</v>
      </c>
      <c r="I29" s="99">
        <f t="shared" si="9"/>
        <v>1.9173671092138362</v>
      </c>
      <c r="J29" s="71">
        <f t="shared" si="10"/>
        <v>-6.2708489665730172E-2</v>
      </c>
      <c r="K29" s="71">
        <f t="shared" si="11"/>
        <v>-0.19299688628534228</v>
      </c>
      <c r="L29" s="42">
        <f t="shared" si="12"/>
        <v>0.20292893532464593</v>
      </c>
      <c r="M29" s="45"/>
      <c r="N29" s="28"/>
    </row>
    <row r="30" spans="1:21">
      <c r="A30" s="20">
        <f>A29-PI()/2/10+0.00001</f>
        <v>0.15708963267948967</v>
      </c>
      <c r="B30" s="23">
        <f t="shared" si="2"/>
        <v>0.9876867762011029</v>
      </c>
      <c r="C30" s="23">
        <f t="shared" si="3"/>
        <v>1.7678402160705384</v>
      </c>
      <c r="D30" s="23">
        <f t="shared" si="4"/>
        <v>0.13763215051421418</v>
      </c>
      <c r="E30" s="23">
        <f t="shared" si="5"/>
        <v>0.15644434191581494</v>
      </c>
      <c r="F30" s="71">
        <f t="shared" si="6"/>
        <v>-0.6622319435336762</v>
      </c>
      <c r="G30" s="71">
        <f t="shared" si="7"/>
        <v>3.0042424858182333</v>
      </c>
      <c r="H30" s="99">
        <f t="shared" si="8"/>
        <v>6.2413423381173061E-2</v>
      </c>
      <c r="I30" s="99">
        <f t="shared" si="9"/>
        <v>1.8807761191464496</v>
      </c>
      <c r="J30" s="71">
        <f t="shared" si="10"/>
        <v>-3.634069858552786E-2</v>
      </c>
      <c r="K30" s="71">
        <f t="shared" si="11"/>
        <v>-0.22943129161009018</v>
      </c>
      <c r="L30" s="42">
        <f t="shared" si="12"/>
        <v>0.23229154944499902</v>
      </c>
      <c r="M30" s="45"/>
      <c r="N30" s="28"/>
    </row>
    <row r="31" spans="1:21">
      <c r="A31" s="20">
        <f>A30-PI()/2/10+0.0001</f>
        <v>1.1000000000001001E-4</v>
      </c>
      <c r="B31" s="23">
        <f t="shared" si="2"/>
        <v>0.99999999395000005</v>
      </c>
      <c r="C31" s="23">
        <f t="shared" si="3"/>
        <v>1.7801534338194356</v>
      </c>
      <c r="D31" s="23">
        <f t="shared" si="4"/>
        <v>4.7514843148843791E-4</v>
      </c>
      <c r="E31" s="23">
        <f t="shared" si="5"/>
        <v>1.0999999977817667E-4</v>
      </c>
      <c r="F31" s="71">
        <f t="shared" si="6"/>
        <v>-3.2741693090680868</v>
      </c>
      <c r="G31" s="71">
        <f t="shared" si="7"/>
        <v>7.724939398400247</v>
      </c>
      <c r="H31" s="99">
        <f t="shared" si="8"/>
        <v>4.560215965492409E-2</v>
      </c>
      <c r="I31" s="99">
        <f t="shared" si="9"/>
        <v>-1.3555768054320982</v>
      </c>
      <c r="J31" s="71">
        <f t="shared" si="10"/>
        <v>-1.2545924675008517E-4</v>
      </c>
      <c r="K31" s="71">
        <f t="shared" si="11"/>
        <v>-1.1405386022186801</v>
      </c>
      <c r="L31" s="42">
        <f t="shared" si="12"/>
        <v>1.1405386091189387</v>
      </c>
      <c r="M31" s="45"/>
      <c r="N31" s="28"/>
    </row>
    <row r="32" spans="1:21">
      <c r="G32" s="70" t="s">
        <v>67</v>
      </c>
      <c r="H32" s="365">
        <f>SQRT(H31*H31+POWER((I31-Yloch),2))</f>
        <v>3.355886656923782</v>
      </c>
      <c r="I32" s="365"/>
      <c r="M32" s="45"/>
      <c r="N32" s="28"/>
    </row>
    <row r="33" spans="1:60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</row>
    <row r="34" spans="1:60">
      <c r="AU34" s="79" t="s">
        <v>65</v>
      </c>
      <c r="AV34" s="79" t="s">
        <v>66</v>
      </c>
      <c r="AW34" s="79" t="s">
        <v>67</v>
      </c>
    </row>
    <row r="35" spans="1:60">
      <c r="AU35" s="78">
        <f>H31</f>
        <v>4.560215965492409E-2</v>
      </c>
      <c r="AV35" s="78">
        <f>I31</f>
        <v>-1.3555768054320982</v>
      </c>
      <c r="AW35" s="79">
        <f>SQRT(POWER(AU35,2)+(POWER(AV35-Yzielup,2)))</f>
        <v>3.355886656923782</v>
      </c>
    </row>
    <row r="43" spans="1:60">
      <c r="Q43" s="28"/>
      <c r="R43" s="28"/>
      <c r="S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</row>
    <row r="44" spans="1:60">
      <c r="T44" s="28"/>
      <c r="U44" s="28"/>
      <c r="AR44" s="28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</row>
    <row r="45" spans="1:60">
      <c r="AF45" s="7"/>
      <c r="AG45" s="7"/>
      <c r="AH45" s="7"/>
      <c r="AI45" s="7"/>
      <c r="AJ45" s="7"/>
      <c r="AK45" s="7"/>
      <c r="AL45" s="7"/>
      <c r="AM45" s="7"/>
      <c r="AN45" s="7"/>
      <c r="AR45" s="28"/>
      <c r="AS45" s="14"/>
      <c r="AT45" s="5"/>
      <c r="AU45" s="5"/>
      <c r="AV45" s="5"/>
      <c r="AW45" s="5"/>
      <c r="AX45" s="5"/>
      <c r="AY45" s="5"/>
      <c r="AZ45" s="7"/>
      <c r="BA45" s="7"/>
      <c r="BB45" s="7"/>
      <c r="BC45" s="7"/>
      <c r="BD45" s="7"/>
      <c r="BE45" s="7"/>
      <c r="BF45" s="7"/>
      <c r="BG45" s="7"/>
      <c r="BH45" s="7"/>
    </row>
    <row r="46" spans="1:60">
      <c r="AF46" s="7"/>
      <c r="AG46" s="7"/>
      <c r="AH46" s="7"/>
      <c r="AI46" s="7"/>
      <c r="AJ46" s="7"/>
      <c r="AK46" s="7"/>
      <c r="AL46" s="7"/>
      <c r="AM46" s="7"/>
      <c r="AN46" s="7"/>
      <c r="AR46" s="28"/>
      <c r="AS46" s="7"/>
      <c r="AT46" s="5"/>
      <c r="AU46" s="5"/>
      <c r="AV46" s="5"/>
      <c r="AW46" s="5"/>
      <c r="AX46" s="5"/>
      <c r="AY46" s="5"/>
      <c r="AZ46" s="7"/>
      <c r="BA46" s="7"/>
      <c r="BB46" s="15"/>
      <c r="BC46" s="15"/>
      <c r="BD46" s="15"/>
      <c r="BE46" s="15"/>
      <c r="BF46" s="15"/>
      <c r="BG46" s="15"/>
      <c r="BH46" s="7"/>
    </row>
    <row r="47" spans="1:60">
      <c r="AF47" s="7"/>
      <c r="AG47" s="7"/>
      <c r="AH47" s="7"/>
      <c r="AI47" s="7"/>
      <c r="AJ47" s="7"/>
      <c r="AK47" s="7"/>
      <c r="AL47" s="7"/>
      <c r="AM47" s="7"/>
      <c r="AN47" s="7"/>
      <c r="AR47" s="28"/>
      <c r="AS47" s="7"/>
      <c r="AT47" s="5"/>
      <c r="AU47" s="5"/>
      <c r="AV47" s="5"/>
      <c r="AW47" s="5"/>
      <c r="AX47" s="5"/>
      <c r="AY47" s="5"/>
      <c r="AZ47" s="7"/>
      <c r="BA47" s="7"/>
      <c r="BB47" s="16"/>
      <c r="BC47" s="16"/>
      <c r="BD47" s="16"/>
      <c r="BE47" s="16"/>
      <c r="BF47" s="16"/>
      <c r="BG47" s="16"/>
      <c r="BH47" s="7"/>
    </row>
    <row r="48" spans="1:60">
      <c r="AF48" s="17"/>
      <c r="AG48" s="7"/>
      <c r="AH48" s="7"/>
      <c r="AI48" s="7"/>
      <c r="AJ48" s="7"/>
      <c r="AK48" s="7"/>
      <c r="AL48" s="7"/>
      <c r="AM48" s="7"/>
      <c r="AN48" s="7"/>
      <c r="AR48" s="28"/>
    </row>
    <row r="49" spans="32:44">
      <c r="AF49" s="7"/>
      <c r="AG49" s="7"/>
      <c r="AH49" s="7"/>
      <c r="AI49" s="7"/>
      <c r="AJ49" s="7"/>
      <c r="AK49" s="7"/>
      <c r="AL49" s="7"/>
      <c r="AM49" s="7"/>
      <c r="AN49" s="7"/>
      <c r="AR49" s="28"/>
    </row>
    <row r="50" spans="32:44">
      <c r="AF50" s="7"/>
      <c r="AG50" s="7"/>
      <c r="AH50" s="7"/>
      <c r="AI50" s="7"/>
      <c r="AJ50" s="7"/>
      <c r="AK50" s="7"/>
      <c r="AL50" s="7"/>
      <c r="AM50" s="7"/>
      <c r="AN50" s="7"/>
      <c r="AR50" s="28"/>
    </row>
    <row r="51" spans="32:44">
      <c r="AI51" s="9"/>
      <c r="AJ51" s="8"/>
      <c r="AK51" s="8"/>
      <c r="AL51" s="8"/>
      <c r="AM51" s="8"/>
      <c r="AN51" s="8"/>
      <c r="AO51" s="8"/>
      <c r="AP51" s="7"/>
      <c r="AQ51" s="7"/>
    </row>
    <row r="52" spans="32:44">
      <c r="AI52" s="9"/>
      <c r="AJ52" s="8"/>
      <c r="AK52" s="8"/>
      <c r="AL52" s="8"/>
      <c r="AM52" s="8"/>
      <c r="AN52" s="8"/>
      <c r="AO52" s="8"/>
      <c r="AP52" s="7"/>
      <c r="AQ52" s="7"/>
    </row>
    <row r="53" spans="32:44">
      <c r="AI53" s="9"/>
      <c r="AJ53" s="8"/>
      <c r="AK53" s="8"/>
      <c r="AL53" s="8"/>
      <c r="AM53" s="8"/>
      <c r="AN53" s="8"/>
      <c r="AO53" s="8"/>
      <c r="AP53" s="7"/>
      <c r="AQ53" s="7"/>
    </row>
    <row r="54" spans="32:44">
      <c r="AI54" s="9"/>
      <c r="AJ54" s="8"/>
      <c r="AK54" s="8"/>
      <c r="AL54" s="8"/>
      <c r="AM54" s="8"/>
      <c r="AN54" s="8"/>
      <c r="AO54" s="8"/>
      <c r="AP54" s="7"/>
      <c r="AQ54" s="7"/>
    </row>
    <row r="55" spans="32:44">
      <c r="AI55" s="9"/>
      <c r="AJ55" s="8"/>
      <c r="AK55" s="8"/>
      <c r="AL55" s="8"/>
      <c r="AM55" s="8"/>
      <c r="AN55" s="8"/>
      <c r="AO55" s="8"/>
      <c r="AP55" s="7"/>
      <c r="AQ55" s="7"/>
    </row>
    <row r="56" spans="32:44">
      <c r="AI56" s="9"/>
      <c r="AJ56" s="8"/>
      <c r="AK56" s="8"/>
      <c r="AL56" s="8"/>
      <c r="AM56" s="8"/>
      <c r="AN56" s="8"/>
      <c r="AO56" s="8"/>
      <c r="AP56" s="7"/>
      <c r="AQ56" s="7"/>
    </row>
    <row r="57" spans="32:44">
      <c r="AI57" s="9"/>
      <c r="AJ57" s="8"/>
      <c r="AK57" s="8"/>
      <c r="AL57" s="8"/>
      <c r="AM57" s="8"/>
      <c r="AN57" s="8"/>
      <c r="AO57" s="8"/>
      <c r="AP57" s="7"/>
      <c r="AQ57" s="7"/>
    </row>
    <row r="58" spans="32:44">
      <c r="AI58" s="9"/>
      <c r="AJ58" s="8"/>
      <c r="AK58" s="8"/>
      <c r="AL58" s="8"/>
      <c r="AM58" s="8"/>
      <c r="AN58" s="8"/>
      <c r="AO58" s="8"/>
      <c r="AP58" s="7"/>
      <c r="AQ58" s="5"/>
    </row>
    <row r="59" spans="32:44">
      <c r="AI59" s="9"/>
      <c r="AJ59" s="8"/>
      <c r="AK59" s="8"/>
      <c r="AL59" s="8"/>
      <c r="AM59" s="8"/>
      <c r="AN59" s="8"/>
      <c r="AO59" s="8"/>
      <c r="AP59" s="7"/>
      <c r="AQ59" s="7"/>
    </row>
    <row r="60" spans="32:44">
      <c r="AI60" s="7"/>
      <c r="AJ60" s="7"/>
      <c r="AK60" s="7"/>
      <c r="AL60" s="7"/>
      <c r="AM60" s="7"/>
      <c r="AN60" s="7"/>
      <c r="AO60" s="7"/>
      <c r="AP60" s="7"/>
      <c r="AQ60" s="7"/>
    </row>
    <row r="61" spans="32:44">
      <c r="AI61" s="7"/>
      <c r="AJ61" s="7"/>
      <c r="AK61" s="7"/>
      <c r="AL61" s="7"/>
      <c r="AM61" s="7"/>
      <c r="AN61" s="7"/>
      <c r="AO61" s="7"/>
      <c r="AP61" s="7"/>
      <c r="AQ61" s="7"/>
    </row>
    <row r="62" spans="32:44">
      <c r="AI62" s="14"/>
      <c r="AJ62" s="8"/>
      <c r="AK62" s="8"/>
      <c r="AL62" s="8"/>
      <c r="AM62" s="8"/>
      <c r="AN62" s="8"/>
      <c r="AO62" s="8"/>
      <c r="AP62" s="7"/>
      <c r="AQ62" s="7"/>
    </row>
    <row r="63" spans="32:44">
      <c r="AI63" s="9"/>
      <c r="AJ63" s="10"/>
      <c r="AK63" s="10"/>
      <c r="AL63" s="10"/>
      <c r="AM63" s="10"/>
      <c r="AN63" s="10"/>
      <c r="AO63" s="10"/>
      <c r="AP63" s="7"/>
      <c r="AQ63" s="7"/>
    </row>
    <row r="64" spans="32:44">
      <c r="AI64" s="9"/>
      <c r="AJ64" s="10"/>
      <c r="AK64" s="10"/>
      <c r="AL64" s="10"/>
      <c r="AM64" s="10"/>
      <c r="AN64" s="10"/>
      <c r="AO64" s="10"/>
      <c r="AP64" s="7"/>
      <c r="AQ64" s="7"/>
    </row>
    <row r="65" spans="35:43">
      <c r="AI65" s="9"/>
      <c r="AJ65" s="10"/>
      <c r="AK65" s="10"/>
      <c r="AL65" s="10"/>
      <c r="AM65" s="10"/>
      <c r="AN65" s="10"/>
      <c r="AO65" s="10"/>
      <c r="AP65" s="7"/>
      <c r="AQ65" s="7"/>
    </row>
    <row r="66" spans="35:43">
      <c r="AI66" s="9"/>
      <c r="AJ66" s="11"/>
      <c r="AK66" s="12"/>
      <c r="AL66" s="12"/>
      <c r="AM66" s="12"/>
      <c r="AN66" s="11"/>
      <c r="AO66" s="10"/>
      <c r="AP66" s="7"/>
      <c r="AQ66" s="7"/>
    </row>
    <row r="67" spans="35:43">
      <c r="AI67" s="9"/>
      <c r="AJ67" s="11"/>
      <c r="AK67" s="12"/>
      <c r="AL67" s="12"/>
      <c r="AM67" s="12"/>
      <c r="AN67" s="11"/>
      <c r="AO67" s="10"/>
      <c r="AP67" s="7"/>
      <c r="AQ67" s="7"/>
    </row>
    <row r="68" spans="35:43">
      <c r="AI68" s="9"/>
      <c r="AJ68" s="11"/>
      <c r="AK68" s="12"/>
      <c r="AL68" s="12"/>
      <c r="AM68" s="12"/>
      <c r="AN68" s="11"/>
      <c r="AO68" s="10"/>
      <c r="AP68" s="7"/>
      <c r="AQ68" s="13"/>
    </row>
    <row r="69" spans="35:43">
      <c r="AI69" s="9"/>
      <c r="AJ69" s="11"/>
      <c r="AK69" s="12"/>
      <c r="AL69" s="12"/>
      <c r="AM69" s="12"/>
      <c r="AN69" s="11"/>
      <c r="AO69" s="10"/>
      <c r="AP69" s="7"/>
      <c r="AQ69" s="7"/>
    </row>
    <row r="70" spans="35:43">
      <c r="AI70" s="9"/>
      <c r="AJ70" s="11"/>
      <c r="AK70" s="12"/>
      <c r="AL70" s="12"/>
      <c r="AM70" s="12"/>
      <c r="AN70" s="11"/>
      <c r="AO70" s="10"/>
      <c r="AP70" s="7"/>
      <c r="AQ70" s="7"/>
    </row>
    <row r="71" spans="35:43">
      <c r="AI71" s="9"/>
      <c r="AJ71" s="10"/>
      <c r="AK71" s="10"/>
      <c r="AL71" s="10"/>
      <c r="AM71" s="10"/>
      <c r="AN71" s="10"/>
      <c r="AO71" s="10"/>
      <c r="AP71" s="7"/>
      <c r="AQ71" s="7"/>
    </row>
    <row r="72" spans="35:43">
      <c r="AI72" s="9"/>
      <c r="AJ72" s="10"/>
      <c r="AK72" s="10"/>
      <c r="AL72" s="10"/>
      <c r="AM72" s="10"/>
      <c r="AN72" s="10"/>
      <c r="AO72" s="10"/>
      <c r="AP72" s="7"/>
      <c r="AQ72" s="7"/>
    </row>
    <row r="73" spans="35:43">
      <c r="AI73" s="7"/>
      <c r="AJ73" s="7"/>
      <c r="AK73" s="7"/>
      <c r="AL73" s="7"/>
      <c r="AM73" s="7"/>
      <c r="AN73" s="7"/>
      <c r="AO73" s="7"/>
      <c r="AP73" s="7"/>
      <c r="AQ73" s="7"/>
    </row>
    <row r="74" spans="35:43">
      <c r="AI74" s="7"/>
      <c r="AJ74" s="7"/>
      <c r="AK74" s="7"/>
      <c r="AL74" s="7"/>
      <c r="AM74" s="7"/>
      <c r="AN74" s="7"/>
      <c r="AO74" s="7"/>
      <c r="AP74" s="7"/>
      <c r="AQ74" s="7"/>
    </row>
    <row r="75" spans="35:43">
      <c r="AI75" s="7"/>
      <c r="AJ75" s="7"/>
      <c r="AK75" s="7"/>
      <c r="AL75" s="7"/>
      <c r="AM75" s="7"/>
      <c r="AN75" s="7"/>
      <c r="AO75" s="7"/>
      <c r="AP75" s="7"/>
      <c r="AQ75" s="7"/>
    </row>
    <row r="76" spans="35:43">
      <c r="AI76" s="7"/>
      <c r="AJ76" s="7"/>
      <c r="AK76" s="7"/>
      <c r="AL76" s="7"/>
      <c r="AM76" s="7"/>
      <c r="AN76" s="7"/>
      <c r="AO76" s="7"/>
      <c r="AP76" s="7"/>
      <c r="AQ76" s="7"/>
    </row>
    <row r="77" spans="35:43">
      <c r="AI77" s="7"/>
      <c r="AJ77" s="7"/>
      <c r="AK77" s="7"/>
      <c r="AL77" s="7"/>
      <c r="AM77" s="7"/>
      <c r="AN77" s="7"/>
      <c r="AO77" s="7"/>
      <c r="AP77" s="7"/>
      <c r="AQ77" s="7"/>
    </row>
    <row r="78" spans="35:43">
      <c r="AI78" s="7"/>
      <c r="AJ78" s="7"/>
      <c r="AK78" s="7"/>
      <c r="AL78" s="7"/>
      <c r="AM78" s="7"/>
      <c r="AN78" s="7"/>
      <c r="AO78" s="7"/>
      <c r="AP78" s="7"/>
      <c r="AQ78" s="7"/>
    </row>
  </sheetData>
  <mergeCells count="2">
    <mergeCell ref="A1:C1"/>
    <mergeCell ref="H32:I3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BH97"/>
  <sheetViews>
    <sheetView workbookViewId="0">
      <selection sqref="A1:C1"/>
    </sheetView>
  </sheetViews>
  <sheetFormatPr baseColWidth="10" defaultRowHeight="15"/>
  <cols>
    <col min="1" max="56" width="5.7109375" customWidth="1"/>
    <col min="57" max="57" width="11.42578125" customWidth="1"/>
  </cols>
  <sheetData>
    <row r="1" spans="1:56">
      <c r="A1" s="367" t="s">
        <v>5</v>
      </c>
      <c r="B1" s="367"/>
      <c r="C1" s="367"/>
      <c r="D1" s="29" t="s">
        <v>72</v>
      </c>
      <c r="E1" s="29"/>
      <c r="F1" s="87">
        <f>Stufengrün!J46</f>
        <v>3</v>
      </c>
      <c r="G1" s="29" t="s">
        <v>71</v>
      </c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94"/>
      <c r="AV1" s="94"/>
      <c r="AW1" s="94"/>
      <c r="AX1" s="94"/>
      <c r="AY1" s="94"/>
      <c r="AZ1" s="94"/>
      <c r="BA1" s="94"/>
      <c r="BB1" s="94"/>
      <c r="BC1" s="94"/>
      <c r="BD1" s="94"/>
    </row>
    <row r="2" spans="1:56">
      <c r="A2" s="88" t="s">
        <v>73</v>
      </c>
      <c r="B2" s="88"/>
      <c r="C2" s="23" t="str">
        <f>CONCATENATE("m",Stufengrün!J47)</f>
        <v>m-1</v>
      </c>
      <c r="D2" s="23" t="s">
        <v>30</v>
      </c>
      <c r="E2" s="28"/>
      <c r="F2" s="28"/>
      <c r="G2" s="28"/>
      <c r="H2" s="36" t="s">
        <v>57</v>
      </c>
      <c r="I2" s="36" t="s">
        <v>51</v>
      </c>
      <c r="J2" s="36" t="s">
        <v>58</v>
      </c>
      <c r="K2" s="36" t="s">
        <v>59</v>
      </c>
      <c r="L2" s="28"/>
      <c r="M2" s="189" t="s">
        <v>96</v>
      </c>
      <c r="N2" s="28"/>
      <c r="O2" s="28"/>
      <c r="P2" s="28"/>
      <c r="R2" s="88" t="s">
        <v>74</v>
      </c>
      <c r="S2" s="88"/>
      <c r="T2" s="26" t="s">
        <v>65</v>
      </c>
      <c r="U2" s="26" t="s">
        <v>66</v>
      </c>
    </row>
    <row r="3" spans="1:56">
      <c r="A3" s="88" t="s">
        <v>69</v>
      </c>
      <c r="B3" s="88"/>
      <c r="C3" s="90">
        <f>Stufengrün!K47</f>
        <v>1.0323563876231049E-2</v>
      </c>
      <c r="D3" s="26">
        <f>Stufengrün!M47</f>
        <v>-0.42600891691731474</v>
      </c>
      <c r="E3" s="28"/>
      <c r="F3" s="28"/>
      <c r="G3" s="28"/>
      <c r="H3" s="146">
        <v>2</v>
      </c>
      <c r="I3" s="2">
        <f>Ystart</f>
        <v>-2</v>
      </c>
      <c r="J3" s="146">
        <f>'Up-17'!J3</f>
        <v>-1.115</v>
      </c>
      <c r="K3" s="146">
        <f>'Up-17'!K3</f>
        <v>3.4449999999999998</v>
      </c>
      <c r="L3" s="28"/>
      <c r="M3" s="189">
        <f>Yloch</f>
        <v>2</v>
      </c>
      <c r="N3" s="28"/>
      <c r="O3" s="28"/>
      <c r="P3" s="28"/>
      <c r="T3" s="160">
        <f t="shared" ref="T3:U8" si="0">H22</f>
        <v>2</v>
      </c>
      <c r="U3" s="160">
        <f t="shared" si="0"/>
        <v>-2</v>
      </c>
    </row>
    <row r="4" spans="1:56">
      <c r="A4" s="28"/>
      <c r="B4" s="28"/>
      <c r="C4" s="28"/>
      <c r="D4" s="28"/>
      <c r="E4" s="28"/>
      <c r="F4" s="28"/>
      <c r="G4" s="28"/>
      <c r="H4" s="37" t="s">
        <v>8</v>
      </c>
      <c r="I4" s="37" t="s">
        <v>8</v>
      </c>
      <c r="J4" s="37" t="s">
        <v>9</v>
      </c>
      <c r="K4" s="37" t="s">
        <v>9</v>
      </c>
      <c r="L4" s="28"/>
      <c r="M4" s="28"/>
      <c r="N4" s="28"/>
      <c r="O4" s="28"/>
      <c r="P4" s="28"/>
      <c r="T4" s="160">
        <f t="shared" si="0"/>
        <v>1.8906028283817609</v>
      </c>
      <c r="U4" s="160">
        <f t="shared" si="0"/>
        <v>-1.6624906876015897</v>
      </c>
    </row>
    <row r="5" spans="1:56">
      <c r="A5" s="88" t="s">
        <v>68</v>
      </c>
      <c r="B5" s="88"/>
      <c r="C5" s="26" t="s">
        <v>15</v>
      </c>
      <c r="D5" s="26" t="s">
        <v>55</v>
      </c>
      <c r="E5" s="26" t="s">
        <v>12</v>
      </c>
      <c r="F5" s="26" t="s">
        <v>10</v>
      </c>
      <c r="G5" s="26" t="s">
        <v>14</v>
      </c>
      <c r="H5" s="26" t="s">
        <v>21</v>
      </c>
      <c r="I5" s="26" t="s">
        <v>16</v>
      </c>
      <c r="J5" s="26" t="s">
        <v>17</v>
      </c>
      <c r="K5" s="26" t="s">
        <v>23</v>
      </c>
      <c r="L5" s="28"/>
      <c r="M5" s="28"/>
      <c r="N5" s="28"/>
      <c r="O5" s="28"/>
      <c r="P5" s="28"/>
      <c r="T5" s="160">
        <f t="shared" si="0"/>
        <v>1.7858354851529761</v>
      </c>
      <c r="U5" s="160">
        <f t="shared" si="0"/>
        <v>-1.340214158580405</v>
      </c>
    </row>
    <row r="6" spans="1:56">
      <c r="A6" s="28"/>
      <c r="B6" s="28"/>
      <c r="C6" s="23">
        <f>Mü/TAN($C3)</f>
        <v>6.7803632591293521</v>
      </c>
      <c r="D6" s="42">
        <f>SQRT($J3*$J3+$K3*$K3)</f>
        <v>3.6209460089871541</v>
      </c>
      <c r="E6" s="20">
        <f>ATAN($J3/$K3)+PI()</f>
        <v>2.8285755016015774</v>
      </c>
      <c r="F6" s="23">
        <f>($E6-A19-0.0001)/5</f>
        <v>8.6342752660333087E-4</v>
      </c>
      <c r="G6" s="23">
        <f>COS($E6)</f>
        <v>-0.95140882836958685</v>
      </c>
      <c r="H6" s="23">
        <f>SIN($E6)</f>
        <v>0.30793057870307405</v>
      </c>
      <c r="I6" s="23">
        <f>$C6+$G6</f>
        <v>5.8289544307597652</v>
      </c>
      <c r="J6" s="23">
        <f>POWER(TAN($E6/2),$C6)</f>
        <v>273616.59142233862</v>
      </c>
      <c r="K6" s="23">
        <f>-$D6*$D6*SIN($E6)*SIN($E6)/(2*9.81*SIN($C3)*POWER(TAN($E6/2),2*$C6))</f>
        <v>-8.1986800756958569E-11</v>
      </c>
      <c r="L6" s="28"/>
      <c r="M6" s="28"/>
      <c r="N6" s="28"/>
      <c r="O6" s="28"/>
      <c r="P6" s="28"/>
      <c r="T6" s="160">
        <f t="shared" si="0"/>
        <v>1.6854903714833163</v>
      </c>
      <c r="U6" s="160">
        <f t="shared" si="0"/>
        <v>-1.0324450080554795</v>
      </c>
    </row>
    <row r="7" spans="1:56">
      <c r="A7" s="88" t="s">
        <v>70</v>
      </c>
      <c r="B7" s="88"/>
      <c r="C7" s="28"/>
      <c r="D7" s="28"/>
      <c r="E7" s="28"/>
      <c r="F7" s="28"/>
      <c r="G7" s="28"/>
      <c r="H7" s="28"/>
      <c r="I7" s="28"/>
      <c r="J7" s="28"/>
      <c r="K7" s="28"/>
      <c r="L7" s="28"/>
      <c r="M7" s="45"/>
      <c r="N7" s="28"/>
      <c r="O7" s="28"/>
      <c r="P7" s="28"/>
      <c r="T7" s="160">
        <f t="shared" si="0"/>
        <v>1.5893697190967866</v>
      </c>
      <c r="U7" s="160">
        <f t="shared" si="0"/>
        <v>-0.73849418014500645</v>
      </c>
    </row>
    <row r="8" spans="1:56">
      <c r="A8" s="26" t="s">
        <v>11</v>
      </c>
      <c r="B8" s="26" t="s">
        <v>13</v>
      </c>
      <c r="C8" s="26" t="s">
        <v>22</v>
      </c>
      <c r="D8" s="26" t="s">
        <v>18</v>
      </c>
      <c r="E8" s="26" t="s">
        <v>19</v>
      </c>
      <c r="F8" s="26" t="s">
        <v>20</v>
      </c>
      <c r="G8" s="26" t="s">
        <v>2</v>
      </c>
      <c r="H8" s="26" t="s">
        <v>65</v>
      </c>
      <c r="I8" s="26" t="s">
        <v>66</v>
      </c>
      <c r="J8" s="76" t="s">
        <v>3</v>
      </c>
      <c r="K8" s="76" t="s">
        <v>4</v>
      </c>
      <c r="L8" s="44" t="s">
        <v>7</v>
      </c>
      <c r="M8" s="26" t="s">
        <v>64</v>
      </c>
      <c r="N8" s="26" t="s">
        <v>61</v>
      </c>
      <c r="O8" s="26" t="s">
        <v>62</v>
      </c>
      <c r="P8" s="26" t="s">
        <v>63</v>
      </c>
      <c r="T8" s="160">
        <f t="shared" si="0"/>
        <v>1.4972851001031284</v>
      </c>
      <c r="U8" s="160">
        <f t="shared" si="0"/>
        <v>-0.45770705629445185</v>
      </c>
    </row>
    <row r="9" spans="1:56">
      <c r="A9" s="20">
        <f>$E6</f>
        <v>2.8285755016015774</v>
      </c>
      <c r="B9" s="23">
        <f>COS(A9)</f>
        <v>-0.95140882836958685</v>
      </c>
      <c r="C9" s="23">
        <f>($C$6+B9)</f>
        <v>5.8289544307597652</v>
      </c>
      <c r="D9" s="23">
        <f>POWER(TAN(A9/2),$C$6)</f>
        <v>273616.59142233862</v>
      </c>
      <c r="E9" s="23">
        <f>SIN(A9)</f>
        <v>0.30793057870307405</v>
      </c>
      <c r="F9" s="71">
        <f>(C9*$H$6*D9/E9/$I$6/$J$6)</f>
        <v>1</v>
      </c>
      <c r="G9" s="71">
        <f t="shared" ref="G9:G19" si="1">$D$6*($C$6+$G$6)/9.81/SIN($C$3)/(1-$C$6*$C$6)*(F9-1)</f>
        <v>0</v>
      </c>
      <c r="H9" s="75">
        <f t="shared" ref="H9:H19" si="2">-(-$H$3+$K$6*((POWER(TAN(A9/2),2*$C$6-1)/(2*$C$6-1))+(POWER(TAN(A9/2),2*$C$6+1)/(2*$C$6+1))-(POWER(TAN($E$6/2),2*$C$6-1)/(2*$C$6-1))-(POWER(TAN($E$6/2),2*$C$6+1)/(2*$C$6+1))))</f>
        <v>2</v>
      </c>
      <c r="I9" s="75">
        <f t="shared" ref="I9:I19" si="3">-(-$I$3+0.5*$K$6*((POWER(TAN(A9/2),2*$C$6-2)/(2*$C$6-2))-(POWER(TAN(A9/2),2*$C$6+2)/(2*$C$6+2))-(POWER(TAN($E$6/2),2*$C$6-2)/(2*$C$6-2))+(POWER(TAN($E$6/2),2*$C$6+2)/(2*$C$6+2))))</f>
        <v>-2</v>
      </c>
      <c r="J9" s="71">
        <f t="shared" ref="J9:J19" si="4">-$D$6*SIN(A9)*($C$6+$G$6)/($C$6+B9)*F9</f>
        <v>-1.1150000000000007</v>
      </c>
      <c r="K9" s="71">
        <f t="shared" ref="K9:K19" si="5">-$D$6*COS(A9)*($C$6+$G$6)/($C$6+B9)*F9</f>
        <v>3.4449999999999998</v>
      </c>
      <c r="L9" s="42">
        <f>SQRT(J9*J9+K9*K9)</f>
        <v>3.6209460089871541</v>
      </c>
      <c r="M9" s="23">
        <v>3.0000000000000001E-3</v>
      </c>
      <c r="N9" s="75">
        <f t="shared" ref="N9:N19" si="6">-(-$I$3+0.5*$K$6*((POWER(TAN(A9/2),2*$C$6-2)/(2*$C$6-2))-(POWER(TAN(A9/2),2*$C$6+2)/(2*$C$6+2))-(POWER(TAN($E$6/2),2*$C$6-2)/(2*$C$6-2))+(POWER(TAN($E$6/2),2*$C$6+2)/(2*$C$6+2))))-$D$3</f>
        <v>-1.5739910830826853</v>
      </c>
      <c r="O9" s="75">
        <f>-(-$I$3+0.5*$K$6*((POWER(TAN((A9+$M$9)/2),2*$C$6-2)/(2*$C$6-2))-(POWER(TAN((A9+$M$9)/2),2*$C$6+2)/(2*$C$6+2))-(POWER(TAN($E$6/2),2*$C$6-2)/(2*$C$6-2))+(POWER(TAN($E$6/2),2*$C$6+2)/(2*$C$6+2))))-$D$3</f>
        <v>-2.8762820844356853</v>
      </c>
      <c r="P9" s="75">
        <f>A9-N9/(O9-N9)*$M$9</f>
        <v>2.8249496044370095</v>
      </c>
      <c r="T9" s="163">
        <f t="shared" ref="T9:U14" si="7">H49</f>
        <v>1.4868726131993859</v>
      </c>
      <c r="U9" s="163">
        <f t="shared" si="7"/>
        <v>-0.4260089169496617</v>
      </c>
    </row>
    <row r="10" spans="1:56">
      <c r="A10" s="20">
        <f t="shared" ref="A10:A19" si="8">P9</f>
        <v>2.8249496044370095</v>
      </c>
      <c r="B10" s="23">
        <f t="shared" ref="B10:B19" si="9">COS(A10)</f>
        <v>-0.95028605206285688</v>
      </c>
      <c r="C10" s="23">
        <f t="shared" ref="C10:C19" si="10">($C$6+B10)</f>
        <v>5.8300772070664948</v>
      </c>
      <c r="D10" s="23">
        <f t="shared" ref="D10:D19" si="11">POWER(TAN(A10/2),$C$6)</f>
        <v>252732.71189136905</v>
      </c>
      <c r="E10" s="23">
        <f t="shared" ref="E10:E19" si="12">SIN(A10)</f>
        <v>0.31137825751774845</v>
      </c>
      <c r="F10" s="71">
        <f t="shared" ref="F10:F19" si="13">(C10*$H$6*D10/E10/$I$6/$J$6)</f>
        <v>0.91362338938990351</v>
      </c>
      <c r="G10" s="71">
        <f t="shared" si="1"/>
        <v>0.40027910415148366</v>
      </c>
      <c r="H10" s="75">
        <f t="shared" si="2"/>
        <v>1.5706896268380821</v>
      </c>
      <c r="I10" s="75">
        <f t="shared" si="3"/>
        <v>-0.68146834496295994</v>
      </c>
      <c r="J10" s="71">
        <f t="shared" si="4"/>
        <v>-1.0298972452438429</v>
      </c>
      <c r="K10" s="71">
        <f t="shared" si="5"/>
        <v>3.1431128011800822</v>
      </c>
      <c r="L10" s="42">
        <f t="shared" ref="L10:L19" si="14">SQRT(J10*J10+K10*K10)</f>
        <v>3.3075438646680047</v>
      </c>
      <c r="M10" s="28"/>
      <c r="N10" s="75">
        <f t="shared" si="6"/>
        <v>-0.2554594280456452</v>
      </c>
      <c r="O10" s="75">
        <f t="shared" ref="O10:O19" si="15">-(-$I$3+0.5*$K$6*((POWER(TAN((A10+$M$9)/2),2*$C$6-2)/(2*$C$6-2))-(POWER(TAN((A10+$M$9)/2),2*$C$6+2)/(2*$C$6+2))-(POWER(TAN($E$6/2),2*$C$6-2)/(2*$C$6-2))+(POWER(TAN($E$6/2),2*$C$6+2)/(2*$C$6+2))))-$D$3</f>
        <v>-1.3277806321312662</v>
      </c>
      <c r="P10" s="75">
        <f t="shared" ref="P10:P19" si="16">A10-N10/(O10-N10)*$M$9</f>
        <v>2.8242349134645499</v>
      </c>
      <c r="T10" s="163">
        <f t="shared" si="7"/>
        <v>1.3733410197008877</v>
      </c>
      <c r="U10" s="163">
        <f t="shared" si="7"/>
        <v>-0.10380220369942855</v>
      </c>
    </row>
    <row r="11" spans="1:56">
      <c r="A11" s="20">
        <f t="shared" si="8"/>
        <v>2.8242349134645499</v>
      </c>
      <c r="B11" s="23">
        <f t="shared" si="9"/>
        <v>-0.95006327015707526</v>
      </c>
      <c r="C11" s="23">
        <f t="shared" si="10"/>
        <v>5.8302999889722766</v>
      </c>
      <c r="D11" s="23">
        <f t="shared" si="11"/>
        <v>248834.19033388689</v>
      </c>
      <c r="E11" s="23">
        <f t="shared" si="12"/>
        <v>0.31205733879920883</v>
      </c>
      <c r="F11" s="71">
        <f t="shared" si="13"/>
        <v>0.89760710893752615</v>
      </c>
      <c r="G11" s="71">
        <f t="shared" si="1"/>
        <v>0.47450038171764869</v>
      </c>
      <c r="H11" s="75">
        <f t="shared" si="2"/>
        <v>1.494838687273395</v>
      </c>
      <c r="I11" s="75">
        <f t="shared" si="3"/>
        <v>-0.45025862093355751</v>
      </c>
      <c r="J11" s="71">
        <f t="shared" si="4"/>
        <v>-1.0140105933635737</v>
      </c>
      <c r="K11" s="71">
        <f t="shared" si="5"/>
        <v>3.087170530941397</v>
      </c>
      <c r="L11" s="42">
        <f t="shared" si="14"/>
        <v>3.2494367774379818</v>
      </c>
      <c r="M11" s="28"/>
      <c r="N11" s="75">
        <f t="shared" si="6"/>
        <v>-2.4249704016242768E-2</v>
      </c>
      <c r="O11" s="75">
        <f t="shared" si="15"/>
        <v>-1.0565446300958297</v>
      </c>
      <c r="P11" s="75">
        <f t="shared" si="16"/>
        <v>2.8241644402788246</v>
      </c>
      <c r="T11" s="163">
        <f t="shared" si="7"/>
        <v>1.2882988396210591</v>
      </c>
      <c r="U11" s="163">
        <f t="shared" si="7"/>
        <v>0.10604948689384741</v>
      </c>
    </row>
    <row r="12" spans="1:56">
      <c r="A12" s="20">
        <f t="shared" si="8"/>
        <v>2.8241644402788246</v>
      </c>
      <c r="B12" s="23">
        <f t="shared" si="9"/>
        <v>-0.95004127612306899</v>
      </c>
      <c r="C12" s="26">
        <f t="shared" si="10"/>
        <v>5.8303219830062831</v>
      </c>
      <c r="D12" s="26">
        <f t="shared" si="11"/>
        <v>248453.49854745599</v>
      </c>
      <c r="E12" s="26">
        <f t="shared" si="12"/>
        <v>0.31212429200953029</v>
      </c>
      <c r="F12" s="77">
        <f t="shared" si="13"/>
        <v>0.8960449892422554</v>
      </c>
      <c r="G12" s="77">
        <f t="shared" si="1"/>
        <v>0.48173942325660063</v>
      </c>
      <c r="H12" s="75">
        <f t="shared" si="2"/>
        <v>1.4875038373601734</v>
      </c>
      <c r="I12" s="75">
        <f t="shared" si="3"/>
        <v>-0.42793021201945458</v>
      </c>
      <c r="J12" s="77">
        <f t="shared" si="4"/>
        <v>-1.0124592570953161</v>
      </c>
      <c r="K12" s="77">
        <f t="shared" si="5"/>
        <v>3.0817149105590249</v>
      </c>
      <c r="L12" s="91">
        <f t="shared" si="14"/>
        <v>3.2437694950843561</v>
      </c>
      <c r="M12" s="92"/>
      <c r="N12" s="75">
        <f t="shared" si="6"/>
        <v>-1.9212951021398417E-3</v>
      </c>
      <c r="O12" s="75">
        <f t="shared" si="15"/>
        <v>-1.0303558809492628</v>
      </c>
      <c r="P12" s="75">
        <f t="shared" si="16"/>
        <v>2.8241588357558092</v>
      </c>
      <c r="T12" s="163">
        <f t="shared" si="7"/>
        <v>1.2223085500368651</v>
      </c>
      <c r="U12" s="163">
        <f t="shared" si="7"/>
        <v>0.24947221398858432</v>
      </c>
    </row>
    <row r="13" spans="1:56">
      <c r="A13" s="20">
        <f t="shared" si="8"/>
        <v>2.8241588357558092</v>
      </c>
      <c r="B13" s="23">
        <f t="shared" si="9"/>
        <v>-0.95003952680037007</v>
      </c>
      <c r="C13" s="23">
        <f t="shared" si="10"/>
        <v>5.8303237323289823</v>
      </c>
      <c r="D13" s="23">
        <f t="shared" si="11"/>
        <v>248423.25177605689</v>
      </c>
      <c r="E13" s="23">
        <f t="shared" si="12"/>
        <v>0.31212961653282589</v>
      </c>
      <c r="F13" s="71">
        <f t="shared" si="13"/>
        <v>0.89592088988745278</v>
      </c>
      <c r="G13" s="71">
        <f t="shared" si="1"/>
        <v>0.48231451387679641</v>
      </c>
      <c r="H13" s="75">
        <f t="shared" si="2"/>
        <v>1.4869216169799457</v>
      </c>
      <c r="I13" s="75">
        <f t="shared" si="3"/>
        <v>-0.42615807130410555</v>
      </c>
      <c r="J13" s="71">
        <f t="shared" si="4"/>
        <v>-1.0123360001322252</v>
      </c>
      <c r="K13" s="71">
        <f t="shared" si="5"/>
        <v>3.0812815048182163</v>
      </c>
      <c r="L13" s="42">
        <f t="shared" si="14"/>
        <v>3.2433192702998763</v>
      </c>
      <c r="M13" s="28"/>
      <c r="N13" s="75">
        <f t="shared" si="6"/>
        <v>-1.4915438679080628E-4</v>
      </c>
      <c r="O13" s="75">
        <f t="shared" si="15"/>
        <v>-1.0282773950928885</v>
      </c>
      <c r="P13" s="75">
        <f t="shared" si="16"/>
        <v>2.8241584005346541</v>
      </c>
      <c r="T13" s="163">
        <f t="shared" si="7"/>
        <v>1.1696294079601728</v>
      </c>
      <c r="U13" s="163">
        <f t="shared" si="7"/>
        <v>0.35130358808768891</v>
      </c>
    </row>
    <row r="14" spans="1:56">
      <c r="A14" s="20">
        <f t="shared" si="8"/>
        <v>2.8241584005346541</v>
      </c>
      <c r="B14" s="23">
        <f t="shared" si="9"/>
        <v>-0.95003939095486778</v>
      </c>
      <c r="C14" s="23">
        <f t="shared" si="10"/>
        <v>5.8303238681744842</v>
      </c>
      <c r="D14" s="23">
        <f t="shared" si="11"/>
        <v>248420.90312832905</v>
      </c>
      <c r="E14" s="23">
        <f t="shared" si="12"/>
        <v>0.31213003001009659</v>
      </c>
      <c r="F14" s="71">
        <f t="shared" si="13"/>
        <v>0.89591125371886138</v>
      </c>
      <c r="G14" s="71">
        <f t="shared" si="1"/>
        <v>0.48235916898544184</v>
      </c>
      <c r="H14" s="75">
        <f t="shared" si="2"/>
        <v>1.4868764112195709</v>
      </c>
      <c r="I14" s="75">
        <f t="shared" si="3"/>
        <v>-0.42602047709516011</v>
      </c>
      <c r="J14" s="71">
        <f t="shared" si="4"/>
        <v>-1.0123264292863825</v>
      </c>
      <c r="K14" s="71">
        <f t="shared" si="5"/>
        <v>3.0812478514023169</v>
      </c>
      <c r="L14" s="42">
        <f t="shared" si="14"/>
        <v>3.2432843108804246</v>
      </c>
      <c r="M14" s="28"/>
      <c r="N14" s="75">
        <f t="shared" si="6"/>
        <v>-1.1560177845371111E-5</v>
      </c>
      <c r="O14" s="75">
        <f t="shared" si="15"/>
        <v>-1.0281160155866997</v>
      </c>
      <c r="P14" s="75">
        <f t="shared" si="16"/>
        <v>2.8241583668021542</v>
      </c>
      <c r="T14" s="163">
        <f t="shared" si="7"/>
        <v>1.1265827691047376</v>
      </c>
      <c r="U14" s="163">
        <f t="shared" si="7"/>
        <v>0.42586959877572017</v>
      </c>
    </row>
    <row r="15" spans="1:56">
      <c r="A15" s="20">
        <f t="shared" si="8"/>
        <v>2.8241583668021542</v>
      </c>
      <c r="B15" s="23">
        <f t="shared" si="9"/>
        <v>-0.95003938042594105</v>
      </c>
      <c r="C15" s="23">
        <f t="shared" si="10"/>
        <v>5.8303238787034113</v>
      </c>
      <c r="D15" s="23">
        <f t="shared" si="11"/>
        <v>248420.72109375207</v>
      </c>
      <c r="E15" s="23">
        <f t="shared" si="12"/>
        <v>0.3121300620573001</v>
      </c>
      <c r="F15" s="71">
        <f t="shared" si="13"/>
        <v>0.89591050685733709</v>
      </c>
      <c r="G15" s="71">
        <f t="shared" si="1"/>
        <v>0.48236263002726504</v>
      </c>
      <c r="H15" s="75">
        <f t="shared" si="2"/>
        <v>1.4868729075167373</v>
      </c>
      <c r="I15" s="75">
        <f t="shared" si="3"/>
        <v>-0.42600981277197247</v>
      </c>
      <c r="J15" s="71">
        <f t="shared" si="4"/>
        <v>-1.0123256874872384</v>
      </c>
      <c r="K15" s="71">
        <f t="shared" si="5"/>
        <v>3.0812452430585973</v>
      </c>
      <c r="L15" s="42">
        <f t="shared" si="14"/>
        <v>3.2432816013133587</v>
      </c>
      <c r="M15" s="28"/>
      <c r="N15" s="75">
        <f t="shared" si="6"/>
        <v>-8.9585465773422968E-7</v>
      </c>
      <c r="O15" s="75">
        <f t="shared" si="15"/>
        <v>-1.0281035077709364</v>
      </c>
      <c r="P15" s="75">
        <f t="shared" si="16"/>
        <v>2.8241583641880532</v>
      </c>
      <c r="T15" s="164">
        <f t="shared" ref="T15:U20" si="17">H65</f>
        <v>1.1264977994691221</v>
      </c>
      <c r="U15" s="164">
        <f t="shared" si="17"/>
        <v>0.42600891691731457</v>
      </c>
    </row>
    <row r="16" spans="1:56">
      <c r="A16" s="20">
        <f t="shared" si="8"/>
        <v>2.8241583641880532</v>
      </c>
      <c r="B16" s="23">
        <f t="shared" si="9"/>
        <v>-0.95003937961000162</v>
      </c>
      <c r="C16" s="23">
        <f t="shared" si="10"/>
        <v>5.8303238795193506</v>
      </c>
      <c r="D16" s="23">
        <f t="shared" si="11"/>
        <v>248420.70698698374</v>
      </c>
      <c r="E16" s="23">
        <f t="shared" si="12"/>
        <v>0.31213006454079889</v>
      </c>
      <c r="F16" s="71">
        <f t="shared" si="13"/>
        <v>0.89591044897931182</v>
      </c>
      <c r="G16" s="71">
        <f t="shared" si="1"/>
        <v>0.48236289824066148</v>
      </c>
      <c r="H16" s="75">
        <f t="shared" si="2"/>
        <v>1.4868726359974365</v>
      </c>
      <c r="I16" s="75">
        <f t="shared" si="3"/>
        <v>-0.42600898634074369</v>
      </c>
      <c r="J16" s="71">
        <f t="shared" si="4"/>
        <v>-1.0123256300015189</v>
      </c>
      <c r="K16" s="71">
        <f t="shared" si="5"/>
        <v>3.0812450409250327</v>
      </c>
      <c r="L16" s="42">
        <f t="shared" si="14"/>
        <v>3.2432813913354912</v>
      </c>
      <c r="M16" s="28"/>
      <c r="N16" s="75">
        <f t="shared" si="6"/>
        <v>-6.9423428949999533E-8</v>
      </c>
      <c r="O16" s="75">
        <f t="shared" si="15"/>
        <v>-1.0281025384783764</v>
      </c>
      <c r="P16" s="75">
        <f t="shared" si="16"/>
        <v>2.8241583639854757</v>
      </c>
      <c r="T16" s="164">
        <f t="shared" si="17"/>
        <v>0.56682802866357263</v>
      </c>
      <c r="U16" s="164">
        <f t="shared" si="17"/>
        <v>1.3206808305519333</v>
      </c>
    </row>
    <row r="17" spans="1:21">
      <c r="A17" s="20">
        <f t="shared" si="8"/>
        <v>2.8241583639854757</v>
      </c>
      <c r="B17" s="23">
        <f t="shared" si="9"/>
        <v>-0.95003937954677109</v>
      </c>
      <c r="C17" s="23">
        <f t="shared" si="10"/>
        <v>5.8303238795825809</v>
      </c>
      <c r="D17" s="23">
        <f t="shared" si="11"/>
        <v>248420.70589379221</v>
      </c>
      <c r="E17" s="23">
        <f t="shared" si="12"/>
        <v>0.3121300647332555</v>
      </c>
      <c r="F17" s="71">
        <f t="shared" si="13"/>
        <v>0.89591044449410506</v>
      </c>
      <c r="G17" s="71">
        <f t="shared" si="1"/>
        <v>0.48236291902562317</v>
      </c>
      <c r="H17" s="75">
        <f t="shared" si="2"/>
        <v>1.4868726149562876</v>
      </c>
      <c r="I17" s="75">
        <f t="shared" si="3"/>
        <v>-0.42600892229720255</v>
      </c>
      <c r="J17" s="71">
        <f t="shared" si="4"/>
        <v>-1.0123256255467135</v>
      </c>
      <c r="K17" s="71">
        <f t="shared" si="5"/>
        <v>3.0812450252608694</v>
      </c>
      <c r="L17" s="42">
        <f t="shared" si="14"/>
        <v>3.2432813750634399</v>
      </c>
      <c r="M17" s="28"/>
      <c r="N17" s="75">
        <f t="shared" si="6"/>
        <v>-5.3798878130173478E-9</v>
      </c>
      <c r="O17" s="75">
        <f t="shared" si="15"/>
        <v>-1.0281024633639</v>
      </c>
      <c r="P17" s="75">
        <f t="shared" si="16"/>
        <v>2.8241583639697772</v>
      </c>
      <c r="T17" s="164">
        <f t="shared" si="17"/>
        <v>0.29725058999110698</v>
      </c>
      <c r="U17" s="164">
        <f t="shared" si="17"/>
        <v>1.7276824630896499</v>
      </c>
    </row>
    <row r="18" spans="1:21">
      <c r="A18" s="20">
        <f t="shared" si="8"/>
        <v>2.8241583639697772</v>
      </c>
      <c r="B18" s="23">
        <f t="shared" si="9"/>
        <v>-0.95003937954187112</v>
      </c>
      <c r="C18" s="23">
        <f t="shared" si="10"/>
        <v>5.830323879587481</v>
      </c>
      <c r="D18" s="23">
        <f t="shared" si="11"/>
        <v>248420.70580907632</v>
      </c>
      <c r="E18" s="23">
        <f t="shared" si="12"/>
        <v>0.31213006474816979</v>
      </c>
      <c r="F18" s="71">
        <f t="shared" si="13"/>
        <v>0.89591044414652821</v>
      </c>
      <c r="G18" s="71">
        <f t="shared" si="1"/>
        <v>0.48236292063633412</v>
      </c>
      <c r="H18" s="75">
        <f t="shared" si="2"/>
        <v>1.4868726133257284</v>
      </c>
      <c r="I18" s="75">
        <f t="shared" si="3"/>
        <v>-0.42600891733419499</v>
      </c>
      <c r="J18" s="71">
        <f t="shared" si="4"/>
        <v>-1.0123256252014927</v>
      </c>
      <c r="K18" s="71">
        <f t="shared" si="5"/>
        <v>3.0812450240469897</v>
      </c>
      <c r="L18" s="42">
        <f t="shared" si="14"/>
        <v>3.2432813738024531</v>
      </c>
      <c r="M18" s="28"/>
      <c r="N18" s="75">
        <f t="shared" si="6"/>
        <v>-4.168802525406079E-10</v>
      </c>
      <c r="O18" s="75">
        <f t="shared" si="15"/>
        <v>-1.0281024575429598</v>
      </c>
      <c r="P18" s="75">
        <f t="shared" si="16"/>
        <v>2.8241583639685608</v>
      </c>
      <c r="R18" s="84"/>
      <c r="S18" s="84"/>
      <c r="T18" s="40">
        <f t="shared" si="17"/>
        <v>0.1635200656604161</v>
      </c>
      <c r="U18" s="40">
        <f t="shared" si="17"/>
        <v>1.9186109561090325</v>
      </c>
    </row>
    <row r="19" spans="1:21">
      <c r="A19" s="20">
        <f t="shared" si="8"/>
        <v>2.8241583639685608</v>
      </c>
      <c r="B19" s="23">
        <f t="shared" si="9"/>
        <v>-0.95003937954149142</v>
      </c>
      <c r="C19" s="23">
        <f t="shared" si="10"/>
        <v>5.8303238795878602</v>
      </c>
      <c r="D19" s="23">
        <f t="shared" si="11"/>
        <v>248420.70580251268</v>
      </c>
      <c r="E19" s="23">
        <f t="shared" si="12"/>
        <v>0.31213006474932536</v>
      </c>
      <c r="F19" s="71">
        <f t="shared" si="13"/>
        <v>0.8959104441195983</v>
      </c>
      <c r="G19" s="71">
        <f t="shared" si="1"/>
        <v>0.48236292076113035</v>
      </c>
      <c r="H19" s="81">
        <f t="shared" si="2"/>
        <v>1.4868726131993859</v>
      </c>
      <c r="I19" s="81">
        <f t="shared" si="3"/>
        <v>-0.4260089169496617</v>
      </c>
      <c r="J19" s="80">
        <f t="shared" si="4"/>
        <v>-1.0123256251747457</v>
      </c>
      <c r="K19" s="80">
        <f t="shared" si="5"/>
        <v>3.0812450239529396</v>
      </c>
      <c r="L19" s="42">
        <f t="shared" si="14"/>
        <v>3.243281373704753</v>
      </c>
      <c r="M19" s="28"/>
      <c r="N19" s="75">
        <f t="shared" si="6"/>
        <v>-3.234695844511748E-11</v>
      </c>
      <c r="O19" s="75">
        <f t="shared" si="15"/>
        <v>-1.0281024570919386</v>
      </c>
      <c r="P19" s="75">
        <f t="shared" si="16"/>
        <v>2.8241583639684662</v>
      </c>
      <c r="R19" s="84"/>
      <c r="S19" s="84"/>
      <c r="T19" s="40">
        <f t="shared" si="17"/>
        <v>9.537224713169401E-2</v>
      </c>
      <c r="U19" s="40">
        <f t="shared" si="17"/>
        <v>2.0107151785389119</v>
      </c>
    </row>
    <row r="20" spans="1:21">
      <c r="A20" s="88" t="s">
        <v>60</v>
      </c>
      <c r="B20" s="8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R20" s="84"/>
      <c r="S20" s="84"/>
      <c r="T20" s="164">
        <f t="shared" si="17"/>
        <v>5.9779555258425487E-2</v>
      </c>
      <c r="U20" s="164">
        <f t="shared" si="17"/>
        <v>2.0562932421476616</v>
      </c>
    </row>
    <row r="21" spans="1:21">
      <c r="A21" s="26" t="s">
        <v>11</v>
      </c>
      <c r="B21" s="26" t="s">
        <v>13</v>
      </c>
      <c r="C21" s="26" t="s">
        <v>22</v>
      </c>
      <c r="D21" s="26" t="s">
        <v>18</v>
      </c>
      <c r="E21" s="26" t="s">
        <v>19</v>
      </c>
      <c r="F21" s="26" t="s">
        <v>20</v>
      </c>
      <c r="G21" s="26" t="s">
        <v>2</v>
      </c>
      <c r="H21" s="26" t="s">
        <v>1</v>
      </c>
      <c r="I21" s="26" t="s">
        <v>0</v>
      </c>
      <c r="J21" s="76" t="s">
        <v>3</v>
      </c>
      <c r="K21" s="76" t="s">
        <v>4</v>
      </c>
      <c r="L21" s="44" t="s">
        <v>7</v>
      </c>
      <c r="M21" s="44" t="s">
        <v>24</v>
      </c>
      <c r="N21" s="28"/>
      <c r="O21" s="28"/>
      <c r="P21" s="31"/>
      <c r="Q21" s="84"/>
      <c r="R21" s="84"/>
      <c r="S21" s="84"/>
      <c r="T21" s="164">
        <f t="shared" ref="T21:T34" si="18">H71</f>
        <v>4.07651219490337E-2</v>
      </c>
      <c r="U21" s="164">
        <f t="shared" ref="U21:U34" si="19">I71</f>
        <v>2.0793794226190219</v>
      </c>
    </row>
    <row r="22" spans="1:21">
      <c r="A22" s="20">
        <f>$E$6</f>
        <v>2.8285755016015774</v>
      </c>
      <c r="B22" s="23">
        <f t="shared" ref="B22:B27" si="20">COS(A22)</f>
        <v>-0.95140882836958685</v>
      </c>
      <c r="C22" s="23">
        <f t="shared" ref="C22:C27" si="21">($C$6+B22)</f>
        <v>5.8289544307597652</v>
      </c>
      <c r="D22" s="23">
        <f t="shared" ref="D22:D27" si="22">POWER(TAN(A22/2),$C$6)</f>
        <v>273616.59142233862</v>
      </c>
      <c r="E22" s="23">
        <f t="shared" ref="E22:E27" si="23">SIN(A22)</f>
        <v>0.30793057870307405</v>
      </c>
      <c r="F22" s="71">
        <f t="shared" ref="F22:F27" si="24">(C22*$H$6*D22/E22/$I$6/$J$6)</f>
        <v>1</v>
      </c>
      <c r="G22" s="71">
        <f t="shared" ref="G22:G27" si="25">$D$6*($C$6+$G$6)/9.81/SIN($C$3)/(1-$C$6*$C$6)*(F22-1)</f>
        <v>0</v>
      </c>
      <c r="H22" s="98">
        <f t="shared" ref="H22:H27" si="26">-(-$H$3+$K$6*((POWER(TAN(A22/2),2*$C$6-1)/(2*$C$6-1))+(POWER(TAN(A22/2),2*$C$6+1)/(2*$C$6+1))-(POWER(TAN($E$6/2),2*$C$6-1)/(2*$C$6-1))-(POWER(TAN($E$6/2),2*$C$6+1)/(2*$C$6+1))))</f>
        <v>2</v>
      </c>
      <c r="I22" s="98">
        <f t="shared" ref="I22:I27" si="27">-(-$I$3+0.5*$K$6*((POWER(TAN(A22/2),2*$C$6-2)/(2*$C$6-2))-(POWER(TAN(A22/2),2*$C$6+2)/(2*$C$6+2))-(POWER(TAN($E$6/2),2*$C$6-2)/(2*$C$6-2))+(POWER(TAN($E$6/2),2*$C$6+2)/(2*$C$6+2))))</f>
        <v>-2</v>
      </c>
      <c r="J22" s="71">
        <f t="shared" ref="J22:J27" si="28">-$D$6*SIN(A22)*($C$6+$G$6)/($C$6+B22)*F22</f>
        <v>-1.1150000000000007</v>
      </c>
      <c r="K22" s="71">
        <f t="shared" ref="K22:K27" si="29">-$D$6*COS(A22)*($C$6+$G$6)/($C$6+B22)*F22</f>
        <v>3.4449999999999998</v>
      </c>
      <c r="L22" s="72">
        <f t="shared" ref="L22:L27" si="30">SQRT(J22*J22+K22*K22)</f>
        <v>3.6209460089871541</v>
      </c>
      <c r="M22" s="73">
        <f>-K22/J22*H22+I22</f>
        <v>4.1793721973094131</v>
      </c>
      <c r="N22" s="28"/>
      <c r="O22" s="28"/>
      <c r="P22" s="31"/>
      <c r="Q22" s="84"/>
      <c r="R22" s="84"/>
      <c r="S22" s="84"/>
      <c r="T22" s="164">
        <f t="shared" si="18"/>
        <v>3.0393610805445004E-2</v>
      </c>
      <c r="U22" s="164">
        <f t="shared" si="19"/>
        <v>2.0913253900406001</v>
      </c>
    </row>
    <row r="23" spans="1:21">
      <c r="A23" s="20">
        <f>A22-$F$6</f>
        <v>2.8277120740749742</v>
      </c>
      <c r="B23" s="23">
        <f t="shared" si="20"/>
        <v>-0.95114259802369383</v>
      </c>
      <c r="C23" s="23">
        <f t="shared" si="21"/>
        <v>5.8292206611056585</v>
      </c>
      <c r="D23" s="23">
        <f t="shared" si="22"/>
        <v>268470.54731725203</v>
      </c>
      <c r="E23" s="23">
        <f t="shared" si="23"/>
        <v>0.30875193639026455</v>
      </c>
      <c r="F23" s="71">
        <f t="shared" si="24"/>
        <v>0.9786269768647069</v>
      </c>
      <c r="G23" s="71">
        <f t="shared" si="25"/>
        <v>9.9045036534508912E-2</v>
      </c>
      <c r="H23" s="99">
        <f t="shared" si="26"/>
        <v>1.8906028283817609</v>
      </c>
      <c r="I23" s="99">
        <f t="shared" si="27"/>
        <v>-1.6624906876015897</v>
      </c>
      <c r="J23" s="71">
        <f t="shared" si="28"/>
        <v>-1.094029637247711</v>
      </c>
      <c r="K23" s="71">
        <f t="shared" si="29"/>
        <v>3.3702726002385588</v>
      </c>
      <c r="L23" s="42">
        <f t="shared" si="30"/>
        <v>3.5433936060075424</v>
      </c>
      <c r="M23" s="45"/>
      <c r="N23" s="28"/>
      <c r="O23" s="28"/>
      <c r="P23" s="31"/>
      <c r="Q23" s="84"/>
      <c r="R23" s="84"/>
      <c r="S23" s="84"/>
      <c r="T23" s="164">
        <f t="shared" si="18"/>
        <v>2.462672249661968E-2</v>
      </c>
      <c r="U23" s="164">
        <f t="shared" si="19"/>
        <v>2.0976291909957601</v>
      </c>
    </row>
    <row r="24" spans="1:21">
      <c r="A24" s="20">
        <f>A23-$F$6</f>
        <v>2.8268486465483709</v>
      </c>
      <c r="B24" s="23">
        <f t="shared" si="20"/>
        <v>-0.95087565859429102</v>
      </c>
      <c r="C24" s="23">
        <f t="shared" si="21"/>
        <v>5.8294876005350611</v>
      </c>
      <c r="D24" s="23">
        <f t="shared" si="22"/>
        <v>263434.57344510325</v>
      </c>
      <c r="E24" s="23">
        <f t="shared" si="23"/>
        <v>0.30957306390071054</v>
      </c>
      <c r="F24" s="71">
        <f t="shared" si="24"/>
        <v>0.95776666795617071</v>
      </c>
      <c r="G24" s="71">
        <f t="shared" si="25"/>
        <v>0.19571409663370271</v>
      </c>
      <c r="H24" s="99">
        <f t="shared" si="26"/>
        <v>1.7858354851529761</v>
      </c>
      <c r="I24" s="99">
        <f t="shared" si="27"/>
        <v>-1.340214158580405</v>
      </c>
      <c r="J24" s="71">
        <f t="shared" si="28"/>
        <v>-1.0735078156788618</v>
      </c>
      <c r="K24" s="71">
        <f t="shared" si="29"/>
        <v>3.2973555204633342</v>
      </c>
      <c r="L24" s="42">
        <f t="shared" si="30"/>
        <v>3.4677042057611587</v>
      </c>
      <c r="M24" s="45"/>
      <c r="N24" s="28"/>
      <c r="O24" s="28"/>
      <c r="P24" s="28"/>
      <c r="Q24" s="84"/>
      <c r="R24" s="85"/>
      <c r="S24" s="85"/>
      <c r="T24" s="164">
        <f t="shared" si="18"/>
        <v>2.1362667373308941E-2</v>
      </c>
      <c r="U24" s="164">
        <f t="shared" si="19"/>
        <v>2.1010161330459587</v>
      </c>
    </row>
    <row r="25" spans="1:21">
      <c r="A25" s="20">
        <f>A24-$F$6</f>
        <v>2.8259852190217676</v>
      </c>
      <c r="B25" s="23">
        <f t="shared" si="20"/>
        <v>-0.95060801028038344</v>
      </c>
      <c r="C25" s="23">
        <f t="shared" si="21"/>
        <v>5.8297552488489686</v>
      </c>
      <c r="D25" s="23">
        <f t="shared" si="22"/>
        <v>258506.02916696767</v>
      </c>
      <c r="E25" s="23">
        <f t="shared" si="23"/>
        <v>0.31039396062225572</v>
      </c>
      <c r="F25" s="71">
        <f t="shared" si="24"/>
        <v>0.93740543219418038</v>
      </c>
      <c r="G25" s="71">
        <f t="shared" si="25"/>
        <v>0.29007039462525619</v>
      </c>
      <c r="H25" s="99">
        <f t="shared" si="26"/>
        <v>1.6854903714833163</v>
      </c>
      <c r="I25" s="99">
        <f t="shared" si="27"/>
        <v>-1.0324450080554795</v>
      </c>
      <c r="J25" s="71">
        <f t="shared" si="28"/>
        <v>-1.0534237745702619</v>
      </c>
      <c r="K25" s="71">
        <f t="shared" si="29"/>
        <v>3.226200266006356</v>
      </c>
      <c r="L25" s="42">
        <f t="shared" si="30"/>
        <v>3.3938281932368559</v>
      </c>
      <c r="M25" s="45"/>
      <c r="N25" s="28"/>
      <c r="O25" s="28"/>
      <c r="P25" s="28"/>
      <c r="Q25" s="84"/>
      <c r="T25" s="164">
        <f t="shared" si="18"/>
        <v>1.9484532639240104E-2</v>
      </c>
      <c r="U25" s="164">
        <f t="shared" si="19"/>
        <v>2.1028663051806369</v>
      </c>
    </row>
    <row r="26" spans="1:21">
      <c r="A26" s="20">
        <f>A25-$F$6</f>
        <v>2.8251217914951643</v>
      </c>
      <c r="B26" s="23">
        <f t="shared" si="20"/>
        <v>-0.95033965328150494</v>
      </c>
      <c r="C26" s="23">
        <f t="shared" si="21"/>
        <v>5.8300236058478472</v>
      </c>
      <c r="D26" s="23">
        <f t="shared" si="22"/>
        <v>253682.34407493309</v>
      </c>
      <c r="E26" s="23">
        <f t="shared" si="23"/>
        <v>0.31121462594291582</v>
      </c>
      <c r="F26" s="71">
        <f t="shared" si="24"/>
        <v>0.91753002705106612</v>
      </c>
      <c r="G26" s="71">
        <f t="shared" si="25"/>
        <v>0.38217529789873134</v>
      </c>
      <c r="H26" s="99">
        <f t="shared" si="26"/>
        <v>1.5893697190967866</v>
      </c>
      <c r="I26" s="99">
        <f t="shared" si="27"/>
        <v>-0.73849418014500645</v>
      </c>
      <c r="J26" s="71">
        <f t="shared" si="28"/>
        <v>-1.0337670393932759</v>
      </c>
      <c r="K26" s="71">
        <f t="shared" si="29"/>
        <v>3.1567597660755657</v>
      </c>
      <c r="L26" s="42">
        <f t="shared" si="30"/>
        <v>3.3217174040621513</v>
      </c>
      <c r="M26" s="45"/>
      <c r="N26" s="28"/>
      <c r="O26" s="28"/>
      <c r="P26" s="28"/>
      <c r="Q26" s="84"/>
      <c r="T26" s="164">
        <f t="shared" si="18"/>
        <v>1.8387197057951221E-2</v>
      </c>
      <c r="U26" s="164">
        <f t="shared" si="19"/>
        <v>2.1038925347312722</v>
      </c>
    </row>
    <row r="27" spans="1:21">
      <c r="A27" s="20">
        <f>A26-$F$6</f>
        <v>2.824258363968561</v>
      </c>
      <c r="B27" s="23">
        <f t="shared" si="20"/>
        <v>-0.95007058779771747</v>
      </c>
      <c r="C27" s="23">
        <f t="shared" si="21"/>
        <v>5.8302926713316348</v>
      </c>
      <c r="D27" s="23">
        <f t="shared" si="22"/>
        <v>248961.01594142863</v>
      </c>
      <c r="E27" s="23">
        <f t="shared" si="23"/>
        <v>0.31203505925087904</v>
      </c>
      <c r="F27" s="71">
        <f t="shared" si="24"/>
        <v>0.89812759586977031</v>
      </c>
      <c r="G27" s="71">
        <f t="shared" si="25"/>
        <v>0.47208838567508926</v>
      </c>
      <c r="H27" s="99">
        <f t="shared" si="26"/>
        <v>1.4972851001031284</v>
      </c>
      <c r="I27" s="99">
        <f t="shared" si="27"/>
        <v>-0.45770705629445185</v>
      </c>
      <c r="J27" s="71">
        <f t="shared" si="28"/>
        <v>-1.0145274134572455</v>
      </c>
      <c r="K27" s="71">
        <f t="shared" si="29"/>
        <v>3.0889883282803194</v>
      </c>
      <c r="L27" s="42">
        <f t="shared" si="30"/>
        <v>3.2513250783193444</v>
      </c>
      <c r="M27" s="45"/>
      <c r="N27" s="28"/>
      <c r="O27" s="28"/>
      <c r="P27" s="28"/>
      <c r="Q27" s="85"/>
      <c r="T27" s="164">
        <f t="shared" si="18"/>
        <v>1.7736869308924597E-2</v>
      </c>
      <c r="U27" s="164">
        <f t="shared" si="19"/>
        <v>2.1044698062801337</v>
      </c>
    </row>
    <row r="28" spans="1:21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T28" s="164">
        <f t="shared" si="18"/>
        <v>1.7346313913266354E-2</v>
      </c>
      <c r="U28" s="164">
        <f t="shared" si="19"/>
        <v>2.1047987594296043</v>
      </c>
    </row>
    <row r="29" spans="1:21">
      <c r="A29" s="88" t="s">
        <v>73</v>
      </c>
      <c r="B29" s="88"/>
      <c r="C29" s="23" t="str">
        <f>CONCATENATE("m",Stufengrün!J48)</f>
        <v>m0</v>
      </c>
      <c r="D29" s="23" t="s">
        <v>30</v>
      </c>
      <c r="E29" s="28"/>
      <c r="F29" s="28"/>
      <c r="G29" s="28"/>
      <c r="H29" s="36" t="s">
        <v>57</v>
      </c>
      <c r="I29" s="36" t="s">
        <v>51</v>
      </c>
      <c r="J29" s="36" t="s">
        <v>58</v>
      </c>
      <c r="K29" s="36" t="s">
        <v>59</v>
      </c>
      <c r="L29" s="28"/>
      <c r="M29" s="28"/>
      <c r="N29" s="28"/>
      <c r="O29" s="28"/>
      <c r="P29" s="28"/>
      <c r="T29" s="164">
        <f t="shared" si="18"/>
        <v>1.710884659803602E-2</v>
      </c>
      <c r="U29" s="164">
        <f t="shared" si="19"/>
        <v>2.1049884541261434</v>
      </c>
    </row>
    <row r="30" spans="1:21">
      <c r="A30" s="88" t="s">
        <v>69</v>
      </c>
      <c r="B30" s="88"/>
      <c r="C30" s="36">
        <f>Stufengrün!K48</f>
        <v>0.38197186342054879</v>
      </c>
      <c r="D30" s="26">
        <f>Stufengrün!M48</f>
        <v>0.42600891691731474</v>
      </c>
      <c r="E30" s="28"/>
      <c r="F30" s="28"/>
      <c r="G30" s="28"/>
      <c r="H30" s="78">
        <f>H19</f>
        <v>1.4868726131993859</v>
      </c>
      <c r="I30" s="78">
        <f>I19</f>
        <v>-0.4260089169496617</v>
      </c>
      <c r="J30" s="78">
        <f>J19</f>
        <v>-1.0123256251747457</v>
      </c>
      <c r="K30" s="78">
        <f>K19</f>
        <v>3.0812450239529396</v>
      </c>
      <c r="L30" s="28"/>
      <c r="M30" s="28"/>
      <c r="N30" s="28"/>
      <c r="O30" s="28"/>
      <c r="P30" s="28"/>
      <c r="T30" s="164">
        <f t="shared" si="18"/>
        <v>1.6962783372105772E-2</v>
      </c>
      <c r="U30" s="164">
        <f t="shared" si="19"/>
        <v>2.1050990455409608</v>
      </c>
    </row>
    <row r="31" spans="1:21">
      <c r="A31" s="95"/>
      <c r="B31" s="95"/>
      <c r="C31" s="28"/>
      <c r="D31" s="28"/>
      <c r="E31" s="28"/>
      <c r="F31" s="28"/>
      <c r="G31" s="28"/>
      <c r="H31" s="37" t="s">
        <v>8</v>
      </c>
      <c r="I31" s="37" t="s">
        <v>8</v>
      </c>
      <c r="J31" s="37" t="s">
        <v>9</v>
      </c>
      <c r="K31" s="37" t="s">
        <v>9</v>
      </c>
      <c r="L31" s="28"/>
      <c r="M31" s="28"/>
      <c r="N31" s="28"/>
      <c r="O31" s="28"/>
      <c r="P31" s="28"/>
      <c r="T31" s="164">
        <f t="shared" si="18"/>
        <v>1.6871966432813412E-2</v>
      </c>
      <c r="U31" s="164">
        <f t="shared" si="19"/>
        <v>2.1051641685954672</v>
      </c>
    </row>
    <row r="32" spans="1:21">
      <c r="A32" s="88" t="s">
        <v>68</v>
      </c>
      <c r="B32" s="88"/>
      <c r="C32" s="26" t="s">
        <v>15</v>
      </c>
      <c r="D32" s="26" t="s">
        <v>55</v>
      </c>
      <c r="E32" s="26" t="s">
        <v>12</v>
      </c>
      <c r="F32" s="26" t="s">
        <v>10</v>
      </c>
      <c r="G32" s="26" t="s">
        <v>14</v>
      </c>
      <c r="H32" s="26" t="s">
        <v>21</v>
      </c>
      <c r="I32" s="26" t="s">
        <v>16</v>
      </c>
      <c r="J32" s="26" t="s">
        <v>17</v>
      </c>
      <c r="K32" s="26" t="s">
        <v>23</v>
      </c>
      <c r="L32" s="28"/>
      <c r="M32" s="28"/>
      <c r="N32" s="28"/>
      <c r="O32" s="28"/>
      <c r="P32" s="28"/>
      <c r="T32" s="164">
        <f t="shared" si="18"/>
        <v>1.6814926396431895E-2</v>
      </c>
      <c r="U32" s="164">
        <f t="shared" si="19"/>
        <v>2.1052028691477851</v>
      </c>
    </row>
    <row r="33" spans="1:49">
      <c r="A33" s="28"/>
      <c r="B33" s="28"/>
      <c r="C33" s="23">
        <f>Mü/TAN($C30)</f>
        <v>0.17425898005457305</v>
      </c>
      <c r="D33" s="42">
        <f>SQRT($J30*$J30+$K30*$K30)</f>
        <v>3.243281373704753</v>
      </c>
      <c r="E33" s="20">
        <f>ATAN($J30/$K30)+PI()</f>
        <v>2.8241583639685608</v>
      </c>
      <c r="F33" s="23">
        <f>($E33-A46-0.0001)/5</f>
        <v>4.603604683767739E-2</v>
      </c>
      <c r="G33" s="23">
        <f>COS($E33)</f>
        <v>-0.95003937954149142</v>
      </c>
      <c r="H33" s="23">
        <f>SIN($E33)</f>
        <v>0.31213006474932536</v>
      </c>
      <c r="I33" s="23">
        <f>$C33+$G33</f>
        <v>-0.77578039948691835</v>
      </c>
      <c r="J33" s="23">
        <f>POWER(TAN($E33/2),$C33)</f>
        <v>1.3761292501104585</v>
      </c>
      <c r="K33" s="23">
        <f>-$D33*$D33*SIN($E33)*SIN($E33)/(2*9.81*SIN($C30)*POWER(TAN($E33/2),2*$C33))</f>
        <v>-7.3995319579687815E-2</v>
      </c>
      <c r="L33" s="28"/>
      <c r="M33" s="28"/>
      <c r="N33" s="28"/>
      <c r="O33" s="28"/>
      <c r="P33" s="28"/>
      <c r="T33" s="164">
        <f t="shared" si="18"/>
        <v>1.6778760440384177E-2</v>
      </c>
      <c r="U33" s="164">
        <f t="shared" si="19"/>
        <v>2.1052260594466135</v>
      </c>
    </row>
    <row r="34" spans="1:49">
      <c r="A34" s="88" t="s">
        <v>70</v>
      </c>
      <c r="B34" s="8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45"/>
      <c r="N34" s="28"/>
      <c r="O34" s="28"/>
      <c r="P34" s="28"/>
      <c r="T34" s="164">
        <f t="shared" si="18"/>
        <v>1.6755625549719211E-2</v>
      </c>
      <c r="U34" s="164">
        <f t="shared" si="19"/>
        <v>2.1052400602137267</v>
      </c>
      <c r="AU34" s="79" t="s">
        <v>65</v>
      </c>
      <c r="AV34" s="79" t="s">
        <v>66</v>
      </c>
      <c r="AW34" s="79" t="s">
        <v>67</v>
      </c>
    </row>
    <row r="35" spans="1:49">
      <c r="A35" s="26" t="s">
        <v>11</v>
      </c>
      <c r="B35" s="26" t="s">
        <v>13</v>
      </c>
      <c r="C35" s="26" t="s">
        <v>22</v>
      </c>
      <c r="D35" s="26" t="s">
        <v>18</v>
      </c>
      <c r="E35" s="26" t="s">
        <v>19</v>
      </c>
      <c r="F35" s="26" t="s">
        <v>20</v>
      </c>
      <c r="G35" s="26" t="s">
        <v>2</v>
      </c>
      <c r="H35" s="26" t="s">
        <v>65</v>
      </c>
      <c r="I35" s="26" t="s">
        <v>66</v>
      </c>
      <c r="J35" s="76" t="s">
        <v>3</v>
      </c>
      <c r="K35" s="76" t="s">
        <v>4</v>
      </c>
      <c r="L35" s="44" t="s">
        <v>7</v>
      </c>
      <c r="M35" s="93"/>
      <c r="N35" s="26" t="s">
        <v>61</v>
      </c>
      <c r="O35" s="26" t="s">
        <v>62</v>
      </c>
      <c r="P35" s="23" t="s">
        <v>63</v>
      </c>
      <c r="T35" s="164">
        <f>H95</f>
        <v>1.671251976130228E-2</v>
      </c>
      <c r="U35" s="164">
        <f>I95</f>
        <v>2.105262058779938</v>
      </c>
      <c r="W35" s="54" t="s">
        <v>87</v>
      </c>
      <c r="X35" s="28"/>
      <c r="Y35" s="28"/>
      <c r="Z35" s="28"/>
      <c r="AA35" s="183" t="s">
        <v>73</v>
      </c>
      <c r="AB35" s="23" t="str">
        <f>C2</f>
        <v>m-1</v>
      </c>
      <c r="AC35" s="23" t="str">
        <f>C29</f>
        <v>m0</v>
      </c>
      <c r="AD35" s="23" t="str">
        <f>C56</f>
        <v>m1</v>
      </c>
      <c r="AU35" s="78">
        <f>H95</f>
        <v>1.671251976130228E-2</v>
      </c>
      <c r="AV35" s="78">
        <f>I95</f>
        <v>2.105262058779938</v>
      </c>
      <c r="AW35" s="79">
        <f>SQRT(POWER(AU35,2)+(POWER(AV35-Yzielup,2)))</f>
        <v>0.10658052981367207</v>
      </c>
    </row>
    <row r="36" spans="1:49">
      <c r="A36" s="19">
        <f>$E33</f>
        <v>2.8241583639685608</v>
      </c>
      <c r="B36" s="26">
        <f>COS(A36)</f>
        <v>-0.95003937954149142</v>
      </c>
      <c r="C36" s="26">
        <f t="shared" ref="C36:C46" si="31">($C$33+B36)</f>
        <v>-0.77578039948691835</v>
      </c>
      <c r="D36" s="26">
        <f t="shared" ref="D36:D46" si="32">POWER(TAN(A36/2),$C$33)</f>
        <v>1.3761292501104585</v>
      </c>
      <c r="E36" s="26">
        <f>SIN(A36)</f>
        <v>0.31213006474932536</v>
      </c>
      <c r="F36" s="77">
        <f t="shared" ref="F36:F46" si="33">(C36*$H$33*D36/E36/$I$33/$J$33)</f>
        <v>1.0000000000000002</v>
      </c>
      <c r="G36" s="77">
        <f t="shared" ref="G36:G46" si="34">$D$33*($C$33+$G$33)/9.81/SIN($C$30)/(1-$C$33*$C$33)*(F36-1)</f>
        <v>-1.5756804399194097E-16</v>
      </c>
      <c r="H36" s="75">
        <f t="shared" ref="H36:H46" si="35">-(-$H$30+$K$33*((POWER(TAN(A36/2),2*$C$33-1)/(2*$C$33-1))+(POWER(TAN(A36/2),2*$C$33+1)/(2*$C$33+1))-(POWER(TAN($E$33/2),2*$C$33-1)/(2*$C$33-1))-(POWER(TAN($E$33/2),2*$C$33+1)/(2*$C$33+1))))</f>
        <v>1.4868726131993859</v>
      </c>
      <c r="I36" s="75">
        <f t="shared" ref="I36:I46" si="36">-(-$I$30+0.5*$K$33*((POWER(TAN(A36/2),2*$C$33-2)/(2*$C$33-2))-(POWER(TAN(A36/2),2*$C$33+2)/(2*$C$33+2))-(POWER(TAN($E$33/2),2*$C$33-2)/(2*$C$33-2))+(POWER(TAN($E$33/2),2*$C$33+2)/(2*$C$33+2))))</f>
        <v>-0.4260089169496617</v>
      </c>
      <c r="J36" s="77">
        <f t="shared" ref="J36:J46" si="37">-$D$33*SIN(A36)*($C$33+$G$33)/($C$33+B36)*F36</f>
        <v>-1.0123256251747457</v>
      </c>
      <c r="K36" s="77">
        <f t="shared" ref="K36:K46" si="38">-$D$33*COS(A36)*($C$33+$G$33)/($C$33+B36)*F36</f>
        <v>3.0812450239529405</v>
      </c>
      <c r="L36" s="91">
        <f>SQRT(J36*J36+K36*K36)</f>
        <v>3.2432813737047539</v>
      </c>
      <c r="M36" s="93"/>
      <c r="N36" s="75">
        <f t="shared" ref="N36:N46" si="39">-(-$I$30+0.5*$K$33*((POWER(TAN(A36/2),2*$C$33-2)/(2*$C$33-2))-(POWER(TAN(A36/2),2*$C$33+2)/(2*$C$33+2))-(POWER(TAN($E$33/2),2*$C$33-2)/(2*$C$33-2))+(POWER(TAN($E$33/2),2*$C$33+2)/(2*$C$33+2))))-$D$30</f>
        <v>-0.85201783386697638</v>
      </c>
      <c r="O36" s="75">
        <f>-(-$I$30+0.5*$K$33*((POWER(TAN((A36+$M$9)/2),2*$C$33-2)/(2*$C$33-2))-(POWER(TAN((A36+$M$9)/2),2*$C$33+2)/(2*$C$33+2))-(POWER(TAN($E$33/2),2*$C$33-2)/(2*$C$33-2))+(POWER(TAN($E$33/2),2*$C$33+2)/(2*$C$33+2))))-$D$30</f>
        <v>-0.8787072238623852</v>
      </c>
      <c r="P36" s="75">
        <f>A36-N36/(O36-N36)*$M$9</f>
        <v>2.7283879659924128</v>
      </c>
      <c r="W36" s="28"/>
      <c r="X36" s="28"/>
      <c r="Y36" s="28"/>
      <c r="Z36" s="28"/>
      <c r="AA36" s="28"/>
      <c r="AB36" s="20">
        <f>N19</f>
        <v>-3.234695844511748E-11</v>
      </c>
      <c r="AC36" s="20">
        <f>N46</f>
        <v>0</v>
      </c>
      <c r="AD36" s="20"/>
    </row>
    <row r="37" spans="1:49">
      <c r="A37" s="19">
        <f>P36</f>
        <v>2.7283879659924128</v>
      </c>
      <c r="B37" s="26">
        <f>COS(A37)</f>
        <v>-0.9158386972117748</v>
      </c>
      <c r="C37" s="26">
        <f t="shared" si="31"/>
        <v>-0.74157971715720172</v>
      </c>
      <c r="D37" s="26">
        <f t="shared" si="32"/>
        <v>1.3129742072016912</v>
      </c>
      <c r="E37" s="26">
        <f>SIN(A37)</f>
        <v>0.40154636181820796</v>
      </c>
      <c r="F37" s="77">
        <f t="shared" si="33"/>
        <v>0.70895050460391806</v>
      </c>
      <c r="G37" s="77">
        <f t="shared" si="34"/>
        <v>0.20653552789488291</v>
      </c>
      <c r="H37" s="75">
        <f t="shared" si="35"/>
        <v>1.2823878545942289</v>
      </c>
      <c r="I37" s="75">
        <f t="shared" si="36"/>
        <v>0.11959954318170307</v>
      </c>
      <c r="J37" s="77">
        <f t="shared" si="37"/>
        <v>-0.96586671276486546</v>
      </c>
      <c r="K37" s="77">
        <f t="shared" si="38"/>
        <v>2.2029289666413878</v>
      </c>
      <c r="L37" s="91">
        <f>SQRT(J37*J37+K37*K37)</f>
        <v>2.4053678593709735</v>
      </c>
      <c r="M37" s="93"/>
      <c r="N37" s="75">
        <f t="shared" si="39"/>
        <v>-0.30640937373561167</v>
      </c>
      <c r="O37" s="75">
        <f t="shared" ref="O37:O46" si="40">-(-$I$30+0.5*$K$33*((POWER(TAN((A37+$M$9)/2),2*$C$33-2)/(2*$C$33-2))-(POWER(TAN((A37+$M$9)/2),2*$C$33+2)/(2*$C$33+2))-(POWER(TAN($E$33/2),2*$C$33-2)/(2*$C$33-2))+(POWER(TAN($E$33/2),2*$C$33+2)/(2*$C$33+2))))-$D$30</f>
        <v>-0.31736940480731729</v>
      </c>
      <c r="P37" s="75">
        <f t="shared" ref="P37:P46" si="41">A37-N37/(O37-N37)*$M$9</f>
        <v>2.64451702482511</v>
      </c>
    </row>
    <row r="38" spans="1:49">
      <c r="A38" s="19">
        <f t="shared" ref="A38:A46" si="42">P37</f>
        <v>2.64451702482511</v>
      </c>
      <c r="B38" s="26">
        <f t="shared" ref="B38:B46" si="43">COS(A38)</f>
        <v>-0.87898082562945501</v>
      </c>
      <c r="C38" s="26">
        <f t="shared" si="31"/>
        <v>-0.70472184557488193</v>
      </c>
      <c r="D38" s="26">
        <f t="shared" si="32"/>
        <v>1.2699223352791893</v>
      </c>
      <c r="E38" s="26">
        <f t="shared" ref="E38:E46" si="44">SIN(A38)</f>
        <v>0.47685711505204748</v>
      </c>
      <c r="F38" s="77">
        <f t="shared" si="33"/>
        <v>0.54871167728430659</v>
      </c>
      <c r="G38" s="77">
        <f t="shared" si="34"/>
        <v>0.32024474681888337</v>
      </c>
      <c r="H38" s="75">
        <f t="shared" si="35"/>
        <v>1.1743089351829483</v>
      </c>
      <c r="I38" s="75">
        <f t="shared" si="36"/>
        <v>0.34272383865416434</v>
      </c>
      <c r="J38" s="77">
        <f t="shared" si="37"/>
        <v>-0.93419634956650188</v>
      </c>
      <c r="K38" s="77">
        <f t="shared" si="38"/>
        <v>1.7219847470501972</v>
      </c>
      <c r="L38" s="91">
        <f t="shared" ref="L38:L46" si="45">SQRT(J38*J38+K38*K38)</f>
        <v>1.9590697508299468</v>
      </c>
      <c r="M38" s="93"/>
      <c r="N38" s="75">
        <f t="shared" si="39"/>
        <v>-8.3285078263150403E-2</v>
      </c>
      <c r="O38" s="75">
        <f t="shared" si="40"/>
        <v>-8.9148789293187758E-2</v>
      </c>
      <c r="P38" s="75">
        <f t="shared" si="41"/>
        <v>2.6019065971438096</v>
      </c>
    </row>
    <row r="39" spans="1:49">
      <c r="A39" s="19">
        <f t="shared" si="42"/>
        <v>2.6019065971438096</v>
      </c>
      <c r="B39" s="26">
        <f t="shared" si="43"/>
        <v>-0.85787004877351847</v>
      </c>
      <c r="C39" s="26">
        <f t="shared" si="31"/>
        <v>-0.68361106871894539</v>
      </c>
      <c r="D39" s="26">
        <f t="shared" si="32"/>
        <v>1.2510228430454886</v>
      </c>
      <c r="E39" s="26">
        <f t="shared" si="44"/>
        <v>0.51386669420903419</v>
      </c>
      <c r="F39" s="77">
        <f t="shared" si="33"/>
        <v>0.486588039108244</v>
      </c>
      <c r="G39" s="77">
        <f t="shared" si="34"/>
        <v>0.36432913318066956</v>
      </c>
      <c r="H39" s="75">
        <f t="shared" si="35"/>
        <v>1.1334280990673378</v>
      </c>
      <c r="I39" s="75">
        <f t="shared" si="36"/>
        <v>0.41454306142856368</v>
      </c>
      <c r="J39" s="77">
        <f t="shared" si="37"/>
        <v>-0.92029326576137949</v>
      </c>
      <c r="K39" s="77">
        <f t="shared" si="38"/>
        <v>1.5363751682717544</v>
      </c>
      <c r="L39" s="91">
        <f t="shared" si="45"/>
        <v>1.7909182987193488</v>
      </c>
      <c r="M39" s="93"/>
      <c r="N39" s="75">
        <f t="shared" si="39"/>
        <v>-1.1465855488751064E-2</v>
      </c>
      <c r="O39" s="75">
        <f t="shared" si="40"/>
        <v>-1.5900557975390306E-2</v>
      </c>
      <c r="P39" s="75">
        <f t="shared" si="41"/>
        <v>2.5941501430028868</v>
      </c>
    </row>
    <row r="40" spans="1:49">
      <c r="A40" s="19">
        <f t="shared" si="42"/>
        <v>2.5941501430028868</v>
      </c>
      <c r="B40" s="26">
        <f t="shared" si="43"/>
        <v>-0.85385849958235349</v>
      </c>
      <c r="C40" s="26">
        <f t="shared" si="31"/>
        <v>-0.67959951952778042</v>
      </c>
      <c r="D40" s="26">
        <f t="shared" si="32"/>
        <v>1.247757616450843</v>
      </c>
      <c r="E40" s="26">
        <f t="shared" si="44"/>
        <v>0.52050519948505036</v>
      </c>
      <c r="F40" s="77">
        <f t="shared" si="33"/>
        <v>0.47631668439420349</v>
      </c>
      <c r="G40" s="77">
        <f t="shared" si="34"/>
        <v>0.37161792667324373</v>
      </c>
      <c r="H40" s="75">
        <f t="shared" si="35"/>
        <v>1.1267290066408715</v>
      </c>
      <c r="I40" s="75">
        <f t="shared" si="36"/>
        <v>0.42562975101479983</v>
      </c>
      <c r="J40" s="77">
        <f t="shared" si="37"/>
        <v>-0.91789125842558827</v>
      </c>
      <c r="K40" s="77">
        <f t="shared" si="38"/>
        <v>1.5057472115060813</v>
      </c>
      <c r="L40" s="91">
        <f t="shared" si="45"/>
        <v>1.7634622273392899</v>
      </c>
      <c r="M40" s="93"/>
      <c r="N40" s="75">
        <f t="shared" si="39"/>
        <v>-3.7916590251491078E-4</v>
      </c>
      <c r="O40" s="75">
        <f t="shared" si="40"/>
        <v>-4.6037042801506112E-3</v>
      </c>
      <c r="P40" s="75">
        <f t="shared" si="41"/>
        <v>2.5938808833570124</v>
      </c>
    </row>
    <row r="41" spans="1:49">
      <c r="A41" s="19">
        <f t="shared" si="42"/>
        <v>2.5938808833570124</v>
      </c>
      <c r="B41" s="26">
        <f t="shared" si="43"/>
        <v>-0.8537183175856643</v>
      </c>
      <c r="C41" s="26">
        <f t="shared" si="31"/>
        <v>-0.67945933753109122</v>
      </c>
      <c r="D41" s="26">
        <f t="shared" si="32"/>
        <v>1.2476451673122102</v>
      </c>
      <c r="E41" s="26">
        <f t="shared" si="44"/>
        <v>0.5207350902509863</v>
      </c>
      <c r="F41" s="77">
        <f t="shared" si="33"/>
        <v>0.47596529768342405</v>
      </c>
      <c r="G41" s="77">
        <f t="shared" si="34"/>
        <v>0.37186727890011256</v>
      </c>
      <c r="H41" s="75">
        <f t="shared" si="35"/>
        <v>1.1265001387241655</v>
      </c>
      <c r="I41" s="75">
        <f t="shared" si="36"/>
        <v>0.42600508184122199</v>
      </c>
      <c r="J41" s="77">
        <f t="shared" si="37"/>
        <v>-0.91780853716626065</v>
      </c>
      <c r="K41" s="77">
        <f t="shared" si="38"/>
        <v>1.5046997501890658</v>
      </c>
      <c r="L41" s="91">
        <f t="shared" si="45"/>
        <v>1.762524850637377</v>
      </c>
      <c r="M41" s="93"/>
      <c r="N41" s="75">
        <f t="shared" si="39"/>
        <v>-3.8350760927507999E-6</v>
      </c>
      <c r="O41" s="75">
        <f t="shared" si="40"/>
        <v>-4.2213094247452454E-3</v>
      </c>
      <c r="P41" s="75">
        <f t="shared" si="41"/>
        <v>2.5938781553669106</v>
      </c>
    </row>
    <row r="42" spans="1:49">
      <c r="A42" s="19">
        <f t="shared" si="42"/>
        <v>2.5938781553669106</v>
      </c>
      <c r="B42" s="26">
        <f t="shared" si="43"/>
        <v>-0.85371689702231568</v>
      </c>
      <c r="C42" s="26">
        <f t="shared" si="31"/>
        <v>-0.6794579169677426</v>
      </c>
      <c r="D42" s="26">
        <f t="shared" si="32"/>
        <v>1.2476440283454933</v>
      </c>
      <c r="E42" s="26">
        <f t="shared" si="44"/>
        <v>0.52073741918416883</v>
      </c>
      <c r="F42" s="77">
        <f t="shared" si="33"/>
        <v>0.47596173937676389</v>
      </c>
      <c r="G42" s="77">
        <f t="shared" si="34"/>
        <v>0.37186980395772684</v>
      </c>
      <c r="H42" s="75">
        <f t="shared" si="35"/>
        <v>1.1264978212057883</v>
      </c>
      <c r="I42" s="75">
        <f t="shared" si="36"/>
        <v>0.42600888128139125</v>
      </c>
      <c r="J42" s="77">
        <f t="shared" si="37"/>
        <v>-0.91780769930514128</v>
      </c>
      <c r="K42" s="77">
        <f t="shared" si="38"/>
        <v>1.5046891432183769</v>
      </c>
      <c r="L42" s="91">
        <f t="shared" si="45"/>
        <v>1.7625153589750784</v>
      </c>
      <c r="M42" s="93"/>
      <c r="N42" s="75">
        <f t="shared" si="39"/>
        <v>-3.5635923489873989E-8</v>
      </c>
      <c r="O42" s="75">
        <f t="shared" si="40"/>
        <v>-4.2174384931952802E-3</v>
      </c>
      <c r="P42" s="75">
        <f t="shared" si="41"/>
        <v>2.5938781300177149</v>
      </c>
    </row>
    <row r="43" spans="1:49">
      <c r="A43" s="19">
        <f t="shared" si="42"/>
        <v>2.5938781300177149</v>
      </c>
      <c r="B43" s="26">
        <f t="shared" si="43"/>
        <v>-0.8537168838220407</v>
      </c>
      <c r="C43" s="26">
        <f t="shared" si="31"/>
        <v>-0.67945790376746762</v>
      </c>
      <c r="D43" s="26">
        <f t="shared" si="32"/>
        <v>1.2476440177619461</v>
      </c>
      <c r="E43" s="26">
        <f t="shared" si="44"/>
        <v>0.52073744082520523</v>
      </c>
      <c r="F43" s="77">
        <f t="shared" si="33"/>
        <v>0.47596170631221474</v>
      </c>
      <c r="G43" s="77">
        <f t="shared" si="34"/>
        <v>0.37186982742110403</v>
      </c>
      <c r="H43" s="75">
        <f t="shared" si="35"/>
        <v>1.12649779967092</v>
      </c>
      <c r="I43" s="75">
        <f t="shared" si="36"/>
        <v>0.42600891658647932</v>
      </c>
      <c r="J43" s="77">
        <f t="shared" si="37"/>
        <v>-0.91780769151953834</v>
      </c>
      <c r="K43" s="77">
        <f t="shared" si="38"/>
        <v>1.5046890446561396</v>
      </c>
      <c r="L43" s="91">
        <f t="shared" si="45"/>
        <v>1.7625152707765768</v>
      </c>
      <c r="M43" s="93"/>
      <c r="N43" s="75">
        <f t="shared" si="39"/>
        <v>-3.3083541461920163E-10</v>
      </c>
      <c r="O43" s="75">
        <f t="shared" si="40"/>
        <v>-4.2174025237982637E-3</v>
      </c>
      <c r="P43" s="75">
        <f t="shared" si="41"/>
        <v>2.5938781297823792</v>
      </c>
    </row>
    <row r="44" spans="1:49">
      <c r="A44" s="19">
        <f t="shared" si="42"/>
        <v>2.5938781297823792</v>
      </c>
      <c r="B44" s="26">
        <f t="shared" si="43"/>
        <v>-0.85371688369949261</v>
      </c>
      <c r="C44" s="26">
        <f t="shared" si="31"/>
        <v>-0.67945790364491954</v>
      </c>
      <c r="D44" s="26">
        <f t="shared" si="32"/>
        <v>1.2476440176636912</v>
      </c>
      <c r="E44" s="26">
        <f t="shared" si="44"/>
        <v>0.52073744102611541</v>
      </c>
      <c r="F44" s="77">
        <f t="shared" si="33"/>
        <v>0.47596170600525145</v>
      </c>
      <c r="G44" s="77">
        <f t="shared" si="34"/>
        <v>0.37186982763893239</v>
      </c>
      <c r="H44" s="75">
        <f t="shared" si="35"/>
        <v>1.1264977994709955</v>
      </c>
      <c r="I44" s="75">
        <f t="shared" si="36"/>
        <v>0.42600891691424314</v>
      </c>
      <c r="J44" s="77">
        <f t="shared" si="37"/>
        <v>-0.91780769144725871</v>
      </c>
      <c r="K44" s="77">
        <f t="shared" si="38"/>
        <v>1.5046890437411116</v>
      </c>
      <c r="L44" s="91">
        <f t="shared" si="45"/>
        <v>1.7625152699577633</v>
      </c>
      <c r="M44" s="93"/>
      <c r="N44" s="75">
        <f t="shared" si="39"/>
        <v>-3.0715985310791893E-12</v>
      </c>
      <c r="O44" s="75">
        <f t="shared" si="40"/>
        <v>-4.2174021898670477E-3</v>
      </c>
      <c r="P44" s="75">
        <f t="shared" si="41"/>
        <v>2.5938781297801943</v>
      </c>
    </row>
    <row r="45" spans="1:49">
      <c r="A45" s="19">
        <f t="shared" si="42"/>
        <v>2.5938781297801943</v>
      </c>
      <c r="B45" s="26">
        <f t="shared" si="43"/>
        <v>-0.85371688369835486</v>
      </c>
      <c r="C45" s="26">
        <f t="shared" si="31"/>
        <v>-0.67945790364378178</v>
      </c>
      <c r="D45" s="26">
        <f t="shared" si="32"/>
        <v>1.2476440176627788</v>
      </c>
      <c r="E45" s="26">
        <f t="shared" si="44"/>
        <v>0.5207374410279807</v>
      </c>
      <c r="F45" s="77">
        <f t="shared" si="33"/>
        <v>0.47596170600240162</v>
      </c>
      <c r="G45" s="77">
        <f t="shared" si="34"/>
        <v>0.37186982764095472</v>
      </c>
      <c r="H45" s="75">
        <f t="shared" si="35"/>
        <v>1.1264977994691394</v>
      </c>
      <c r="I45" s="75">
        <f t="shared" si="36"/>
        <v>0.42600891691728615</v>
      </c>
      <c r="J45" s="77">
        <f t="shared" si="37"/>
        <v>-0.91780769144658769</v>
      </c>
      <c r="K45" s="77">
        <f t="shared" si="38"/>
        <v>1.5046890437326166</v>
      </c>
      <c r="L45" s="91">
        <f t="shared" si="45"/>
        <v>1.7625152699501616</v>
      </c>
      <c r="M45" s="93"/>
      <c r="N45" s="75">
        <f t="shared" si="39"/>
        <v>-2.8588242884097781E-14</v>
      </c>
      <c r="O45" s="75">
        <f t="shared" si="40"/>
        <v>-4.217402186766861E-3</v>
      </c>
      <c r="P45" s="75">
        <f t="shared" si="41"/>
        <v>2.5938781297801738</v>
      </c>
    </row>
    <row r="46" spans="1:49">
      <c r="A46" s="19">
        <f t="shared" si="42"/>
        <v>2.5938781297801738</v>
      </c>
      <c r="B46" s="26">
        <f t="shared" si="43"/>
        <v>-0.8537168836983442</v>
      </c>
      <c r="C46" s="26">
        <f t="shared" si="31"/>
        <v>-0.67945790364377112</v>
      </c>
      <c r="D46" s="26">
        <f t="shared" si="32"/>
        <v>1.2476440176627703</v>
      </c>
      <c r="E46" s="26">
        <f t="shared" si="44"/>
        <v>0.52073744102799813</v>
      </c>
      <c r="F46" s="77">
        <f t="shared" si="33"/>
        <v>0.47596170600237503</v>
      </c>
      <c r="G46" s="77">
        <f t="shared" si="34"/>
        <v>0.37186982764097354</v>
      </c>
      <c r="H46" s="81">
        <f t="shared" si="35"/>
        <v>1.1264977994691221</v>
      </c>
      <c r="I46" s="81">
        <f t="shared" si="36"/>
        <v>0.42600891691731457</v>
      </c>
      <c r="J46" s="80">
        <f t="shared" si="37"/>
        <v>-0.91780769144658148</v>
      </c>
      <c r="K46" s="80">
        <f t="shared" si="38"/>
        <v>1.5046890437325371</v>
      </c>
      <c r="L46" s="91">
        <f t="shared" si="45"/>
        <v>1.7625152699500903</v>
      </c>
      <c r="M46" s="93"/>
      <c r="N46" s="75">
        <f t="shared" si="39"/>
        <v>0</v>
      </c>
      <c r="O46" s="75">
        <f t="shared" si="40"/>
        <v>-4.2174021867376621E-3</v>
      </c>
      <c r="P46" s="75">
        <f t="shared" si="41"/>
        <v>2.5938781297801738</v>
      </c>
    </row>
    <row r="47" spans="1:49">
      <c r="A47" s="88" t="s">
        <v>60</v>
      </c>
      <c r="B47" s="8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</row>
    <row r="48" spans="1:49">
      <c r="A48" s="26" t="s">
        <v>11</v>
      </c>
      <c r="B48" s="26" t="s">
        <v>13</v>
      </c>
      <c r="C48" s="26" t="s">
        <v>22</v>
      </c>
      <c r="D48" s="26" t="s">
        <v>18</v>
      </c>
      <c r="E48" s="26" t="s">
        <v>19</v>
      </c>
      <c r="F48" s="26" t="s">
        <v>20</v>
      </c>
      <c r="G48" s="26" t="s">
        <v>2</v>
      </c>
      <c r="H48" s="26" t="s">
        <v>1</v>
      </c>
      <c r="I48" s="26" t="s">
        <v>0</v>
      </c>
      <c r="J48" s="76" t="s">
        <v>3</v>
      </c>
      <c r="K48" s="76" t="s">
        <v>4</v>
      </c>
      <c r="L48" s="44" t="s">
        <v>7</v>
      </c>
      <c r="M48" s="28"/>
      <c r="N48" s="28"/>
      <c r="O48" s="28"/>
      <c r="P48" s="31"/>
    </row>
    <row r="49" spans="1:60">
      <c r="A49" s="19">
        <f>$E33</f>
        <v>2.8241583639685608</v>
      </c>
      <c r="B49" s="26">
        <f t="shared" ref="B49:B54" si="46">COS(A49)</f>
        <v>-0.95003937954149142</v>
      </c>
      <c r="C49" s="26">
        <f t="shared" ref="C49:C54" si="47">($C$33+B49)</f>
        <v>-0.77578039948691835</v>
      </c>
      <c r="D49" s="26">
        <f t="shared" ref="D49:D54" si="48">POWER(TAN(A49/2),$C$33)</f>
        <v>1.3761292501104585</v>
      </c>
      <c r="E49" s="26">
        <f t="shared" ref="E49:E54" si="49">SIN(A49)</f>
        <v>0.31213006474932536</v>
      </c>
      <c r="F49" s="77">
        <f t="shared" ref="F49:F54" si="50">(C49*$H$33*D49/E49/$I$33/$J$33)</f>
        <v>1.0000000000000002</v>
      </c>
      <c r="G49" s="77">
        <f t="shared" ref="G49:G54" si="51">$D$33*($C$33+$G$33)/9.81/SIN($C$30)/(1-$C$33*$C$33)*(F49-1)</f>
        <v>-1.5756804399194097E-16</v>
      </c>
      <c r="H49" s="97">
        <f t="shared" ref="H49:H54" si="52">-(-$H$30+$K$33*((POWER(TAN(A49/2),2*$C$33-1)/(2*$C$33-1))+(POWER(TAN(A49/2),2*$C$33+1)/(2*$C$33+1))-(POWER(TAN($E$33/2),2*$C$33-1)/(2*$C$33-1))-(POWER(TAN($E$33/2),2*$C$33+1)/(2*$C$33+1))))</f>
        <v>1.4868726131993859</v>
      </c>
      <c r="I49" s="97">
        <f t="shared" ref="I49:I54" si="53">-(-$I$30+0.5*$K$33*((POWER(TAN(A49/2),2*$C$33-2)/(2*$C$33-2))-(POWER(TAN(A49/2),2*$C$33+2)/(2*$C$33+2))-(POWER(TAN($E$33/2),2*$C$33-2)/(2*$C$33-2))+(POWER(TAN($E$33/2),2*$C$33+2)/(2*$C$33+2))))</f>
        <v>-0.4260089169496617</v>
      </c>
      <c r="J49" s="77">
        <f t="shared" ref="J49:J54" si="54">-$D$33*SIN(A49)*($C$33+$G$33)/($C$33+B49)*F49</f>
        <v>-1.0123256251747457</v>
      </c>
      <c r="K49" s="77">
        <f t="shared" ref="K49:K54" si="55">-$D$33*COS(A49)*($C$33+$G$33)/($C$33+B49)*F49</f>
        <v>3.0812450239529405</v>
      </c>
      <c r="L49" s="91">
        <f t="shared" ref="L49:L54" si="56">SQRT(J49*J49+K49*K49)</f>
        <v>3.2432813737047539</v>
      </c>
      <c r="M49" s="28"/>
      <c r="N49" s="28"/>
      <c r="O49" s="28"/>
      <c r="P49" s="31"/>
      <c r="Q49" s="28"/>
    </row>
    <row r="50" spans="1:60">
      <c r="A50" s="20">
        <f>A49-$F$33</f>
        <v>2.7781223171308835</v>
      </c>
      <c r="B50" s="26">
        <f t="shared" si="46"/>
        <v>-0.93466868040939355</v>
      </c>
      <c r="C50" s="26">
        <f t="shared" si="47"/>
        <v>-0.76040970035482047</v>
      </c>
      <c r="D50" s="26">
        <f t="shared" si="48"/>
        <v>1.3434136369955227</v>
      </c>
      <c r="E50" s="26">
        <f t="shared" si="49"/>
        <v>0.35551998236634047</v>
      </c>
      <c r="F50" s="77">
        <f t="shared" si="50"/>
        <v>0.84009995009645611</v>
      </c>
      <c r="G50" s="77">
        <f t="shared" si="51"/>
        <v>0.11346881454751746</v>
      </c>
      <c r="H50" s="97">
        <f t="shared" si="52"/>
        <v>1.3733410197008877</v>
      </c>
      <c r="I50" s="97">
        <f t="shared" si="53"/>
        <v>-0.10380220369942855</v>
      </c>
      <c r="J50" s="77">
        <f t="shared" si="54"/>
        <v>-0.98825895157058086</v>
      </c>
      <c r="K50" s="77">
        <f t="shared" si="55"/>
        <v>2.598151260075833</v>
      </c>
      <c r="L50" s="91">
        <f t="shared" si="56"/>
        <v>2.7797564147948326</v>
      </c>
      <c r="M50" s="28"/>
      <c r="N50" s="28"/>
      <c r="O50" s="28"/>
      <c r="P50" s="31"/>
      <c r="R50" s="28"/>
      <c r="W50" s="28"/>
      <c r="X50" s="28"/>
      <c r="Y50" s="28"/>
      <c r="Z50" s="28"/>
      <c r="AA50" s="28"/>
      <c r="AB50" s="28"/>
      <c r="AC50" s="28"/>
      <c r="AD50" s="28"/>
      <c r="AE50" s="28"/>
    </row>
    <row r="51" spans="1:60">
      <c r="A51" s="20">
        <f>A50-$F$33</f>
        <v>2.7320862702932063</v>
      </c>
      <c r="B51" s="26">
        <f t="shared" si="46"/>
        <v>-0.9173174712993859</v>
      </c>
      <c r="C51" s="26">
        <f t="shared" si="47"/>
        <v>-0.74305849124481282</v>
      </c>
      <c r="D51" s="26">
        <f t="shared" si="48"/>
        <v>1.3150921169710632</v>
      </c>
      <c r="E51" s="26">
        <f t="shared" si="49"/>
        <v>0.3981565732835517</v>
      </c>
      <c r="F51" s="77">
        <f t="shared" si="50"/>
        <v>0.71756766380249082</v>
      </c>
      <c r="G51" s="77">
        <f t="shared" si="51"/>
        <v>0.20042059022213604</v>
      </c>
      <c r="H51" s="97">
        <f t="shared" si="52"/>
        <v>1.2882988396210591</v>
      </c>
      <c r="I51" s="97">
        <f t="shared" si="53"/>
        <v>0.10604948689384741</v>
      </c>
      <c r="J51" s="77">
        <f t="shared" si="54"/>
        <v>-0.96742471636893912</v>
      </c>
      <c r="K51" s="77">
        <f t="shared" si="55"/>
        <v>2.2288608402807499</v>
      </c>
      <c r="L51" s="91">
        <f t="shared" si="56"/>
        <v>2.429759499863831</v>
      </c>
      <c r="M51" s="45"/>
      <c r="N51" s="28"/>
      <c r="O51" s="28"/>
      <c r="P51" s="31"/>
      <c r="S51" s="28"/>
      <c r="T51" s="28"/>
      <c r="U51" s="28"/>
      <c r="V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</row>
    <row r="52" spans="1:60">
      <c r="A52" s="20">
        <f>A51-$F$33</f>
        <v>2.686050223455529</v>
      </c>
      <c r="B52" s="26">
        <f t="shared" si="46"/>
        <v>-0.89802251844049874</v>
      </c>
      <c r="C52" s="26">
        <f t="shared" si="47"/>
        <v>-0.72376353838592566</v>
      </c>
      <c r="D52" s="26">
        <f t="shared" si="48"/>
        <v>1.2901397961832062</v>
      </c>
      <c r="E52" s="26">
        <f t="shared" si="49"/>
        <v>0.43994949298048308</v>
      </c>
      <c r="F52" s="77">
        <f t="shared" si="50"/>
        <v>0.62053777558923606</v>
      </c>
      <c r="G52" s="77">
        <f t="shared" si="51"/>
        <v>0.26927526786531131</v>
      </c>
      <c r="H52" s="97">
        <f t="shared" si="52"/>
        <v>1.2223085500368651</v>
      </c>
      <c r="I52" s="97">
        <f t="shared" si="53"/>
        <v>0.24947221398858432</v>
      </c>
      <c r="J52" s="77">
        <f t="shared" si="54"/>
        <v>-0.94906897417459157</v>
      </c>
      <c r="K52" s="77">
        <f t="shared" si="55"/>
        <v>1.9372344415903584</v>
      </c>
      <c r="L52" s="91">
        <f t="shared" si="56"/>
        <v>2.1572225660382656</v>
      </c>
      <c r="M52" s="45"/>
      <c r="N52" s="28"/>
      <c r="O52" s="28"/>
      <c r="P52" s="31"/>
      <c r="AR52" s="28"/>
      <c r="AS52" s="7"/>
      <c r="AT52" s="7"/>
      <c r="AU52" s="7"/>
      <c r="AV52" s="7"/>
      <c r="AW52" s="7"/>
      <c r="AX52" s="7"/>
      <c r="AY52" s="7"/>
      <c r="AZ52" s="7"/>
    </row>
    <row r="53" spans="1:60">
      <c r="A53" s="20">
        <f>A52-$F$33</f>
        <v>2.6400141766178518</v>
      </c>
      <c r="B53" s="26">
        <f t="shared" si="46"/>
        <v>-0.87682470674463842</v>
      </c>
      <c r="C53" s="26">
        <f t="shared" si="47"/>
        <v>-0.70256572669006534</v>
      </c>
      <c r="D53" s="26">
        <f t="shared" si="48"/>
        <v>1.2678430172662905</v>
      </c>
      <c r="E53" s="26">
        <f t="shared" si="49"/>
        <v>0.48081018462817404</v>
      </c>
      <c r="F53" s="77">
        <f t="shared" si="50"/>
        <v>0.54164702001346166</v>
      </c>
      <c r="G53" s="77">
        <f t="shared" si="51"/>
        <v>0.3252579928196872</v>
      </c>
      <c r="H53" s="97">
        <f t="shared" si="52"/>
        <v>1.1696294079601728</v>
      </c>
      <c r="I53" s="97">
        <f t="shared" si="53"/>
        <v>0.35130358808768891</v>
      </c>
      <c r="J53" s="77">
        <f t="shared" si="54"/>
        <v>-0.93266673531902067</v>
      </c>
      <c r="K53" s="77">
        <f t="shared" si="55"/>
        <v>1.7008484071921213</v>
      </c>
      <c r="L53" s="91">
        <f t="shared" si="56"/>
        <v>1.9397815710586117</v>
      </c>
      <c r="M53" s="45"/>
      <c r="N53" s="28"/>
      <c r="O53" s="28"/>
      <c r="P53" s="89"/>
      <c r="AF53" s="7"/>
      <c r="AG53" s="7"/>
      <c r="AH53" s="7"/>
      <c r="AI53" s="7"/>
      <c r="AJ53" s="7"/>
      <c r="AK53" s="7"/>
      <c r="AL53" s="7"/>
      <c r="AM53" s="7"/>
      <c r="AN53" s="7"/>
      <c r="AR53" s="28"/>
      <c r="AS53" s="14"/>
      <c r="AT53" s="74"/>
      <c r="AU53" s="74"/>
      <c r="AV53" s="74"/>
      <c r="AW53" s="74"/>
      <c r="AX53" s="74"/>
      <c r="AY53" s="74"/>
      <c r="AZ53" s="7"/>
    </row>
    <row r="54" spans="1:60">
      <c r="A54" s="20">
        <f>A53-$F$33</f>
        <v>2.5939781297801745</v>
      </c>
      <c r="B54" s="26">
        <f t="shared" si="46"/>
        <v>-0.8537689531737761</v>
      </c>
      <c r="C54" s="26">
        <f t="shared" si="47"/>
        <v>-0.67950997311920303</v>
      </c>
      <c r="D54" s="26">
        <f t="shared" si="48"/>
        <v>1.2476857728006432</v>
      </c>
      <c r="E54" s="26">
        <f t="shared" si="49"/>
        <v>0.52065206673608277</v>
      </c>
      <c r="F54" s="77">
        <f t="shared" si="50"/>
        <v>0.47609216585306979</v>
      </c>
      <c r="G54" s="77">
        <f t="shared" si="51"/>
        <v>0.37177725028022035</v>
      </c>
      <c r="H54" s="97">
        <f t="shared" si="52"/>
        <v>1.1265827691047376</v>
      </c>
      <c r="I54" s="97">
        <f t="shared" si="53"/>
        <v>0.42586959877572017</v>
      </c>
      <c r="J54" s="77">
        <f t="shared" si="54"/>
        <v>-0.91783840788985749</v>
      </c>
      <c r="K54" s="77">
        <f t="shared" si="55"/>
        <v>1.505077933521437</v>
      </c>
      <c r="L54" s="91">
        <f t="shared" si="56"/>
        <v>1.7628632757451577</v>
      </c>
      <c r="M54" s="45"/>
      <c r="N54" s="28"/>
      <c r="O54" s="28"/>
      <c r="P54" s="28"/>
      <c r="AF54" s="7"/>
      <c r="AG54" s="7"/>
      <c r="AH54" s="7"/>
      <c r="AI54" s="7"/>
      <c r="AJ54" s="7"/>
      <c r="AK54" s="7"/>
      <c r="AL54" s="7"/>
      <c r="AM54" s="7"/>
      <c r="AN54" s="7"/>
      <c r="AR54" s="28"/>
      <c r="AS54" s="7"/>
      <c r="AT54" s="74"/>
      <c r="AU54" s="74"/>
      <c r="AV54" s="74"/>
      <c r="AW54" s="74"/>
      <c r="AX54" s="74"/>
      <c r="AY54" s="74"/>
      <c r="AZ54" s="7"/>
    </row>
    <row r="55" spans="1:60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AF55" s="7"/>
      <c r="AG55" s="7"/>
      <c r="AH55" s="7"/>
      <c r="AI55" s="7"/>
      <c r="AJ55" s="7"/>
      <c r="AK55" s="7"/>
      <c r="AL55" s="7"/>
      <c r="AM55" s="7"/>
      <c r="AN55" s="7"/>
      <c r="AR55" s="28"/>
      <c r="AS55" s="7"/>
      <c r="AT55" s="74"/>
      <c r="AU55" s="74"/>
      <c r="AV55" s="74"/>
      <c r="AW55" s="74"/>
      <c r="AX55" s="74"/>
      <c r="AY55" s="74"/>
      <c r="AZ55" s="7"/>
      <c r="BA55" s="7"/>
      <c r="BB55" s="7"/>
      <c r="BC55" s="7"/>
      <c r="BD55" s="7"/>
      <c r="BE55" s="7"/>
      <c r="BF55" s="7"/>
      <c r="BG55" s="7"/>
      <c r="BH55" s="7"/>
    </row>
    <row r="56" spans="1:60">
      <c r="A56" s="88" t="s">
        <v>73</v>
      </c>
      <c r="B56" s="88"/>
      <c r="C56" s="23" t="str">
        <f>CONCATENATE("m",Stufengrün!J49)</f>
        <v>m1</v>
      </c>
      <c r="D56" s="23" t="s">
        <v>30</v>
      </c>
      <c r="E56" s="28"/>
      <c r="F56" s="28"/>
      <c r="G56" s="28"/>
      <c r="H56" s="36" t="s">
        <v>57</v>
      </c>
      <c r="I56" s="36" t="s">
        <v>51</v>
      </c>
      <c r="J56" s="36" t="s">
        <v>58</v>
      </c>
      <c r="K56" s="36" t="s">
        <v>59</v>
      </c>
      <c r="L56" s="28"/>
      <c r="M56" s="28"/>
      <c r="N56" s="28"/>
      <c r="O56" s="28"/>
      <c r="P56" s="28"/>
      <c r="AI56" s="9"/>
      <c r="AJ56" s="10"/>
      <c r="AK56" s="10"/>
      <c r="AL56" s="10"/>
      <c r="AM56" s="10"/>
      <c r="AN56" s="10"/>
      <c r="AO56" s="10"/>
      <c r="AP56" s="7"/>
      <c r="AQ56" s="7"/>
      <c r="BA56" s="7"/>
      <c r="BB56" s="7"/>
      <c r="BC56" s="7"/>
      <c r="BD56" s="7"/>
      <c r="BE56" s="7"/>
      <c r="BF56" s="7"/>
      <c r="BG56" s="7"/>
      <c r="BH56" s="7"/>
    </row>
    <row r="57" spans="1:60">
      <c r="A57" s="88" t="s">
        <v>69</v>
      </c>
      <c r="B57" s="88"/>
      <c r="C57" s="90">
        <f>Stufengrün!K49</f>
        <v>1.0323563876231049E-2</v>
      </c>
      <c r="D57" s="26"/>
      <c r="E57" s="28"/>
      <c r="F57" s="28"/>
      <c r="G57" s="28"/>
      <c r="H57" s="78">
        <f>H46</f>
        <v>1.1264977994691221</v>
      </c>
      <c r="I57" s="78">
        <f>I46</f>
        <v>0.42600891691731457</v>
      </c>
      <c r="J57" s="78">
        <f>J46</f>
        <v>-0.91780769144658148</v>
      </c>
      <c r="K57" s="78">
        <f>K46</f>
        <v>1.5046890437325371</v>
      </c>
      <c r="L57" s="28"/>
      <c r="M57" s="28"/>
      <c r="N57" s="28"/>
      <c r="O57" s="28"/>
      <c r="P57" s="28"/>
      <c r="AI57" s="9"/>
      <c r="AJ57" s="10"/>
      <c r="AK57" s="10"/>
      <c r="AL57" s="10"/>
      <c r="AM57" s="10"/>
      <c r="AN57" s="10"/>
      <c r="AO57" s="10"/>
      <c r="AP57" s="7"/>
      <c r="AQ57" s="7"/>
      <c r="BA57" s="7"/>
      <c r="BB57" s="15"/>
      <c r="BC57" s="15"/>
      <c r="BD57" s="15"/>
      <c r="BE57" s="15"/>
      <c r="BF57" s="15"/>
      <c r="BG57" s="15"/>
      <c r="BH57" s="7"/>
    </row>
    <row r="58" spans="1:60">
      <c r="A58" s="95"/>
      <c r="B58" s="95"/>
      <c r="C58" s="28"/>
      <c r="D58" s="28"/>
      <c r="E58" s="28"/>
      <c r="F58" s="28"/>
      <c r="G58" s="28"/>
      <c r="H58" s="37" t="s">
        <v>8</v>
      </c>
      <c r="I58" s="37" t="s">
        <v>8</v>
      </c>
      <c r="J58" s="37" t="s">
        <v>9</v>
      </c>
      <c r="K58" s="37" t="s">
        <v>9</v>
      </c>
      <c r="L58" s="28"/>
      <c r="M58" s="28"/>
      <c r="N58" s="28"/>
      <c r="O58" s="28"/>
      <c r="P58" s="28"/>
      <c r="AI58" s="9"/>
      <c r="AJ58" s="10"/>
      <c r="AK58" s="10"/>
      <c r="AL58" s="10"/>
      <c r="AM58" s="10"/>
      <c r="AN58" s="10"/>
      <c r="AO58" s="10"/>
      <c r="AP58" s="7"/>
      <c r="AQ58" s="7"/>
      <c r="BA58" s="7"/>
      <c r="BB58" s="16"/>
      <c r="BC58" s="16"/>
      <c r="BD58" s="16"/>
      <c r="BE58" s="16"/>
      <c r="BF58" s="16"/>
      <c r="BG58" s="16"/>
      <c r="BH58" s="7"/>
    </row>
    <row r="59" spans="1:60">
      <c r="A59" s="88" t="s">
        <v>68</v>
      </c>
      <c r="B59" s="88"/>
      <c r="C59" s="26" t="s">
        <v>15</v>
      </c>
      <c r="D59" s="26" t="s">
        <v>55</v>
      </c>
      <c r="E59" s="26" t="s">
        <v>12</v>
      </c>
      <c r="F59" s="26" t="s">
        <v>10</v>
      </c>
      <c r="G59" s="26" t="s">
        <v>14</v>
      </c>
      <c r="H59" s="26" t="s">
        <v>21</v>
      </c>
      <c r="I59" s="26" t="s">
        <v>16</v>
      </c>
      <c r="J59" s="26" t="s">
        <v>17</v>
      </c>
      <c r="K59" s="26" t="s">
        <v>23</v>
      </c>
      <c r="L59" s="28"/>
      <c r="M59" s="28"/>
      <c r="N59" s="28"/>
      <c r="O59" s="28"/>
      <c r="P59" s="28"/>
      <c r="AI59" s="9"/>
      <c r="AJ59" s="11"/>
      <c r="AK59" s="12"/>
      <c r="AL59" s="12"/>
      <c r="AM59" s="12"/>
      <c r="AN59" s="11"/>
      <c r="AO59" s="10"/>
      <c r="AP59" s="7"/>
      <c r="AQ59" s="7"/>
    </row>
    <row r="60" spans="1:60">
      <c r="A60" s="28"/>
      <c r="B60" s="28"/>
      <c r="C60" s="23">
        <f>Mü/TAN($C57)</f>
        <v>6.7803632591293521</v>
      </c>
      <c r="D60" s="42">
        <f>SQRT($J57*$J57+$K57*$K57)</f>
        <v>1.7625152699500903</v>
      </c>
      <c r="E60" s="20">
        <f>ATAN($J57/$K57)+PI()</f>
        <v>2.5938781297801734</v>
      </c>
      <c r="F60" s="23">
        <f>($E60-0.0001)/100</f>
        <v>2.5937781297801731E-2</v>
      </c>
      <c r="G60" s="23">
        <f>COS($E60)</f>
        <v>-0.85371688369834398</v>
      </c>
      <c r="H60" s="23">
        <f>SIN($E60)</f>
        <v>0.52073744102799846</v>
      </c>
      <c r="I60" s="23">
        <f>$C60+$G60</f>
        <v>5.9266463754310079</v>
      </c>
      <c r="J60" s="23">
        <f>POWER(TAN($E60/2),$C60)</f>
        <v>5480.9911950085416</v>
      </c>
      <c r="K60" s="23">
        <f>-$D60*$D60*SIN($E60)*SIN($E60)/(2*9.81*SIN($C57)*POWER(TAN($E60/2),2*$C60))</f>
        <v>-1.3844084418117524E-7</v>
      </c>
      <c r="L60" s="28"/>
      <c r="M60" s="28"/>
      <c r="N60" s="28"/>
      <c r="O60" s="28"/>
      <c r="P60" s="28"/>
      <c r="AI60" s="9"/>
      <c r="AJ60" s="11"/>
      <c r="AK60" s="12"/>
      <c r="AL60" s="12"/>
      <c r="AM60" s="12"/>
      <c r="AN60" s="11"/>
      <c r="AO60" s="10"/>
      <c r="AP60" s="7"/>
      <c r="AQ60" s="7"/>
    </row>
    <row r="61" spans="1:60">
      <c r="A61" s="88" t="s">
        <v>70</v>
      </c>
      <c r="B61" s="88"/>
      <c r="C61" s="28"/>
      <c r="D61" s="102" t="s">
        <v>75</v>
      </c>
      <c r="E61" s="102"/>
      <c r="F61" s="102"/>
      <c r="G61" s="102"/>
      <c r="H61" s="28"/>
      <c r="I61" s="28"/>
      <c r="J61" s="28"/>
      <c r="K61" s="28"/>
      <c r="L61" s="28"/>
      <c r="M61" s="45"/>
      <c r="N61" s="28"/>
      <c r="O61" s="28"/>
      <c r="P61" s="28"/>
      <c r="AI61" s="9"/>
      <c r="AJ61" s="11"/>
      <c r="AK61" s="12"/>
      <c r="AL61" s="12"/>
      <c r="AM61" s="12"/>
      <c r="AN61" s="11"/>
      <c r="AO61" s="10"/>
      <c r="AP61" s="7"/>
      <c r="AQ61" s="13"/>
    </row>
    <row r="62" spans="1:60">
      <c r="A62" s="26" t="s">
        <v>11</v>
      </c>
      <c r="B62" s="26" t="s">
        <v>13</v>
      </c>
      <c r="C62" s="26" t="s">
        <v>22</v>
      </c>
      <c r="D62" s="26" t="s">
        <v>18</v>
      </c>
      <c r="E62" s="26" t="s">
        <v>19</v>
      </c>
      <c r="F62" s="26" t="s">
        <v>20</v>
      </c>
      <c r="G62" s="26" t="s">
        <v>2</v>
      </c>
      <c r="H62" s="26" t="s">
        <v>65</v>
      </c>
      <c r="I62" s="26" t="s">
        <v>66</v>
      </c>
      <c r="J62" s="76" t="s">
        <v>3</v>
      </c>
      <c r="K62" s="76" t="s">
        <v>4</v>
      </c>
      <c r="L62" s="44" t="s">
        <v>7</v>
      </c>
      <c r="M62" s="93"/>
      <c r="N62" s="28"/>
      <c r="O62" s="28"/>
      <c r="P62" s="28"/>
      <c r="AI62" s="9"/>
      <c r="AJ62" s="11"/>
      <c r="AK62" s="12"/>
      <c r="AL62" s="12"/>
      <c r="AM62" s="12"/>
      <c r="AN62" s="11"/>
      <c r="AO62" s="10"/>
      <c r="AP62" s="7"/>
      <c r="AQ62" s="7"/>
    </row>
    <row r="63" spans="1:60">
      <c r="A63" s="88" t="s">
        <v>60</v>
      </c>
      <c r="B63" s="8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AI63" s="9"/>
      <c r="AJ63" s="11"/>
      <c r="AK63" s="12"/>
      <c r="AL63" s="12"/>
      <c r="AM63" s="12"/>
      <c r="AN63" s="11"/>
      <c r="AO63" s="10"/>
      <c r="AP63" s="7"/>
      <c r="AQ63" s="7"/>
    </row>
    <row r="64" spans="1:60">
      <c r="A64" s="26" t="s">
        <v>11</v>
      </c>
      <c r="B64" s="26" t="s">
        <v>13</v>
      </c>
      <c r="C64" s="26" t="s">
        <v>22</v>
      </c>
      <c r="D64" s="26" t="s">
        <v>18</v>
      </c>
      <c r="E64" s="26" t="s">
        <v>19</v>
      </c>
      <c r="F64" s="26" t="s">
        <v>20</v>
      </c>
      <c r="G64" s="26" t="s">
        <v>2</v>
      </c>
      <c r="H64" s="26" t="s">
        <v>1</v>
      </c>
      <c r="I64" s="26" t="s">
        <v>0</v>
      </c>
      <c r="J64" s="76" t="s">
        <v>3</v>
      </c>
      <c r="K64" s="76" t="s">
        <v>4</v>
      </c>
      <c r="L64" s="44" t="s">
        <v>7</v>
      </c>
      <c r="M64" s="28"/>
      <c r="N64" s="28"/>
      <c r="O64" s="28"/>
      <c r="P64" s="28"/>
      <c r="AI64" s="9"/>
      <c r="AJ64" s="10"/>
      <c r="AK64" s="10"/>
      <c r="AL64" s="10"/>
      <c r="AM64" s="10"/>
      <c r="AN64" s="10"/>
      <c r="AO64" s="10"/>
      <c r="AP64" s="7"/>
      <c r="AQ64" s="7"/>
    </row>
    <row r="65" spans="1:43">
      <c r="A65" s="19">
        <f>$E60</f>
        <v>2.5938781297801734</v>
      </c>
      <c r="B65" s="26">
        <f>COS(A65)</f>
        <v>-0.85371688369834398</v>
      </c>
      <c r="C65" s="26">
        <f>($C$60+B65)</f>
        <v>5.9266463754310079</v>
      </c>
      <c r="D65" s="26">
        <f t="shared" ref="D65:D70" si="57">POWER(TAN(A65/2),$C$60)</f>
        <v>5480.9911950085416</v>
      </c>
      <c r="E65" s="26">
        <f t="shared" ref="E65:E70" si="58">SIN(A65)</f>
        <v>0.52073744102799846</v>
      </c>
      <c r="F65" s="77">
        <f t="shared" ref="F65:F70" si="59">(C65*$H$60*D65/E65/$I$60/$J$60)</f>
        <v>1</v>
      </c>
      <c r="G65" s="77">
        <f>$D$60*($C$60+$G$60)/9.81/SIN($C$57)/(1-$C$60*$C$60)*(F65-1)</f>
        <v>0</v>
      </c>
      <c r="H65" s="100">
        <f t="shared" ref="H65:H70" si="60">-(-$H$57+$K$60*((POWER(TAN(A65/2),2*$C$60-1)/(2*$C$60-1))+(POWER(TAN(A65/2),2*$C$60+1)/(2*$C$60+1))-(POWER(TAN($E$60/2),2*$C$60-1)/(2*$C$60-1))-(POWER(TAN($E$60/2),2*$C$60+1)/(2*$C$60+1))))</f>
        <v>1.1264977994691221</v>
      </c>
      <c r="I65" s="100">
        <f t="shared" ref="I65:I70" si="61">-(-$I$57+0.5*$K$60*((POWER(TAN(A65/2),2*$C$60-2)/(2*$C$60-2))-(POWER(TAN(A65/2),2*$C$60+2)/(2*$C$60+2))-(POWER(TAN($E$60/2),2*$C$60-2)/(2*$C$60-2))+(POWER(TAN($E$60/2),2*$C$60+2)/(2*$C$60+2))))</f>
        <v>0.42600891691731457</v>
      </c>
      <c r="J65" s="77">
        <f t="shared" ref="J65:J70" si="62">-$D$60*SIN(A65)*($C$60+$G$60)/($C$60+B65)*F65</f>
        <v>-0.91780769144658181</v>
      </c>
      <c r="K65" s="77">
        <f t="shared" ref="K65:K70" si="63">-$D$60*COS(A65)*($C$60+$G$60)/($C$60+B65)*F65</f>
        <v>1.5046890437325366</v>
      </c>
      <c r="L65" s="91">
        <f t="shared" ref="L65:L70" si="64">SQRT(J65*J65+K65*K65)</f>
        <v>1.7625152699500903</v>
      </c>
      <c r="M65" s="28"/>
      <c r="N65" s="28"/>
      <c r="O65" s="28"/>
      <c r="P65" s="28"/>
      <c r="AI65" s="9"/>
      <c r="AJ65" s="10"/>
      <c r="AK65" s="10"/>
      <c r="AL65" s="10"/>
      <c r="AM65" s="10"/>
      <c r="AN65" s="10"/>
      <c r="AO65" s="10"/>
      <c r="AP65" s="7"/>
      <c r="AQ65" s="7"/>
    </row>
    <row r="66" spans="1:43">
      <c r="A66" s="20">
        <f>A65-$F$60</f>
        <v>2.5679403484823715</v>
      </c>
      <c r="B66" s="26">
        <f t="shared" ref="B66:B95" si="65">COS(A66)</f>
        <v>-0.83992446346397764</v>
      </c>
      <c r="C66" s="26">
        <f t="shared" ref="C66:C95" si="66">($C$60+B66)</f>
        <v>5.9404387956653748</v>
      </c>
      <c r="D66" s="26">
        <f t="shared" si="57"/>
        <v>3937.3403478767586</v>
      </c>
      <c r="E66" s="26">
        <f t="shared" si="58"/>
        <v>0.54270332196767446</v>
      </c>
      <c r="F66" s="77">
        <f t="shared" si="59"/>
        <v>0.69089124320596551</v>
      </c>
      <c r="G66" s="77">
        <f t="shared" ref="G66:G95" si="67">$D$60*($C$60+$G$60)/9.81/SIN($C$57)/(1-$C$60*$C$60)*(F66-1)</f>
        <v>0.7089363795840421</v>
      </c>
      <c r="H66" s="100">
        <f t="shared" si="60"/>
        <v>0.56682802866357263</v>
      </c>
      <c r="I66" s="100">
        <f t="shared" si="61"/>
        <v>1.3206808305519333</v>
      </c>
      <c r="J66" s="77">
        <f t="shared" si="62"/>
        <v>-0.65931893092899196</v>
      </c>
      <c r="K66" s="77">
        <f t="shared" si="63"/>
        <v>1.0204066879567801</v>
      </c>
      <c r="L66" s="91">
        <f t="shared" si="64"/>
        <v>1.2148791139484927</v>
      </c>
      <c r="M66" s="28"/>
      <c r="N66" s="28"/>
      <c r="O66" s="28"/>
      <c r="P66" s="28"/>
      <c r="AI66" s="7"/>
      <c r="AJ66" s="7"/>
      <c r="AK66" s="7"/>
      <c r="AL66" s="7"/>
      <c r="AM66" s="7"/>
      <c r="AN66" s="7"/>
      <c r="AO66" s="7"/>
      <c r="AP66" s="7"/>
      <c r="AQ66" s="7"/>
    </row>
    <row r="67" spans="1:43">
      <c r="A67" s="20">
        <f>A66-$F$60</f>
        <v>2.5420025671845696</v>
      </c>
      <c r="B67" s="26">
        <f t="shared" si="65"/>
        <v>-0.82556700018900719</v>
      </c>
      <c r="C67" s="26">
        <f t="shared" si="66"/>
        <v>5.9547962589403447</v>
      </c>
      <c r="D67" s="26">
        <f t="shared" si="57"/>
        <v>2865.5141723753964</v>
      </c>
      <c r="E67" s="26">
        <f t="shared" si="58"/>
        <v>0.56430410967750699</v>
      </c>
      <c r="F67" s="77">
        <f t="shared" si="59"/>
        <v>0.48473785824476806</v>
      </c>
      <c r="G67" s="77">
        <f t="shared" si="67"/>
        <v>1.1817461307188799</v>
      </c>
      <c r="H67" s="100">
        <f t="shared" si="60"/>
        <v>0.29725058999110698</v>
      </c>
      <c r="I67" s="100">
        <f t="shared" si="61"/>
        <v>1.7276824630896499</v>
      </c>
      <c r="J67" s="77">
        <f t="shared" si="62"/>
        <v>-0.4798385645556994</v>
      </c>
      <c r="K67" s="77">
        <f t="shared" si="63"/>
        <v>0.70199539135314215</v>
      </c>
      <c r="L67" s="91">
        <f t="shared" si="64"/>
        <v>0.85031910334645855</v>
      </c>
      <c r="M67" s="45"/>
      <c r="N67" s="28"/>
      <c r="O67" s="28"/>
      <c r="P67" s="31"/>
      <c r="AI67" s="7"/>
      <c r="AJ67" s="7"/>
      <c r="AK67" s="7"/>
      <c r="AL67" s="7"/>
      <c r="AM67" s="7"/>
      <c r="AN67" s="7"/>
      <c r="AO67" s="7"/>
      <c r="AP67" s="7"/>
      <c r="AQ67" s="7"/>
    </row>
    <row r="68" spans="1:43">
      <c r="A68" s="20">
        <f>A67-$F$60</f>
        <v>2.5160647858867677</v>
      </c>
      <c r="B68" s="26">
        <f t="shared" si="65"/>
        <v>-0.81065415258092011</v>
      </c>
      <c r="C68" s="26">
        <f t="shared" si="66"/>
        <v>5.9697091065484322</v>
      </c>
      <c r="D68" s="26">
        <f t="shared" si="57"/>
        <v>2110.2958903372742</v>
      </c>
      <c r="E68" s="26">
        <f t="shared" si="58"/>
        <v>0.58552527264270171</v>
      </c>
      <c r="F68" s="77">
        <f t="shared" si="59"/>
        <v>0.34490664579819752</v>
      </c>
      <c r="G68" s="77">
        <f t="shared" si="67"/>
        <v>1.5024469563210874</v>
      </c>
      <c r="H68" s="100">
        <f t="shared" si="60"/>
        <v>0.1635200656604161</v>
      </c>
      <c r="I68" s="100">
        <f t="shared" si="61"/>
        <v>1.9186109561090325</v>
      </c>
      <c r="J68" s="77">
        <f t="shared" si="62"/>
        <v>-0.35337509776398107</v>
      </c>
      <c r="K68" s="77">
        <f t="shared" si="63"/>
        <v>0.48924445076150641</v>
      </c>
      <c r="L68" s="91">
        <f t="shared" si="64"/>
        <v>0.60351809610038309</v>
      </c>
      <c r="M68" s="45"/>
      <c r="N68" s="28"/>
      <c r="O68" s="28"/>
      <c r="P68" s="31"/>
      <c r="AI68" s="7"/>
      <c r="AJ68" s="7"/>
      <c r="AK68" s="7"/>
      <c r="AL68" s="7"/>
      <c r="AM68" s="7"/>
      <c r="AN68" s="7"/>
      <c r="AO68" s="7"/>
      <c r="AP68" s="7"/>
      <c r="AQ68" s="7"/>
    </row>
    <row r="69" spans="1:43">
      <c r="A69" s="20">
        <f>A68-$F$60</f>
        <v>2.4901270045889659</v>
      </c>
      <c r="B69" s="26">
        <f t="shared" si="65"/>
        <v>-0.7951959529713406</v>
      </c>
      <c r="C69" s="26">
        <f t="shared" si="66"/>
        <v>5.9851673061580115</v>
      </c>
      <c r="D69" s="26">
        <f t="shared" si="57"/>
        <v>1570.9877968124297</v>
      </c>
      <c r="E69" s="26">
        <f t="shared" si="58"/>
        <v>0.60635253473371531</v>
      </c>
      <c r="F69" s="77">
        <f t="shared" si="59"/>
        <v>0.24858481405849592</v>
      </c>
      <c r="G69" s="77">
        <f t="shared" si="67"/>
        <v>1.7233596582991415</v>
      </c>
      <c r="H69" s="100">
        <f t="shared" si="60"/>
        <v>9.537224713169401E-2</v>
      </c>
      <c r="I69" s="100">
        <f t="shared" si="61"/>
        <v>2.0107151785389119</v>
      </c>
      <c r="J69" s="77">
        <f t="shared" si="62"/>
        <v>-0.2630664111258294</v>
      </c>
      <c r="K69" s="77">
        <f t="shared" si="63"/>
        <v>0.34499624147167396</v>
      </c>
      <c r="L69" s="91">
        <f t="shared" si="64"/>
        <v>0.43385060019804678</v>
      </c>
      <c r="M69" s="45"/>
      <c r="N69" s="28"/>
      <c r="O69" s="28"/>
      <c r="P69" s="89"/>
      <c r="AI69" s="7"/>
      <c r="AJ69" s="7"/>
      <c r="AK69" s="7"/>
      <c r="AL69" s="7"/>
      <c r="AM69" s="7"/>
      <c r="AN69" s="7"/>
      <c r="AO69" s="7"/>
      <c r="AP69" s="7"/>
      <c r="AQ69" s="7"/>
    </row>
    <row r="70" spans="1:43">
      <c r="A70" s="20">
        <f>A69-$F$60</f>
        <v>2.464189223291164</v>
      </c>
      <c r="B70" s="26">
        <f t="shared" si="65"/>
        <v>-0.77920280056697044</v>
      </c>
      <c r="C70" s="26">
        <f t="shared" si="66"/>
        <v>6.0011604585623815</v>
      </c>
      <c r="D70" s="26">
        <f t="shared" si="57"/>
        <v>1181.1110038109312</v>
      </c>
      <c r="E70" s="26">
        <f t="shared" si="58"/>
        <v>0.62677188481024737</v>
      </c>
      <c r="F70" s="77">
        <f t="shared" si="59"/>
        <v>0.18128719646420643</v>
      </c>
      <c r="G70" s="77">
        <f t="shared" si="67"/>
        <v>1.8777057527506709</v>
      </c>
      <c r="H70" s="100">
        <f t="shared" si="60"/>
        <v>5.9779555258425487E-2</v>
      </c>
      <c r="I70" s="100">
        <f t="shared" si="61"/>
        <v>2.0562932421476616</v>
      </c>
      <c r="J70" s="77">
        <f t="shared" si="62"/>
        <v>-0.19778042423003314</v>
      </c>
      <c r="K70" s="77">
        <f t="shared" si="63"/>
        <v>0.24588062131092847</v>
      </c>
      <c r="L70" s="91">
        <f t="shared" si="64"/>
        <v>0.31555407800385038</v>
      </c>
      <c r="M70" s="45"/>
      <c r="N70" s="28"/>
      <c r="O70" s="28"/>
      <c r="P70" s="28"/>
      <c r="AI70" s="7"/>
      <c r="AJ70" s="7"/>
      <c r="AK70" s="7"/>
      <c r="AL70" s="7"/>
      <c r="AM70" s="7"/>
      <c r="AN70" s="7"/>
      <c r="AO70" s="7"/>
      <c r="AP70" s="7"/>
      <c r="AQ70" s="7"/>
    </row>
    <row r="71" spans="1:43">
      <c r="A71" s="20">
        <f t="shared" ref="A71:A76" si="68">A70-$F$60</f>
        <v>2.4382514419933621</v>
      </c>
      <c r="B71" s="26">
        <f t="shared" si="65"/>
        <v>-0.76268545445372349</v>
      </c>
      <c r="C71" s="26">
        <f t="shared" si="66"/>
        <v>6.0176778046756283</v>
      </c>
      <c r="D71" s="26">
        <f t="shared" ref="D71:D76" si="69">POWER(TAN(A71/2),$C$60)</f>
        <v>896.06856314773484</v>
      </c>
      <c r="E71" s="26">
        <f t="shared" ref="E71:E76" si="70">SIN(A71)</f>
        <v>0.64676958614696567</v>
      </c>
      <c r="F71" s="77">
        <f t="shared" ref="F71:F76" si="71">(C71*$H$60*D71/E71/$I$60/$J$60)</f>
        <v>0.13365070940367399</v>
      </c>
      <c r="G71" s="77">
        <f t="shared" si="67"/>
        <v>1.9869593339919762</v>
      </c>
      <c r="H71" s="100">
        <f t="shared" ref="H71:H76" si="72">-(-$H$57+$K$60*((POWER(TAN(A71/2),2*$C$60-1)/(2*$C$60-1))+(POWER(TAN(A71/2),2*$C$60+1)/(2*$C$60+1))-(POWER(TAN($E$60/2),2*$C$60-1)/(2*$C$60-1))-(POWER(TAN($E$60/2),2*$C$60+1)/(2*$C$60+1))))</f>
        <v>4.07651219490337E-2</v>
      </c>
      <c r="I71" s="100">
        <f t="shared" ref="I71:I76" si="73">-(-$I$57+0.5*$K$60*((POWER(TAN(A71/2),2*$C$60-2)/(2*$C$60-2))-(POWER(TAN(A71/2),2*$C$60+2)/(2*$C$60+2))-(POWER(TAN($E$60/2),2*$C$60-2)/(2*$C$60-2))+(POWER(TAN($E$60/2),2*$C$60+2)/(2*$C$60+2))))</f>
        <v>2.0793794226190219</v>
      </c>
      <c r="J71" s="77">
        <f t="shared" ref="J71:J76" si="74">-$D$60*SIN(A71)*($C$60+$G$60)/($C$60+B71)*F71</f>
        <v>-0.15004925022857965</v>
      </c>
      <c r="K71" s="77">
        <f t="shared" ref="K71:K76" si="75">-$D$60*COS(A71)*($C$60+$G$60)/($C$60+B71)*F71</f>
        <v>0.17694149980487858</v>
      </c>
      <c r="L71" s="91">
        <f t="shared" ref="L71:L76" si="76">SQRT(J71*J71+K71*K71)</f>
        <v>0.23199799966240819</v>
      </c>
      <c r="AI71" s="7"/>
      <c r="AJ71" s="7"/>
      <c r="AK71" s="7"/>
      <c r="AL71" s="7"/>
      <c r="AM71" s="7"/>
      <c r="AN71" s="7"/>
      <c r="AO71" s="7"/>
      <c r="AP71" s="7"/>
      <c r="AQ71" s="7"/>
    </row>
    <row r="72" spans="1:43">
      <c r="A72" s="20">
        <f t="shared" si="68"/>
        <v>2.4123136606955602</v>
      </c>
      <c r="B72" s="26">
        <f t="shared" si="65"/>
        <v>-0.74565502635875669</v>
      </c>
      <c r="C72" s="26">
        <f t="shared" si="66"/>
        <v>6.0347082327705959</v>
      </c>
      <c r="D72" s="26">
        <f t="shared" si="69"/>
        <v>685.49846007420422</v>
      </c>
      <c r="E72" s="26">
        <f t="shared" si="70"/>
        <v>0.66633218567462416</v>
      </c>
      <c r="F72" s="77">
        <f t="shared" si="71"/>
        <v>9.9522815768445363E-2</v>
      </c>
      <c r="G72" s="77">
        <f t="shared" si="67"/>
        <v>2.0652311552354927</v>
      </c>
      <c r="H72" s="100">
        <f t="shared" si="72"/>
        <v>3.0393610805445004E-2</v>
      </c>
      <c r="I72" s="100">
        <f t="shared" si="73"/>
        <v>2.0913253900406001</v>
      </c>
      <c r="J72" s="77">
        <f t="shared" si="74"/>
        <v>-0.11478868269371702</v>
      </c>
      <c r="K72" s="77">
        <f t="shared" si="75"/>
        <v>0.12845358525344627</v>
      </c>
      <c r="L72" s="91">
        <f t="shared" si="76"/>
        <v>0.17226945532805066</v>
      </c>
    </row>
    <row r="73" spans="1:43">
      <c r="A73" s="20">
        <f t="shared" si="68"/>
        <v>2.3863758793977583</v>
      </c>
      <c r="B73" s="26">
        <f t="shared" si="65"/>
        <v>-0.72812297317526964</v>
      </c>
      <c r="C73" s="26">
        <f t="shared" si="66"/>
        <v>6.0522402859540829</v>
      </c>
      <c r="D73" s="26">
        <f t="shared" si="69"/>
        <v>528.44660440901771</v>
      </c>
      <c r="E73" s="26">
        <f t="shared" si="70"/>
        <v>0.68544652303035691</v>
      </c>
      <c r="F73" s="77">
        <f t="shared" si="71"/>
        <v>7.4798757037724692E-2</v>
      </c>
      <c r="G73" s="77">
        <f t="shared" si="67"/>
        <v>2.1219354196729427</v>
      </c>
      <c r="H73" s="100">
        <f t="shared" si="72"/>
        <v>2.462672249661968E-2</v>
      </c>
      <c r="I73" s="100">
        <f t="shared" si="73"/>
        <v>2.0976291909957601</v>
      </c>
      <c r="J73" s="77">
        <f t="shared" si="74"/>
        <v>-8.8489899142169648E-2</v>
      </c>
      <c r="K73" s="77">
        <f t="shared" si="75"/>
        <v>9.3999351217837854E-2</v>
      </c>
      <c r="L73" s="91">
        <f t="shared" si="76"/>
        <v>0.12909818077558566</v>
      </c>
    </row>
    <row r="74" spans="1:43">
      <c r="A74" s="20">
        <f t="shared" si="68"/>
        <v>2.3604380980999564</v>
      </c>
      <c r="B74" s="26">
        <f t="shared" si="65"/>
        <v>-0.71010108925509952</v>
      </c>
      <c r="C74" s="26">
        <f t="shared" si="66"/>
        <v>6.0702621698742529</v>
      </c>
      <c r="D74" s="26">
        <f t="shared" si="69"/>
        <v>410.26826401927843</v>
      </c>
      <c r="E74" s="26">
        <f t="shared" si="70"/>
        <v>0.70409973941105897</v>
      </c>
      <c r="F74" s="77">
        <f t="shared" si="71"/>
        <v>5.6701150837577E-2</v>
      </c>
      <c r="G74" s="77">
        <f t="shared" si="67"/>
        <v>2.1634420128595582</v>
      </c>
      <c r="H74" s="100">
        <f t="shared" si="72"/>
        <v>2.1362667373308941E-2</v>
      </c>
      <c r="I74" s="100">
        <f t="shared" si="73"/>
        <v>2.1010161330459587</v>
      </c>
      <c r="J74" s="77">
        <f t="shared" si="74"/>
        <v>-6.870059718691883E-2</v>
      </c>
      <c r="K74" s="77">
        <f t="shared" si="75"/>
        <v>6.9286162406070981E-2</v>
      </c>
      <c r="L74" s="91">
        <f t="shared" si="76"/>
        <v>9.7572251971550408E-2</v>
      </c>
    </row>
    <row r="75" spans="1:43">
      <c r="A75" s="20">
        <f t="shared" si="68"/>
        <v>2.3345003168021545</v>
      </c>
      <c r="B75" s="26">
        <f t="shared" si="65"/>
        <v>-0.69160149847429797</v>
      </c>
      <c r="C75" s="26">
        <f t="shared" si="66"/>
        <v>6.0887617606550544</v>
      </c>
      <c r="D75" s="26">
        <f t="shared" si="69"/>
        <v>320.60783155293188</v>
      </c>
      <c r="E75" s="26">
        <f t="shared" si="70"/>
        <v>0.72227928622389947</v>
      </c>
      <c r="F75" s="77">
        <f t="shared" si="71"/>
        <v>4.3326003769411259E-2</v>
      </c>
      <c r="G75" s="77">
        <f t="shared" si="67"/>
        <v>2.1941177156033262</v>
      </c>
      <c r="H75" s="100">
        <f t="shared" si="72"/>
        <v>1.9484532639240104E-2</v>
      </c>
      <c r="I75" s="100">
        <f t="shared" si="73"/>
        <v>2.1028663051806369</v>
      </c>
      <c r="J75" s="77">
        <f t="shared" si="74"/>
        <v>-5.368670068385914E-2</v>
      </c>
      <c r="K75" s="77">
        <f t="shared" si="75"/>
        <v>5.1406434255111988E-2</v>
      </c>
      <c r="L75" s="91">
        <f t="shared" si="76"/>
        <v>7.4329558811709842E-2</v>
      </c>
    </row>
    <row r="76" spans="1:43">
      <c r="A76" s="20">
        <f t="shared" si="68"/>
        <v>2.3085625355043526</v>
      </c>
      <c r="B76" s="26">
        <f t="shared" si="65"/>
        <v>-0.672636646077026</v>
      </c>
      <c r="C76" s="26">
        <f t="shared" si="66"/>
        <v>6.1077266130523258</v>
      </c>
      <c r="D76" s="26">
        <f t="shared" si="69"/>
        <v>252.06247854643314</v>
      </c>
      <c r="E76" s="26">
        <f t="shared" si="70"/>
        <v>0.73997293352814586</v>
      </c>
      <c r="F76" s="77">
        <f t="shared" si="71"/>
        <v>3.3352058389910573E-2</v>
      </c>
      <c r="G76" s="77">
        <f t="shared" si="67"/>
        <v>2.2169928123843068</v>
      </c>
      <c r="H76" s="100">
        <f t="shared" si="72"/>
        <v>1.8387197057951221E-2</v>
      </c>
      <c r="I76" s="100">
        <f t="shared" si="73"/>
        <v>2.1038925347312722</v>
      </c>
      <c r="J76" s="77">
        <f t="shared" si="74"/>
        <v>-4.220858478037471E-2</v>
      </c>
      <c r="K76" s="77">
        <f t="shared" si="75"/>
        <v>3.8367674837729938E-2</v>
      </c>
      <c r="L76" s="91">
        <f t="shared" si="76"/>
        <v>5.7040714420629891E-2</v>
      </c>
    </row>
    <row r="77" spans="1:43">
      <c r="A77" s="20">
        <f t="shared" ref="A77:A85" si="77">A76-$F$60</f>
        <v>2.2826247542065508</v>
      </c>
      <c r="B77" s="26">
        <f t="shared" si="65"/>
        <v>-0.65321929030325554</v>
      </c>
      <c r="C77" s="26">
        <f t="shared" si="66"/>
        <v>6.1271439688260969</v>
      </c>
      <c r="D77" s="26">
        <f t="shared" ref="D77:D85" si="78">POWER(TAN(A77/2),$C$60)</f>
        <v>199.28621188526262</v>
      </c>
      <c r="E77" s="26">
        <f t="shared" ref="E77:E85" si="79">SIN(A77)</f>
        <v>0.75716877826262174</v>
      </c>
      <c r="F77" s="77">
        <f t="shared" ref="F77:F85" si="80">(C77*$H$60*D77/E77/$I$60/$J$60)</f>
        <v>2.5851951029814392E-2</v>
      </c>
      <c r="G77" s="77">
        <f t="shared" si="67"/>
        <v>2.2341941981150293</v>
      </c>
      <c r="H77" s="100">
        <f t="shared" ref="H77:H85" si="81">-(-$H$57+$K$60*((POWER(TAN(A77/2),2*$C$60-1)/(2*$C$60-1))+(POWER(TAN(A77/2),2*$C$60+1)/(2*$C$60+1))-(POWER(TAN($E$60/2),2*$C$60-1)/(2*$C$60-1))-(POWER(TAN($E$60/2),2*$C$60+1)/(2*$C$60+1))))</f>
        <v>1.7736869308924597E-2</v>
      </c>
      <c r="I77" s="100">
        <f t="shared" ref="I77:I85" si="82">-(-$I$57+0.5*$K$60*((POWER(TAN(A77/2),2*$C$60-2)/(2*$C$60-2))-(POWER(TAN(A77/2),2*$C$60+2)/(2*$C$60+2))-(POWER(TAN($E$60/2),2*$C$60-2)/(2*$C$60-2))+(POWER(TAN($E$60/2),2*$C$60+2)/(2*$C$60+2))))</f>
        <v>2.1044698062801337</v>
      </c>
      <c r="J77" s="77">
        <f t="shared" ref="J77:J85" si="83">-$D$60*SIN(A77)*($C$60+$G$60)/($C$60+B77)*F77</f>
        <v>-3.3371047600681686E-2</v>
      </c>
      <c r="K77" s="77">
        <f t="shared" ref="K77:K85" si="84">-$D$60*COS(A77)*($C$60+$G$60)/($C$60+B77)*F77</f>
        <v>2.8789634036960603E-2</v>
      </c>
      <c r="L77" s="91">
        <f t="shared" ref="L77:L85" si="85">SQRT(J77*J77+K77*K77)</f>
        <v>4.4073459654865803E-2</v>
      </c>
    </row>
    <row r="78" spans="1:43">
      <c r="A78" s="20">
        <f t="shared" si="77"/>
        <v>2.2566869729087489</v>
      </c>
      <c r="B78" s="26">
        <f t="shared" si="65"/>
        <v>-0.63336249380590859</v>
      </c>
      <c r="C78" s="26">
        <f t="shared" si="66"/>
        <v>6.147000765323444</v>
      </c>
      <c r="D78" s="26">
        <f t="shared" si="78"/>
        <v>158.38160289752594</v>
      </c>
      <c r="E78" s="26">
        <f t="shared" si="79"/>
        <v>0.77385525225326246</v>
      </c>
      <c r="F78" s="77">
        <f t="shared" si="80"/>
        <v>2.0167819775770753E-2</v>
      </c>
      <c r="G78" s="77">
        <f t="shared" si="67"/>
        <v>2.2472306694014357</v>
      </c>
      <c r="H78" s="100">
        <f t="shared" si="81"/>
        <v>1.7346313913266354E-2</v>
      </c>
      <c r="I78" s="100">
        <f t="shared" si="82"/>
        <v>2.1047987594296043</v>
      </c>
      <c r="J78" s="77">
        <f t="shared" si="83"/>
        <v>-2.6521453538434488E-2</v>
      </c>
      <c r="K78" s="77">
        <f t="shared" si="84"/>
        <v>2.1706506357035051E-2</v>
      </c>
      <c r="L78" s="91">
        <f t="shared" si="85"/>
        <v>3.4271853116213925E-2</v>
      </c>
    </row>
    <row r="79" spans="1:43">
      <c r="A79" s="20">
        <f t="shared" si="77"/>
        <v>2.230749191610947</v>
      </c>
      <c r="B79" s="26">
        <f t="shared" si="65"/>
        <v>-0.6130796148632085</v>
      </c>
      <c r="C79" s="26">
        <f t="shared" si="66"/>
        <v>6.1672836442661438</v>
      </c>
      <c r="D79" s="26">
        <f t="shared" si="78"/>
        <v>126.48194215964088</v>
      </c>
      <c r="E79" s="26">
        <f t="shared" si="79"/>
        <v>0.79002112999538177</v>
      </c>
      <c r="F79" s="77">
        <f t="shared" si="80"/>
        <v>1.5828305595642207E-2</v>
      </c>
      <c r="G79" s="77">
        <f t="shared" si="67"/>
        <v>2.2571832812391643</v>
      </c>
      <c r="H79" s="100">
        <f t="shared" si="81"/>
        <v>1.710884659803602E-2</v>
      </c>
      <c r="I79" s="100">
        <f t="shared" si="82"/>
        <v>2.1049884541261434</v>
      </c>
      <c r="J79" s="77">
        <f t="shared" si="83"/>
        <v>-2.1179763880835645E-2</v>
      </c>
      <c r="K79" s="77">
        <f t="shared" si="84"/>
        <v>1.6436119225105173E-2</v>
      </c>
      <c r="L79" s="91">
        <f t="shared" si="85"/>
        <v>2.6809110638546407E-2</v>
      </c>
    </row>
    <row r="80" spans="1:43">
      <c r="A80" s="20">
        <f t="shared" si="77"/>
        <v>2.2048114103131451</v>
      </c>
      <c r="B80" s="26">
        <f t="shared" si="65"/>
        <v>-0.5923842983921549</v>
      </c>
      <c r="C80" s="26">
        <f t="shared" si="66"/>
        <v>6.1879789607371976</v>
      </c>
      <c r="D80" s="26">
        <f t="shared" si="78"/>
        <v>101.46102738438273</v>
      </c>
      <c r="E80" s="26">
        <f t="shared" si="79"/>
        <v>0.80565553620541475</v>
      </c>
      <c r="F80" s="77">
        <f t="shared" si="80"/>
        <v>1.2492500440921664E-2</v>
      </c>
      <c r="G80" s="77">
        <f t="shared" si="67"/>
        <v>2.2648339012148422</v>
      </c>
      <c r="H80" s="100">
        <f t="shared" si="81"/>
        <v>1.6962783372105772E-2</v>
      </c>
      <c r="I80" s="100">
        <f t="shared" si="82"/>
        <v>2.1050990455409608</v>
      </c>
      <c r="J80" s="77">
        <f t="shared" si="83"/>
        <v>-1.6989939958353396E-2</v>
      </c>
      <c r="K80" s="77">
        <f t="shared" si="84"/>
        <v>1.2492403030403667E-2</v>
      </c>
      <c r="L80" s="91">
        <f t="shared" si="85"/>
        <v>2.1088342591642713E-2</v>
      </c>
    </row>
    <row r="81" spans="1:12">
      <c r="A81" s="20">
        <f t="shared" si="77"/>
        <v>2.1788736290153432</v>
      </c>
      <c r="B81" s="26">
        <f t="shared" si="65"/>
        <v>-0.57129046676916828</v>
      </c>
      <c r="C81" s="26">
        <f t="shared" si="66"/>
        <v>6.2090727923601836</v>
      </c>
      <c r="D81" s="26">
        <f t="shared" si="78"/>
        <v>81.729503410286242</v>
      </c>
      <c r="E81" s="26">
        <f t="shared" si="79"/>
        <v>0.82074795313705529</v>
      </c>
      <c r="F81" s="77">
        <f t="shared" si="80"/>
        <v>9.911662107504101E-3</v>
      </c>
      <c r="G81" s="77">
        <f t="shared" si="67"/>
        <v>2.2707530159088458</v>
      </c>
      <c r="H81" s="100">
        <f t="shared" si="81"/>
        <v>1.6871966432813412E-2</v>
      </c>
      <c r="I81" s="100">
        <f t="shared" si="82"/>
        <v>2.1051641685954672</v>
      </c>
      <c r="J81" s="77">
        <f t="shared" si="83"/>
        <v>-1.3685839691985393E-2</v>
      </c>
      <c r="K81" s="77">
        <f t="shared" si="84"/>
        <v>9.5261763564297719E-3</v>
      </c>
      <c r="L81" s="91">
        <f t="shared" si="85"/>
        <v>1.6674838651349055E-2</v>
      </c>
    </row>
    <row r="82" spans="1:12">
      <c r="A82" s="20">
        <f t="shared" si="77"/>
        <v>2.1529358477175413</v>
      </c>
      <c r="B82" s="26">
        <f t="shared" si="65"/>
        <v>-0.54981231046407864</v>
      </c>
      <c r="C82" s="26">
        <f t="shared" si="66"/>
        <v>6.2305509486652735</v>
      </c>
      <c r="D82" s="26">
        <f t="shared" si="78"/>
        <v>66.090544477328663</v>
      </c>
      <c r="E82" s="26">
        <f t="shared" si="79"/>
        <v>0.83528822765686794</v>
      </c>
      <c r="F82" s="77">
        <f t="shared" si="80"/>
        <v>7.9027838928058466E-3</v>
      </c>
      <c r="G82" s="77">
        <f t="shared" si="67"/>
        <v>2.2753603484972991</v>
      </c>
      <c r="H82" s="100">
        <f t="shared" si="81"/>
        <v>1.6814926396431895E-2</v>
      </c>
      <c r="I82" s="100">
        <f t="shared" si="82"/>
        <v>2.1052028691477851</v>
      </c>
      <c r="J82" s="77">
        <f t="shared" si="83"/>
        <v>-1.1067051176514455E-2</v>
      </c>
      <c r="K82" s="77">
        <f t="shared" si="84"/>
        <v>7.2846722555309582E-3</v>
      </c>
      <c r="L82" s="91">
        <f t="shared" si="85"/>
        <v>1.324938004640566E-2</v>
      </c>
    </row>
    <row r="83" spans="1:12">
      <c r="A83" s="20">
        <f t="shared" si="77"/>
        <v>2.1269980664197394</v>
      </c>
      <c r="B83" s="26">
        <f t="shared" si="65"/>
        <v>-0.52796427849375949</v>
      </c>
      <c r="C83" s="26">
        <f t="shared" si="66"/>
        <v>6.2523989806355926</v>
      </c>
      <c r="D83" s="26">
        <f t="shared" si="78"/>
        <v>53.636646265392358</v>
      </c>
      <c r="E83" s="26">
        <f t="shared" si="79"/>
        <v>0.8492665780746137</v>
      </c>
      <c r="F83" s="77">
        <f t="shared" si="80"/>
        <v>6.3301638355853958E-3</v>
      </c>
      <c r="G83" s="77">
        <f t="shared" si="67"/>
        <v>2.2789671294290019</v>
      </c>
      <c r="H83" s="100">
        <f t="shared" si="81"/>
        <v>1.6778760440384177E-2</v>
      </c>
      <c r="I83" s="100">
        <f t="shared" si="82"/>
        <v>2.1052260594466135</v>
      </c>
      <c r="J83" s="77">
        <f t="shared" si="83"/>
        <v>-8.9816102114172354E-3</v>
      </c>
      <c r="K83" s="77">
        <f t="shared" si="84"/>
        <v>5.5836052864975351E-3</v>
      </c>
      <c r="L83" s="91">
        <f t="shared" si="85"/>
        <v>1.0575725506329936E-2</v>
      </c>
    </row>
    <row r="84" spans="1:12">
      <c r="A84" s="20">
        <f t="shared" si="77"/>
        <v>2.1010602851219375</v>
      </c>
      <c r="B84" s="26">
        <f t="shared" si="65"/>
        <v>-0.50576106870182991</v>
      </c>
      <c r="C84" s="26">
        <f t="shared" si="66"/>
        <v>6.2746021904275224</v>
      </c>
      <c r="D84" s="26">
        <f t="shared" si="78"/>
        <v>43.675176327130991</v>
      </c>
      <c r="E84" s="26">
        <f t="shared" si="79"/>
        <v>0.8626736007236937</v>
      </c>
      <c r="F84" s="77">
        <f t="shared" si="80"/>
        <v>5.092429682336099E-3</v>
      </c>
      <c r="G84" s="77">
        <f t="shared" si="67"/>
        <v>2.2818058544738467</v>
      </c>
      <c r="H84" s="100">
        <f t="shared" si="81"/>
        <v>1.6755625549719211E-2</v>
      </c>
      <c r="I84" s="100">
        <f t="shared" si="82"/>
        <v>2.1052400602137267</v>
      </c>
      <c r="J84" s="77">
        <f t="shared" si="83"/>
        <v>-7.3135335073757643E-3</v>
      </c>
      <c r="K84" s="77">
        <f t="shared" si="84"/>
        <v>4.2877173006963644E-3</v>
      </c>
      <c r="L84" s="91">
        <f t="shared" si="85"/>
        <v>8.4777527691127542E-3</v>
      </c>
    </row>
    <row r="85" spans="1:12">
      <c r="A85" s="20">
        <f t="shared" si="77"/>
        <v>2.0751225038241357</v>
      </c>
      <c r="B85" s="26">
        <f t="shared" si="65"/>
        <v>-0.4832176178709624</v>
      </c>
      <c r="C85" s="26">
        <f t="shared" si="66"/>
        <v>6.2971456412583899</v>
      </c>
      <c r="D85" s="26">
        <f t="shared" si="78"/>
        <v>35.67422885975008</v>
      </c>
      <c r="E85" s="26">
        <f t="shared" si="79"/>
        <v>0.87550027628728511</v>
      </c>
      <c r="F85" s="77">
        <f t="shared" si="80"/>
        <v>4.1133222014026524E-3</v>
      </c>
      <c r="G85" s="77">
        <f t="shared" si="67"/>
        <v>2.284051423056102</v>
      </c>
      <c r="H85" s="75">
        <f t="shared" si="81"/>
        <v>1.6740703097624321E-2</v>
      </c>
      <c r="I85" s="75">
        <f t="shared" si="82"/>
        <v>2.1052485698478689</v>
      </c>
      <c r="J85" s="77">
        <f t="shared" si="83"/>
        <v>-5.973751912559536E-3</v>
      </c>
      <c r="K85" s="77">
        <f t="shared" si="84"/>
        <v>3.297111659610618E-3</v>
      </c>
      <c r="L85" s="91">
        <f t="shared" si="85"/>
        <v>6.8232438919291899E-3</v>
      </c>
    </row>
    <row r="86" spans="1:12">
      <c r="A86" s="20">
        <f>A85-$F$60</f>
        <v>2.0491847225263338</v>
      </c>
      <c r="B86" s="26">
        <f t="shared" si="65"/>
        <v>-0.46034909167444915</v>
      </c>
      <c r="C86" s="26">
        <f t="shared" si="66"/>
        <v>6.3200141674549029</v>
      </c>
      <c r="D86" s="26">
        <f>POWER(TAN(A86/2),$C$60)</f>
        <v>29.222940588104517</v>
      </c>
      <c r="E86" s="26">
        <f>SIN(A86)</f>
        <v>0.88773797586591374</v>
      </c>
      <c r="F86" s="77">
        <f>(C86*$H$60*D86/E86/$I$60/$J$60)</f>
        <v>3.3350922677735416E-3</v>
      </c>
      <c r="G86" s="77">
        <f t="shared" si="67"/>
        <v>2.2858362819431588</v>
      </c>
      <c r="H86" s="75">
        <f>-(-$H$57+$K$60*((POWER(TAN(A86/2),2*$C$60-1)/(2*$C$60-1))+(POWER(TAN(A86/2),2*$C$60+1)/(2*$C$60+1))-(POWER(TAN($E$60/2),2*$C$60-1)/(2*$C$60-1))-(POWER(TAN($E$60/2),2*$C$60+1)/(2*$C$60+1))))</f>
        <v>1.6731002644676085E-2</v>
      </c>
      <c r="I86" s="75">
        <f>-(-$I$57+0.5*$K$60*((POWER(TAN(A86/2),2*$C$60-2)/(2*$C$60-2))-(POWER(TAN(A86/2),2*$C$60+2)/(2*$C$60+2))-(POWER(TAN($E$60/2),2*$C$60-2)/(2*$C$60-2))+(POWER(TAN($E$60/2),2*$C$60+2)/(2*$C$60+2))))</f>
        <v>2.1052537727332887</v>
      </c>
      <c r="J86" s="77">
        <f>-$D$60*SIN(A86)*($C$60+$G$60)/($C$60+B86)*F86</f>
        <v>-4.8934651934625165E-3</v>
      </c>
      <c r="K86" s="77">
        <f>-$D$60*COS(A86)*($C$60+$G$60)/($C$60+B86)*F86</f>
        <v>2.5375756340193516E-3</v>
      </c>
      <c r="L86" s="91">
        <f>SQRT(J86*J86+K86*K86)</f>
        <v>5.5122855239907393E-3</v>
      </c>
    </row>
    <row r="87" spans="1:12">
      <c r="A87" s="20">
        <f t="shared" ref="A87:A95" si="86">A86-$F$60</f>
        <v>2.0232469412285319</v>
      </c>
      <c r="B87" s="26">
        <f t="shared" si="65"/>
        <v>-0.43717087447378739</v>
      </c>
      <c r="C87" s="26">
        <f t="shared" si="66"/>
        <v>6.3431923846555645</v>
      </c>
      <c r="D87" s="26">
        <f t="shared" ref="D87:D95" si="87">POWER(TAN(A87/2),$C$60)</f>
        <v>24.002191580078264</v>
      </c>
      <c r="E87" s="26">
        <f t="shared" ref="E87:E95" si="88">SIN(A87)</f>
        <v>0.89937846678237965</v>
      </c>
      <c r="F87" s="77">
        <f t="shared" ref="F87:F95" si="89">(C87*$H$60*D87/E87/$I$60/$J$60)</f>
        <v>2.7137321582446968E-3</v>
      </c>
      <c r="G87" s="77">
        <f t="shared" si="67"/>
        <v>2.2872613621998172</v>
      </c>
      <c r="H87" s="75">
        <f t="shared" ref="H87:H95" si="90">-(-$H$57+$K$60*((POWER(TAN(A87/2),2*$C$60-1)/(2*$C$60-1))+(POWER(TAN(A87/2),2*$C$60+1)/(2*$C$60+1))-(POWER(TAN($E$60/2),2*$C$60-1)/(2*$C$60-1))-(POWER(TAN($E$60/2),2*$C$60+1)/(2*$C$60+1))))</f>
        <v>1.6724650636178229E-2</v>
      </c>
      <c r="I87" s="75">
        <f t="shared" ref="I87:I95" si="91">-(-$I$57+0.5*$K$60*((POWER(TAN(A87/2),2*$C$60-2)/(2*$C$60-2))-(POWER(TAN(A87/2),2*$C$60+2)/(2*$C$60+2))-(POWER(TAN($E$60/2),2*$C$60-2)/(2*$C$60-2))+(POWER(TAN($E$60/2),2*$C$60+2)/(2*$C$60+2))))</f>
        <v>2.1052569702403741</v>
      </c>
      <c r="J87" s="77">
        <f t="shared" ref="J87:J95" si="92">-$D$60*SIN(A87)*($C$60+$G$60)/($C$60+B87)*F87</f>
        <v>-4.0192358024278649E-3</v>
      </c>
      <c r="K87" s="77">
        <f t="shared" ref="K87:K95" si="93">-$D$60*COS(A87)*($C$60+$G$60)/($C$60+B87)*F87</f>
        <v>1.9536745601103031E-3</v>
      </c>
      <c r="L87" s="91">
        <f t="shared" ref="L87:L95" si="94">SQRT(J87*J87+K87*K87)</f>
        <v>4.4689037495050333E-3</v>
      </c>
    </row>
    <row r="88" spans="1:12">
      <c r="A88" s="20">
        <f t="shared" si="86"/>
        <v>1.9973091599307302</v>
      </c>
      <c r="B88" s="26">
        <f t="shared" si="65"/>
        <v>-0.4136985589691457</v>
      </c>
      <c r="C88" s="26">
        <f t="shared" si="66"/>
        <v>6.3666647001602064</v>
      </c>
      <c r="D88" s="26">
        <f t="shared" si="87"/>
        <v>19.762822469430418</v>
      </c>
      <c r="E88" s="26">
        <f t="shared" si="88"/>
        <v>0.91041391812013306</v>
      </c>
      <c r="F88" s="77">
        <f t="shared" si="89"/>
        <v>2.2155050508718167E-3</v>
      </c>
      <c r="G88" s="77">
        <f t="shared" si="67"/>
        <v>2.2884040387301585</v>
      </c>
      <c r="H88" s="75">
        <f t="shared" si="90"/>
        <v>1.6720462715892115E-2</v>
      </c>
      <c r="I88" s="75">
        <f t="shared" si="91"/>
        <v>2.1052589438703082</v>
      </c>
      <c r="J88" s="77">
        <f t="shared" si="92"/>
        <v>-3.3093412891549642E-3</v>
      </c>
      <c r="K88" s="77">
        <f t="shared" si="93"/>
        <v>1.5037882167788308E-3</v>
      </c>
      <c r="L88" s="91">
        <f t="shared" si="94"/>
        <v>3.6349853877324866E-3</v>
      </c>
    </row>
    <row r="89" spans="1:12">
      <c r="A89" s="20">
        <f t="shared" si="86"/>
        <v>1.9713713786329286</v>
      </c>
      <c r="B89" s="26">
        <f t="shared" si="65"/>
        <v>-0.38994793570967395</v>
      </c>
      <c r="C89" s="26">
        <f t="shared" si="66"/>
        <v>6.3904153234196786</v>
      </c>
      <c r="D89" s="26">
        <f t="shared" si="87"/>
        <v>16.309332560965657</v>
      </c>
      <c r="E89" s="26">
        <f t="shared" si="88"/>
        <v>0.92083690599137258</v>
      </c>
      <c r="F89" s="77">
        <f t="shared" si="89"/>
        <v>1.8144008523934196E-3</v>
      </c>
      <c r="G89" s="77">
        <f t="shared" si="67"/>
        <v>2.2893239652998698</v>
      </c>
      <c r="H89" s="75">
        <f t="shared" si="90"/>
        <v>1.6717683855887344E-2</v>
      </c>
      <c r="I89" s="75">
        <f t="shared" si="91"/>
        <v>2.1052601663655484</v>
      </c>
      <c r="J89" s="77">
        <f t="shared" si="92"/>
        <v>-2.7310445016672084E-3</v>
      </c>
      <c r="K89" s="77">
        <f t="shared" si="93"/>
        <v>1.1565187698573422E-3</v>
      </c>
      <c r="L89" s="91">
        <f t="shared" si="94"/>
        <v>2.965828675955344E-3</v>
      </c>
    </row>
    <row r="90" spans="1:12">
      <c r="A90" s="20">
        <f t="shared" si="86"/>
        <v>1.9454335973351269</v>
      </c>
      <c r="B90" s="26">
        <f t="shared" si="65"/>
        <v>-0.36593498247071576</v>
      </c>
      <c r="C90" s="26">
        <f t="shared" si="66"/>
        <v>6.4144282766586365</v>
      </c>
      <c r="D90" s="26">
        <f t="shared" si="87"/>
        <v>13.487602928857452</v>
      </c>
      <c r="E90" s="26">
        <f t="shared" si="88"/>
        <v>0.93064041853132351</v>
      </c>
      <c r="F90" s="77">
        <f t="shared" si="89"/>
        <v>1.490258131276476E-3</v>
      </c>
      <c r="G90" s="77">
        <f t="shared" si="67"/>
        <v>2.2900673818551316</v>
      </c>
      <c r="H90" s="75">
        <f t="shared" si="90"/>
        <v>1.6715828877046812E-2</v>
      </c>
      <c r="I90" s="75">
        <f t="shared" si="91"/>
        <v>2.1052609255995294</v>
      </c>
      <c r="J90" s="77">
        <f t="shared" si="92"/>
        <v>-2.2585377839242312E-3</v>
      </c>
      <c r="K90" s="77">
        <f t="shared" si="93"/>
        <v>8.8807445702181816E-4</v>
      </c>
      <c r="L90" s="91">
        <f t="shared" si="94"/>
        <v>2.426864059363024E-3</v>
      </c>
    </row>
    <row r="91" spans="1:12">
      <c r="A91" s="20">
        <f t="shared" si="86"/>
        <v>1.9194958160373252</v>
      </c>
      <c r="B91" s="26">
        <f t="shared" si="65"/>
        <v>-0.34167585350506674</v>
      </c>
      <c r="C91" s="26">
        <f t="shared" si="66"/>
        <v>6.4386874056242851</v>
      </c>
      <c r="D91" s="26">
        <f t="shared" si="87"/>
        <v>11.17559533243384</v>
      </c>
      <c r="E91" s="26">
        <f t="shared" si="88"/>
        <v>0.93981786061533445</v>
      </c>
      <c r="F91" s="77">
        <f t="shared" si="89"/>
        <v>1.2273685744494574E-3</v>
      </c>
      <c r="G91" s="77">
        <f t="shared" si="67"/>
        <v>2.2906703151805425</v>
      </c>
      <c r="H91" s="75">
        <f t="shared" si="90"/>
        <v>1.6714583652080561E-2</v>
      </c>
      <c r="I91" s="75">
        <f t="shared" si="91"/>
        <v>2.1052613979240138</v>
      </c>
      <c r="J91" s="77">
        <f t="shared" si="92"/>
        <v>-1.8713854826008921E-3</v>
      </c>
      <c r="K91" s="77">
        <f t="shared" si="93"/>
        <v>6.8035228824658302E-4</v>
      </c>
      <c r="L91" s="91">
        <f t="shared" si="94"/>
        <v>1.9912214494153418E-3</v>
      </c>
    </row>
    <row r="92" spans="1:12">
      <c r="A92" s="20">
        <f t="shared" si="86"/>
        <v>1.8935580347395236</v>
      </c>
      <c r="B92" s="26">
        <f t="shared" si="65"/>
        <v>-0.31718686867551144</v>
      </c>
      <c r="C92" s="26">
        <f t="shared" si="66"/>
        <v>6.4631763904538406</v>
      </c>
      <c r="D92" s="26">
        <f t="shared" si="87"/>
        <v>9.2762654288284114</v>
      </c>
      <c r="E92" s="26">
        <f t="shared" si="88"/>
        <v>0.94836305829562118</v>
      </c>
      <c r="F92" s="77">
        <f t="shared" si="89"/>
        <v>1.0134334441715086E-3</v>
      </c>
      <c r="G92" s="77">
        <f t="shared" si="67"/>
        <v>2.2911609722499122</v>
      </c>
      <c r="H92" s="75">
        <f t="shared" si="90"/>
        <v>1.6713743352221755E-2</v>
      </c>
      <c r="I92" s="75">
        <f t="shared" si="91"/>
        <v>2.1052616919512359</v>
      </c>
      <c r="J92" s="77">
        <f t="shared" si="92"/>
        <v>-1.5533372442254893E-3</v>
      </c>
      <c r="K92" s="77">
        <f t="shared" si="93"/>
        <v>5.1952485093461807E-4</v>
      </c>
      <c r="L92" s="91">
        <f t="shared" si="94"/>
        <v>1.6379141201652407E-3</v>
      </c>
    </row>
    <row r="93" spans="1:12">
      <c r="A93" s="20">
        <f t="shared" si="86"/>
        <v>1.8676202534417219</v>
      </c>
      <c r="B93" s="26">
        <f t="shared" si="65"/>
        <v>-0.29248450247594948</v>
      </c>
      <c r="C93" s="26">
        <f t="shared" si="66"/>
        <v>6.4878787566534024</v>
      </c>
      <c r="D93" s="26">
        <f t="shared" si="87"/>
        <v>7.7121337577604381</v>
      </c>
      <c r="E93" s="26">
        <f t="shared" si="88"/>
        <v>0.95627026295467132</v>
      </c>
      <c r="F93" s="77">
        <f t="shared" si="89"/>
        <v>8.3877854466641373E-4</v>
      </c>
      <c r="G93" s="77">
        <f t="shared" si="67"/>
        <v>2.2915615406887229</v>
      </c>
      <c r="H93" s="75">
        <f t="shared" si="90"/>
        <v>1.6713173519889546E-2</v>
      </c>
      <c r="I93" s="75">
        <f t="shared" si="91"/>
        <v>2.1052618748882255</v>
      </c>
      <c r="J93" s="77">
        <f t="shared" si="92"/>
        <v>-1.2914189110143843E-3</v>
      </c>
      <c r="K93" s="77">
        <f t="shared" si="93"/>
        <v>3.9499295576650087E-4</v>
      </c>
      <c r="L93" s="91">
        <f t="shared" si="94"/>
        <v>1.3504748197692303E-3</v>
      </c>
    </row>
    <row r="94" spans="1:12">
      <c r="A94" s="20">
        <f t="shared" si="86"/>
        <v>1.8416824721439202</v>
      </c>
      <c r="B94" s="26">
        <f t="shared" si="65"/>
        <v>-0.26758537294849605</v>
      </c>
      <c r="C94" s="26">
        <f t="shared" si="66"/>
        <v>6.5127778861808565</v>
      </c>
      <c r="D94" s="26">
        <f t="shared" si="87"/>
        <v>6.4211051228322074</v>
      </c>
      <c r="E94" s="26">
        <f t="shared" si="88"/>
        <v>0.96353415517251606</v>
      </c>
      <c r="F94" s="77">
        <f t="shared" si="89"/>
        <v>6.9576025820362463E-4</v>
      </c>
      <c r="G94" s="77">
        <f t="shared" si="67"/>
        <v>2.2918895510216259</v>
      </c>
      <c r="H94" s="75">
        <f t="shared" si="90"/>
        <v>1.671278533213294E-2</v>
      </c>
      <c r="I94" s="75">
        <f t="shared" si="91"/>
        <v>2.1052619884888459</v>
      </c>
      <c r="J94" s="77">
        <f t="shared" si="92"/>
        <v>-1.0752324642829981E-3</v>
      </c>
      <c r="K94" s="77">
        <f t="shared" si="93"/>
        <v>2.9860537731532961E-4</v>
      </c>
      <c r="L94" s="91">
        <f t="shared" si="94"/>
        <v>1.1159256353403301E-3</v>
      </c>
    </row>
    <row r="95" spans="1:12">
      <c r="A95" s="20">
        <f t="shared" si="86"/>
        <v>1.8157446908461186</v>
      </c>
      <c r="B95" s="26">
        <f t="shared" si="65"/>
        <v>-0.24250623050401388</v>
      </c>
      <c r="C95" s="26">
        <f t="shared" si="66"/>
        <v>6.5378570286253384</v>
      </c>
      <c r="D95" s="26">
        <f t="shared" si="87"/>
        <v>5.3532333516015065</v>
      </c>
      <c r="E95" s="26">
        <f t="shared" si="88"/>
        <v>0.97014984830526774</v>
      </c>
      <c r="F95" s="77">
        <f t="shared" si="89"/>
        <v>5.7831367139119883E-4</v>
      </c>
      <c r="G95" s="77">
        <f t="shared" si="67"/>
        <v>2.292158913038131</v>
      </c>
      <c r="H95" s="114">
        <f t="shared" si="90"/>
        <v>1.671251976130228E-2</v>
      </c>
      <c r="I95" s="114">
        <f t="shared" si="91"/>
        <v>2.105262058779938</v>
      </c>
      <c r="J95" s="77">
        <f t="shared" si="92"/>
        <v>-8.9641427424343287E-4</v>
      </c>
      <c r="K95" s="77">
        <f t="shared" si="93"/>
        <v>2.2407471072279493E-4</v>
      </c>
      <c r="L95" s="91">
        <f t="shared" si="94"/>
        <v>9.2399568562460542E-4</v>
      </c>
    </row>
    <row r="96" spans="1:12">
      <c r="G96" s="70" t="s">
        <v>67</v>
      </c>
      <c r="H96" s="365">
        <f>SQRT(H95*H95+POWER((I95-Yloch),2))</f>
        <v>0.10658052981367207</v>
      </c>
      <c r="I96" s="365"/>
    </row>
    <row r="97" spans="1:16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</row>
  </sheetData>
  <mergeCells count="2">
    <mergeCell ref="A1:C1"/>
    <mergeCell ref="H96:I96"/>
  </mergeCells>
  <conditionalFormatting sqref="AB36:AD36">
    <cfRule type="cellIs" dxfId="4" priority="1" operator="greaterThan">
      <formula>0.01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BH151"/>
  <sheetViews>
    <sheetView workbookViewId="0">
      <selection sqref="A1:C1"/>
    </sheetView>
  </sheetViews>
  <sheetFormatPr baseColWidth="10" defaultRowHeight="15"/>
  <cols>
    <col min="1" max="56" width="5.7109375" customWidth="1"/>
    <col min="57" max="57" width="11.42578125" customWidth="1"/>
  </cols>
  <sheetData>
    <row r="1" spans="1:56">
      <c r="A1" s="367" t="s">
        <v>5</v>
      </c>
      <c r="B1" s="367"/>
      <c r="C1" s="367"/>
      <c r="D1" s="29" t="s">
        <v>72</v>
      </c>
      <c r="E1" s="29"/>
      <c r="F1" s="87">
        <f>Stufengrün!R45</f>
        <v>5</v>
      </c>
      <c r="G1" s="29" t="s">
        <v>71</v>
      </c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94"/>
      <c r="AV1" s="94"/>
      <c r="AW1" s="94"/>
      <c r="AX1" s="94"/>
      <c r="AY1" s="94"/>
      <c r="AZ1" s="94"/>
      <c r="BA1" s="94"/>
      <c r="BB1" s="94"/>
      <c r="BC1" s="94"/>
      <c r="BD1" s="94"/>
    </row>
    <row r="2" spans="1:56">
      <c r="A2" s="88" t="s">
        <v>73</v>
      </c>
      <c r="B2" s="88"/>
      <c r="C2" s="23" t="str">
        <f>CONCATENATE("m",Stufengrün!R46)</f>
        <v>m-2</v>
      </c>
      <c r="D2" s="23" t="s">
        <v>30</v>
      </c>
      <c r="E2" s="28"/>
      <c r="F2" s="28"/>
      <c r="G2" s="28"/>
      <c r="H2" s="36" t="s">
        <v>57</v>
      </c>
      <c r="I2" s="36" t="s">
        <v>51</v>
      </c>
      <c r="J2" s="36" t="s">
        <v>58</v>
      </c>
      <c r="K2" s="36" t="s">
        <v>59</v>
      </c>
      <c r="L2" s="28"/>
      <c r="M2" s="189" t="s">
        <v>96</v>
      </c>
      <c r="N2" s="28"/>
      <c r="O2" s="28"/>
      <c r="P2" s="28"/>
      <c r="R2" s="88" t="s">
        <v>74</v>
      </c>
      <c r="S2" s="88"/>
      <c r="T2" s="19" t="s">
        <v>65</v>
      </c>
      <c r="U2" s="19" t="s">
        <v>66</v>
      </c>
    </row>
    <row r="3" spans="1:56">
      <c r="A3" s="88" t="s">
        <v>69</v>
      </c>
      <c r="B3" s="88"/>
      <c r="C3" s="90">
        <f>Stufengrün!S46</f>
        <v>1.0323563876231049E-2</v>
      </c>
      <c r="D3" s="26">
        <f>Stufengrün!U46</f>
        <v>-0.77679246641748789</v>
      </c>
      <c r="E3" s="28"/>
      <c r="F3" s="28"/>
      <c r="G3" s="28"/>
      <c r="H3" s="146">
        <v>2</v>
      </c>
      <c r="I3" s="2">
        <f>Ystart</f>
        <v>-2</v>
      </c>
      <c r="J3" s="146">
        <f>'Up-17'!J3</f>
        <v>-1.115</v>
      </c>
      <c r="K3" s="146">
        <f>'Up-17'!K3</f>
        <v>3.4449999999999998</v>
      </c>
      <c r="L3" s="28"/>
      <c r="M3" s="189">
        <f>Yloch</f>
        <v>2</v>
      </c>
      <c r="N3" s="28"/>
      <c r="O3" s="28"/>
      <c r="P3" s="28"/>
      <c r="T3" s="220">
        <f>H22</f>
        <v>2</v>
      </c>
      <c r="U3" s="220">
        <f>I22</f>
        <v>-2</v>
      </c>
    </row>
    <row r="4" spans="1:56">
      <c r="A4" s="28"/>
      <c r="B4" s="28"/>
      <c r="C4" s="28"/>
      <c r="D4" s="28"/>
      <c r="E4" s="28"/>
      <c r="F4" s="28"/>
      <c r="G4" s="28"/>
      <c r="H4" s="37" t="s">
        <v>8</v>
      </c>
      <c r="I4" s="37" t="s">
        <v>8</v>
      </c>
      <c r="J4" s="37" t="s">
        <v>9</v>
      </c>
      <c r="K4" s="37" t="s">
        <v>9</v>
      </c>
      <c r="L4" s="28"/>
      <c r="M4" s="28"/>
      <c r="N4" s="28"/>
      <c r="O4" s="28"/>
      <c r="P4" s="28"/>
      <c r="T4" s="220">
        <f t="shared" ref="T4:U8" si="0">H23</f>
        <v>1.9174823305876159</v>
      </c>
      <c r="U4" s="220">
        <f t="shared" si="0"/>
        <v>-1.7453262723979892</v>
      </c>
    </row>
    <row r="5" spans="1:56">
      <c r="A5" s="88" t="s">
        <v>68</v>
      </c>
      <c r="B5" s="88"/>
      <c r="C5" s="26" t="s">
        <v>15</v>
      </c>
      <c r="D5" s="26" t="s">
        <v>55</v>
      </c>
      <c r="E5" s="26" t="s">
        <v>12</v>
      </c>
      <c r="F5" s="26" t="s">
        <v>10</v>
      </c>
      <c r="G5" s="26" t="s">
        <v>14</v>
      </c>
      <c r="H5" s="26" t="s">
        <v>21</v>
      </c>
      <c r="I5" s="26" t="s">
        <v>16</v>
      </c>
      <c r="J5" s="26" t="s">
        <v>17</v>
      </c>
      <c r="K5" s="26" t="s">
        <v>23</v>
      </c>
      <c r="L5" s="28"/>
      <c r="M5" s="28"/>
      <c r="N5" s="28"/>
      <c r="O5" s="28"/>
      <c r="P5" s="28"/>
      <c r="T5" s="220">
        <f t="shared" si="0"/>
        <v>1.8376005653195149</v>
      </c>
      <c r="U5" s="220">
        <f t="shared" si="0"/>
        <v>-1.4993312777323351</v>
      </c>
    </row>
    <row r="6" spans="1:56">
      <c r="A6" s="28"/>
      <c r="B6" s="28"/>
      <c r="C6" s="23">
        <f>Mü/TAN($C3)</f>
        <v>6.7803632591293521</v>
      </c>
      <c r="D6" s="42">
        <f>SQRT($J3*$J3+$K3*$K3)</f>
        <v>3.6209460089871541</v>
      </c>
      <c r="E6" s="20">
        <f>ATAN($J3/$K3)+PI()</f>
        <v>2.8285755016015774</v>
      </c>
      <c r="F6" s="23">
        <f>($E6-A19-0.0001)/5</f>
        <v>6.4778936755138577E-4</v>
      </c>
      <c r="G6" s="23">
        <f>COS($E6)</f>
        <v>-0.95140882836958685</v>
      </c>
      <c r="H6" s="23">
        <f>SIN($E6)</f>
        <v>0.30793057870307405</v>
      </c>
      <c r="I6" s="23">
        <f>$C6+$G6</f>
        <v>5.8289544307597652</v>
      </c>
      <c r="J6" s="23">
        <f>POWER(TAN($E6/2),$C6)</f>
        <v>273616.59142233862</v>
      </c>
      <c r="K6" s="23">
        <f>-$D6*$D6*SIN($E6)*SIN($E6)/(2*9.81*SIN($C3)*POWER(TAN($E6/2),2*$C6))</f>
        <v>-8.1986800756958569E-11</v>
      </c>
      <c r="L6" s="28"/>
      <c r="M6" s="28"/>
      <c r="N6" s="28"/>
      <c r="O6" s="28"/>
      <c r="P6" s="28"/>
      <c r="T6" s="220">
        <f t="shared" si="0"/>
        <v>1.7602654360040502</v>
      </c>
      <c r="U6" s="220">
        <f t="shared" si="0"/>
        <v>-1.2617027553848446</v>
      </c>
    </row>
    <row r="7" spans="1:56">
      <c r="A7" s="88" t="s">
        <v>70</v>
      </c>
      <c r="B7" s="88"/>
      <c r="C7" s="28"/>
      <c r="D7" s="28"/>
      <c r="E7" s="28"/>
      <c r="F7" s="28"/>
      <c r="G7" s="28"/>
      <c r="H7" s="28"/>
      <c r="I7" s="28"/>
      <c r="J7" s="28"/>
      <c r="K7" s="28"/>
      <c r="L7" s="28"/>
      <c r="M7" s="45"/>
      <c r="N7" s="28"/>
      <c r="O7" s="28"/>
      <c r="P7" s="28"/>
      <c r="T7" s="220">
        <f t="shared" si="0"/>
        <v>1.6853908692224548</v>
      </c>
      <c r="U7" s="220">
        <f t="shared" si="0"/>
        <v>-1.0321402743364572</v>
      </c>
    </row>
    <row r="8" spans="1:56">
      <c r="A8" s="26" t="s">
        <v>11</v>
      </c>
      <c r="B8" s="26" t="s">
        <v>13</v>
      </c>
      <c r="C8" s="26" t="s">
        <v>22</v>
      </c>
      <c r="D8" s="26" t="s">
        <v>18</v>
      </c>
      <c r="E8" s="26" t="s">
        <v>19</v>
      </c>
      <c r="F8" s="26" t="s">
        <v>20</v>
      </c>
      <c r="G8" s="26" t="s">
        <v>2</v>
      </c>
      <c r="H8" s="26" t="s">
        <v>65</v>
      </c>
      <c r="I8" s="26" t="s">
        <v>66</v>
      </c>
      <c r="J8" s="76" t="s">
        <v>3</v>
      </c>
      <c r="K8" s="76" t="s">
        <v>4</v>
      </c>
      <c r="L8" s="44" t="s">
        <v>7</v>
      </c>
      <c r="M8" s="26" t="s">
        <v>64</v>
      </c>
      <c r="N8" s="26" t="s">
        <v>61</v>
      </c>
      <c r="O8" s="26" t="s">
        <v>62</v>
      </c>
      <c r="P8" s="26" t="s">
        <v>63</v>
      </c>
      <c r="T8" s="220">
        <f t="shared" si="0"/>
        <v>1.6128938658585648</v>
      </c>
      <c r="U8" s="220">
        <f t="shared" si="0"/>
        <v>-0.81035476250148997</v>
      </c>
    </row>
    <row r="9" spans="1:56">
      <c r="A9" s="20">
        <f>$E6</f>
        <v>2.8285755016015774</v>
      </c>
      <c r="B9" s="23">
        <f>COS(A9)</f>
        <v>-0.95140882836958685</v>
      </c>
      <c r="C9" s="23">
        <f>($C$6+B9)</f>
        <v>5.8289544307597652</v>
      </c>
      <c r="D9" s="23">
        <f>POWER(TAN(A9/2),$C$6)</f>
        <v>273616.59142233862</v>
      </c>
      <c r="E9" s="23">
        <f>SIN(A9)</f>
        <v>0.30793057870307405</v>
      </c>
      <c r="F9" s="71">
        <f>(C9*$H$6*D9/E9/$I$6/$J$6)</f>
        <v>1</v>
      </c>
      <c r="G9" s="71">
        <f t="shared" ref="G9:G19" si="1">$D$6*($C$6+$G$6)/9.81/SIN($C$3)/(1-$C$6*$C$6)*(F9-1)</f>
        <v>0</v>
      </c>
      <c r="H9" s="75">
        <f t="shared" ref="H9:H19" si="2">-(-$H$3+$K$6*((POWER(TAN(A9/2),2*$C$6-1)/(2*$C$6-1))+(POWER(TAN(A9/2),2*$C$6+1)/(2*$C$6+1))-(POWER(TAN($E$6/2),2*$C$6-1)/(2*$C$6-1))-(POWER(TAN($E$6/2),2*$C$6+1)/(2*$C$6+1))))</f>
        <v>2</v>
      </c>
      <c r="I9" s="75">
        <f t="shared" ref="I9:I19" si="3">-(-$I$3+0.5*$K$6*((POWER(TAN(A9/2),2*$C$6-2)/(2*$C$6-2))-(POWER(TAN(A9/2),2*$C$6+2)/(2*$C$6+2))-(POWER(TAN($E$6/2),2*$C$6-2)/(2*$C$6-2))+(POWER(TAN($E$6/2),2*$C$6+2)/(2*$C$6+2))))</f>
        <v>-2</v>
      </c>
      <c r="J9" s="71">
        <f t="shared" ref="J9:J19" si="4">-$D$6*SIN(A9)*($C$6+$G$6)/($C$6+B9)*F9</f>
        <v>-1.1150000000000007</v>
      </c>
      <c r="K9" s="71">
        <f t="shared" ref="K9:K19" si="5">-$D$6*COS(A9)*($C$6+$G$6)/($C$6+B9)*F9</f>
        <v>3.4449999999999998</v>
      </c>
      <c r="L9" s="42">
        <f>SQRT(J9*J9+K9*K9)</f>
        <v>3.6209460089871541</v>
      </c>
      <c r="M9" s="23">
        <v>3.0000000000000001E-3</v>
      </c>
      <c r="N9" s="75">
        <f t="shared" ref="N9:N19" si="6">-(-$I$3+0.5*$K$6*((POWER(TAN(A9/2),2*$C$6-2)/(2*$C$6-2))-(POWER(TAN(A9/2),2*$C$6+2)/(2*$C$6+2))-(POWER(TAN($E$6/2),2*$C$6-2)/(2*$C$6-2))+(POWER(TAN($E$6/2),2*$C$6+2)/(2*$C$6+2))))-$D$3</f>
        <v>-1.2232075335825121</v>
      </c>
      <c r="O9" s="75">
        <f>-(-$I$3+0.5*$K$6*((POWER(TAN((A9+$M$9)/2),2*$C$6-2)/(2*$C$6-2))-(POWER(TAN((A9+$M$9)/2),2*$C$6+2)/(2*$C$6+2))-(POWER(TAN($E$6/2),2*$C$6-2)/(2*$C$6-2))+(POWER(TAN($E$6/2),2*$C$6+2)/(2*$C$6+2))))-$D$3</f>
        <v>-2.5254985349355126</v>
      </c>
      <c r="P9" s="75">
        <f>A9-N9/(O9-N9)*$M$9</f>
        <v>2.8257576808557263</v>
      </c>
      <c r="T9" s="221">
        <f>H49</f>
        <v>1.6019091012609112</v>
      </c>
      <c r="U9" s="221">
        <f>I49</f>
        <v>-0.77679246643887212</v>
      </c>
    </row>
    <row r="10" spans="1:56">
      <c r="A10" s="20">
        <f t="shared" ref="A10:A19" si="7">P9</f>
        <v>2.8257576808557263</v>
      </c>
      <c r="B10" s="23">
        <f t="shared" ref="B10:B19" si="8">COS(A10)</f>
        <v>-0.95053735920023519</v>
      </c>
      <c r="C10" s="23">
        <f t="shared" ref="C10:C19" si="9">($C$6+B10)</f>
        <v>5.8298258999291166</v>
      </c>
      <c r="D10" s="23">
        <f t="shared" ref="D10:D19" si="10">POWER(TAN(A10/2),$C$6)</f>
        <v>257224.77625824496</v>
      </c>
      <c r="E10" s="23">
        <f t="shared" ref="E10:E19" si="11">SIN(A10)</f>
        <v>0.31061025218856364</v>
      </c>
      <c r="F10" s="71">
        <f t="shared" ref="F10:F19" si="12">(C10*$H$6*D10/E10/$I$6/$J$6)</f>
        <v>0.932121074023327</v>
      </c>
      <c r="G10" s="71">
        <f t="shared" si="1"/>
        <v>0.31455871547628889</v>
      </c>
      <c r="H10" s="75">
        <f t="shared" si="2"/>
        <v>1.659757713442541</v>
      </c>
      <c r="I10" s="75">
        <f t="shared" si="3"/>
        <v>-0.95366686055036598</v>
      </c>
      <c r="J10" s="71">
        <f t="shared" si="4"/>
        <v>-1.0482026109493003</v>
      </c>
      <c r="K10" s="71">
        <f t="shared" si="5"/>
        <v>3.2077361732209573</v>
      </c>
      <c r="L10" s="42">
        <f t="shared" ref="L10:L19" si="13">SQRT(J10*J10+K10*K10)</f>
        <v>3.37465554843619</v>
      </c>
      <c r="M10" s="28"/>
      <c r="N10" s="75">
        <f t="shared" si="6"/>
        <v>-0.17687439413287809</v>
      </c>
      <c r="O10" s="75">
        <f t="shared" ref="O10:O19" si="14">-(-$I$3+0.5*$K$6*((POWER(TAN((A10+$M$9)/2),2*$C$6-2)/(2*$C$6-2))-(POWER(TAN((A10+$M$9)/2),2*$C$6+2)/(2*$C$6+2))-(POWER(TAN($E$6/2),2*$C$6-2)/(2*$C$6-2))+(POWER(TAN($E$6/2),2*$C$6+2)/(2*$C$6+2))))-$D$3</f>
        <v>-1.2964377284497515</v>
      </c>
      <c r="P10" s="75">
        <f t="shared" ref="P10:P19" si="15">A10-N10/(O10-N10)*$M$9</f>
        <v>2.8252837253713565</v>
      </c>
      <c r="T10" s="221">
        <f t="shared" ref="T10:U14" si="16">H50</f>
        <v>1.5607707438028171</v>
      </c>
      <c r="U10" s="221">
        <f t="shared" si="16"/>
        <v>-0.65224493722252042</v>
      </c>
    </row>
    <row r="11" spans="1:56">
      <c r="A11" s="20">
        <f t="shared" si="7"/>
        <v>2.8252837253713565</v>
      </c>
      <c r="B11" s="23">
        <f t="shared" si="8"/>
        <v>-0.95039003701181246</v>
      </c>
      <c r="C11" s="23">
        <f t="shared" si="9"/>
        <v>5.8299732221175393</v>
      </c>
      <c r="D11" s="23">
        <f t="shared" si="10"/>
        <v>254579.14248874306</v>
      </c>
      <c r="E11" s="23">
        <f t="shared" si="11"/>
        <v>0.31106072967940812</v>
      </c>
      <c r="F11" s="71">
        <f t="shared" si="12"/>
        <v>0.92122119732252306</v>
      </c>
      <c r="G11" s="71">
        <f t="shared" si="1"/>
        <v>0.36506999220204461</v>
      </c>
      <c r="H11" s="75">
        <f t="shared" si="2"/>
        <v>1.607083878521155</v>
      </c>
      <c r="I11" s="75">
        <f t="shared" si="3"/>
        <v>-0.79260180561527727</v>
      </c>
      <c r="J11" s="71">
        <f t="shared" si="4"/>
        <v>-1.0374215335385328</v>
      </c>
      <c r="K11" s="71">
        <f t="shared" si="5"/>
        <v>3.1696546544872541</v>
      </c>
      <c r="L11" s="42">
        <f t="shared" si="13"/>
        <v>3.3351093036004316</v>
      </c>
      <c r="M11" s="28"/>
      <c r="N11" s="75">
        <f t="shared" si="6"/>
        <v>-1.5809339197789374E-2</v>
      </c>
      <c r="O11" s="75">
        <f t="shared" si="14"/>
        <v>-1.1074031754037197</v>
      </c>
      <c r="P11" s="75">
        <f t="shared" si="15"/>
        <v>2.8252402769603999</v>
      </c>
      <c r="T11" s="221">
        <f t="shared" si="16"/>
        <v>1.521586116671539</v>
      </c>
      <c r="U11" s="221">
        <f t="shared" si="16"/>
        <v>-0.53572410978369067</v>
      </c>
    </row>
    <row r="12" spans="1:56">
      <c r="A12" s="20">
        <f t="shared" si="7"/>
        <v>2.8252402769603999</v>
      </c>
      <c r="B12" s="23">
        <f t="shared" si="8"/>
        <v>-0.95037652102034487</v>
      </c>
      <c r="C12" s="26">
        <f t="shared" si="9"/>
        <v>5.8299867381090076</v>
      </c>
      <c r="D12" s="26">
        <f t="shared" si="10"/>
        <v>254338.16856765962</v>
      </c>
      <c r="E12" s="26">
        <f t="shared" si="11"/>
        <v>0.31110202232268758</v>
      </c>
      <c r="F12" s="77">
        <f t="shared" si="12"/>
        <v>0.92022918329577341</v>
      </c>
      <c r="G12" s="77">
        <f t="shared" si="1"/>
        <v>0.36966709879291887</v>
      </c>
      <c r="H12" s="75">
        <f t="shared" si="2"/>
        <v>1.6023169982344125</v>
      </c>
      <c r="I12" s="75">
        <f t="shared" si="3"/>
        <v>-0.77803853119812816</v>
      </c>
      <c r="J12" s="77">
        <f t="shared" si="4"/>
        <v>-1.0364395538982949</v>
      </c>
      <c r="K12" s="77">
        <f t="shared" si="5"/>
        <v>3.1661890531204899</v>
      </c>
      <c r="L12" s="91">
        <f t="shared" si="13"/>
        <v>3.3315101784303347</v>
      </c>
      <c r="M12" s="92"/>
      <c r="N12" s="75">
        <f t="shared" si="6"/>
        <v>-1.2460647806402658E-3</v>
      </c>
      <c r="O12" s="75">
        <f t="shared" si="14"/>
        <v>-1.0903131333599929</v>
      </c>
      <c r="P12" s="75">
        <f t="shared" si="15"/>
        <v>2.8252368444864508</v>
      </c>
      <c r="T12" s="221">
        <f t="shared" si="16"/>
        <v>1.4842314069494495</v>
      </c>
      <c r="U12" s="221">
        <f t="shared" si="16"/>
        <v>-0.42659440927466508</v>
      </c>
    </row>
    <row r="13" spans="1:56">
      <c r="A13" s="20">
        <f t="shared" si="7"/>
        <v>2.8252368444864508</v>
      </c>
      <c r="B13" s="23">
        <f t="shared" si="8"/>
        <v>-0.95037545316515915</v>
      </c>
      <c r="C13" s="23">
        <f t="shared" si="9"/>
        <v>5.8299878059641932</v>
      </c>
      <c r="D13" s="23">
        <f t="shared" si="10"/>
        <v>254319.14244046889</v>
      </c>
      <c r="E13" s="23">
        <f t="shared" si="11"/>
        <v>0.31110528446350511</v>
      </c>
      <c r="F13" s="71">
        <f t="shared" si="12"/>
        <v>0.92015086430930759</v>
      </c>
      <c r="G13" s="71">
        <f t="shared" si="1"/>
        <v>0.37003003794414469</v>
      </c>
      <c r="H13" s="75">
        <f t="shared" si="2"/>
        <v>1.6019408478121666</v>
      </c>
      <c r="I13" s="75">
        <f t="shared" si="3"/>
        <v>-0.77688944688168693</v>
      </c>
      <c r="J13" s="71">
        <f t="shared" si="4"/>
        <v>-1.0363620215684481</v>
      </c>
      <c r="K13" s="71">
        <f t="shared" si="5"/>
        <v>3.1659154475301561</v>
      </c>
      <c r="L13" s="42">
        <f t="shared" si="13"/>
        <v>3.3312260296562752</v>
      </c>
      <c r="M13" s="28"/>
      <c r="N13" s="75">
        <f t="shared" si="6"/>
        <v>-9.6980464199036831E-5</v>
      </c>
      <c r="O13" s="75">
        <f t="shared" si="14"/>
        <v>-1.0889646954150654</v>
      </c>
      <c r="P13" s="75">
        <f t="shared" si="15"/>
        <v>2.8252365772901804</v>
      </c>
      <c r="T13" s="221">
        <f t="shared" si="16"/>
        <v>1.4485924974505662</v>
      </c>
      <c r="U13" s="221">
        <f t="shared" si="16"/>
        <v>-0.32427973867055543</v>
      </c>
    </row>
    <row r="14" spans="1:56">
      <c r="A14" s="20">
        <f t="shared" si="7"/>
        <v>2.8252365772901804</v>
      </c>
      <c r="B14" s="23">
        <f t="shared" si="8"/>
        <v>-0.95037537003895345</v>
      </c>
      <c r="C14" s="23">
        <f t="shared" si="9"/>
        <v>5.8299878890903987</v>
      </c>
      <c r="D14" s="23">
        <f t="shared" si="10"/>
        <v>254317.66144553028</v>
      </c>
      <c r="E14" s="23">
        <f t="shared" si="11"/>
        <v>0.31110553840027061</v>
      </c>
      <c r="F14" s="71">
        <f t="shared" si="12"/>
        <v>0.92014476798891998</v>
      </c>
      <c r="G14" s="71">
        <f t="shared" si="1"/>
        <v>0.37005828899088222</v>
      </c>
      <c r="H14" s="75">
        <f t="shared" si="2"/>
        <v>1.6019115695854989</v>
      </c>
      <c r="I14" s="75">
        <f t="shared" si="3"/>
        <v>-0.77680000675721894</v>
      </c>
      <c r="J14" s="71">
        <f t="shared" si="4"/>
        <v>-1.0363559864470109</v>
      </c>
      <c r="K14" s="71">
        <f t="shared" si="5"/>
        <v>3.165894150185292</v>
      </c>
      <c r="L14" s="42">
        <f t="shared" si="13"/>
        <v>3.3312039116244456</v>
      </c>
      <c r="M14" s="28"/>
      <c r="N14" s="75">
        <f t="shared" si="6"/>
        <v>-7.5403397310491727E-6</v>
      </c>
      <c r="O14" s="75">
        <f t="shared" si="14"/>
        <v>-1.0888597384979015</v>
      </c>
      <c r="P14" s="75">
        <f t="shared" si="15"/>
        <v>2.8252365565150752</v>
      </c>
      <c r="T14" s="221">
        <f t="shared" si="16"/>
        <v>1.4145640677948421</v>
      </c>
      <c r="U14" s="221">
        <f t="shared" si="16"/>
        <v>-0.2282570815172783</v>
      </c>
    </row>
    <row r="15" spans="1:56">
      <c r="A15" s="20">
        <f t="shared" si="7"/>
        <v>2.8252365565150752</v>
      </c>
      <c r="B15" s="23">
        <f t="shared" si="8"/>
        <v>-0.95037536357570296</v>
      </c>
      <c r="C15" s="23">
        <f t="shared" si="9"/>
        <v>5.829987895553649</v>
      </c>
      <c r="D15" s="23">
        <f t="shared" si="10"/>
        <v>254317.54629528662</v>
      </c>
      <c r="E15" s="23">
        <f t="shared" si="11"/>
        <v>0.31110555814441881</v>
      </c>
      <c r="F15" s="71">
        <f t="shared" si="12"/>
        <v>0.92014429398833375</v>
      </c>
      <c r="G15" s="71">
        <f t="shared" si="1"/>
        <v>0.37006048556387439</v>
      </c>
      <c r="H15" s="75">
        <f t="shared" si="2"/>
        <v>1.6019092931544476</v>
      </c>
      <c r="I15" s="75">
        <f t="shared" si="3"/>
        <v>-0.77679305264145015</v>
      </c>
      <c r="J15" s="71">
        <f t="shared" si="4"/>
        <v>-1.0363555172045535</v>
      </c>
      <c r="K15" s="71">
        <f t="shared" si="5"/>
        <v>3.1658924942760067</v>
      </c>
      <c r="L15" s="42">
        <f t="shared" si="13"/>
        <v>3.3312021919051196</v>
      </c>
      <c r="M15" s="28"/>
      <c r="N15" s="75">
        <f t="shared" si="6"/>
        <v>-5.862239622622667E-7</v>
      </c>
      <c r="O15" s="75">
        <f t="shared" si="14"/>
        <v>-1.0888515779267547</v>
      </c>
      <c r="P15" s="75">
        <f t="shared" si="15"/>
        <v>2.8252365548999121</v>
      </c>
      <c r="T15" s="222">
        <f t="shared" ref="T15:U20" si="17">H76</f>
        <v>1.4139469995889142</v>
      </c>
      <c r="U15" s="222">
        <f t="shared" si="17"/>
        <v>-0.22653102238502199</v>
      </c>
    </row>
    <row r="16" spans="1:56">
      <c r="A16" s="20">
        <f t="shared" si="7"/>
        <v>2.8252365548999121</v>
      </c>
      <c r="B16" s="23">
        <f t="shared" si="8"/>
        <v>-0.95037536307321679</v>
      </c>
      <c r="C16" s="23">
        <f t="shared" si="9"/>
        <v>5.8299878960561351</v>
      </c>
      <c r="D16" s="23">
        <f t="shared" si="10"/>
        <v>254317.53734291901</v>
      </c>
      <c r="E16" s="23">
        <f t="shared" si="11"/>
        <v>0.31110555967943004</v>
      </c>
      <c r="F16" s="71">
        <f t="shared" si="12"/>
        <v>0.92014425713711046</v>
      </c>
      <c r="G16" s="71">
        <f t="shared" si="1"/>
        <v>0.3700606563366628</v>
      </c>
      <c r="H16" s="75">
        <f t="shared" si="2"/>
        <v>1.6019091161731323</v>
      </c>
      <c r="I16" s="75">
        <f t="shared" si="3"/>
        <v>-0.77679251199318866</v>
      </c>
      <c r="J16" s="71">
        <f t="shared" si="4"/>
        <v>-1.03635548072325</v>
      </c>
      <c r="K16" s="71">
        <f t="shared" si="5"/>
        <v>3.1658923655371729</v>
      </c>
      <c r="L16" s="42">
        <f t="shared" si="13"/>
        <v>3.331202058205367</v>
      </c>
      <c r="M16" s="28"/>
      <c r="N16" s="75">
        <f t="shared" si="6"/>
        <v>-4.5575700768907268E-8</v>
      </c>
      <c r="O16" s="75">
        <f t="shared" si="14"/>
        <v>-1.0888509434825369</v>
      </c>
      <c r="P16" s="75">
        <f t="shared" si="15"/>
        <v>2.8252365547743419</v>
      </c>
      <c r="T16" s="222">
        <f t="shared" si="17"/>
        <v>1.3672710551693492</v>
      </c>
      <c r="U16" s="222">
        <f t="shared" si="17"/>
        <v>-0.10003546072086233</v>
      </c>
    </row>
    <row r="17" spans="1:21">
      <c r="A17" s="20">
        <f t="shared" si="7"/>
        <v>2.8252365547743419</v>
      </c>
      <c r="B17" s="23">
        <f t="shared" si="8"/>
        <v>-0.95037536303415115</v>
      </c>
      <c r="C17" s="23">
        <f t="shared" si="9"/>
        <v>5.8299878960952007</v>
      </c>
      <c r="D17" s="23">
        <f t="shared" si="10"/>
        <v>254317.53664692101</v>
      </c>
      <c r="E17" s="23">
        <f t="shared" si="11"/>
        <v>0.31110555979876886</v>
      </c>
      <c r="F17" s="71">
        <f t="shared" si="12"/>
        <v>0.92014425427212776</v>
      </c>
      <c r="G17" s="71">
        <f t="shared" si="1"/>
        <v>0.37006066961332068</v>
      </c>
      <c r="H17" s="75">
        <f t="shared" si="2"/>
        <v>1.6019091024137833</v>
      </c>
      <c r="I17" s="75">
        <f t="shared" si="3"/>
        <v>-0.77679246996069806</v>
      </c>
      <c r="J17" s="71">
        <f t="shared" si="4"/>
        <v>-1.0363554778870268</v>
      </c>
      <c r="K17" s="71">
        <f t="shared" si="5"/>
        <v>3.1658923555284271</v>
      </c>
      <c r="L17" s="42">
        <f t="shared" si="13"/>
        <v>3.3312020478109372</v>
      </c>
      <c r="M17" s="28"/>
      <c r="N17" s="75">
        <f t="shared" si="6"/>
        <v>-3.5432101697097096E-9</v>
      </c>
      <c r="O17" s="75">
        <f t="shared" si="14"/>
        <v>-1.0888508941579298</v>
      </c>
      <c r="P17" s="75">
        <f t="shared" si="15"/>
        <v>2.8252365547645795</v>
      </c>
      <c r="T17" s="222">
        <f t="shared" si="17"/>
        <v>1.3262863198996224</v>
      </c>
      <c r="U17" s="222">
        <f t="shared" si="17"/>
        <v>4.2751743889698768E-3</v>
      </c>
    </row>
    <row r="18" spans="1:21">
      <c r="A18" s="20">
        <f t="shared" si="7"/>
        <v>2.8252365547645795</v>
      </c>
      <c r="B18" s="23">
        <f t="shared" si="8"/>
        <v>-0.95037536303111403</v>
      </c>
      <c r="C18" s="23">
        <f t="shared" si="9"/>
        <v>5.8299878960982383</v>
      </c>
      <c r="D18" s="23">
        <f t="shared" si="10"/>
        <v>254317.53659281117</v>
      </c>
      <c r="E18" s="23">
        <f t="shared" si="11"/>
        <v>0.31110555980804683</v>
      </c>
      <c r="F18" s="71">
        <f t="shared" si="12"/>
        <v>0.92014425404939193</v>
      </c>
      <c r="G18" s="71">
        <f t="shared" si="1"/>
        <v>0.37006067064550402</v>
      </c>
      <c r="H18" s="75">
        <f t="shared" si="2"/>
        <v>1.6019091013440787</v>
      </c>
      <c r="I18" s="75">
        <f t="shared" si="3"/>
        <v>-0.77679246669291913</v>
      </c>
      <c r="J18" s="71">
        <f t="shared" si="4"/>
        <v>-1.0363554776665267</v>
      </c>
      <c r="K18" s="71">
        <f t="shared" si="5"/>
        <v>3.1658923547503051</v>
      </c>
      <c r="L18" s="42">
        <f t="shared" si="13"/>
        <v>3.3312020470028303</v>
      </c>
      <c r="M18" s="28"/>
      <c r="N18" s="75">
        <f t="shared" si="6"/>
        <v>-2.7543123337636644E-10</v>
      </c>
      <c r="O18" s="75">
        <f t="shared" si="14"/>
        <v>-1.0888508903231966</v>
      </c>
      <c r="P18" s="75">
        <f t="shared" si="15"/>
        <v>2.8252365547638205</v>
      </c>
      <c r="R18" s="84"/>
      <c r="S18" s="84"/>
      <c r="T18" s="222">
        <f t="shared" si="17"/>
        <v>1.2900248304586448</v>
      </c>
      <c r="U18" s="222">
        <f t="shared" si="17"/>
        <v>9.1186998926789109E-2</v>
      </c>
    </row>
    <row r="19" spans="1:21">
      <c r="A19" s="20">
        <f t="shared" si="7"/>
        <v>2.8252365547638205</v>
      </c>
      <c r="B19" s="23">
        <f t="shared" si="8"/>
        <v>-0.95037536303087788</v>
      </c>
      <c r="C19" s="23">
        <f t="shared" si="9"/>
        <v>5.8299878960984746</v>
      </c>
      <c r="D19" s="23">
        <f t="shared" si="10"/>
        <v>254317.53658860439</v>
      </c>
      <c r="E19" s="23">
        <f t="shared" si="11"/>
        <v>0.31110555980876814</v>
      </c>
      <c r="F19" s="71">
        <f t="shared" si="12"/>
        <v>0.920144254032075</v>
      </c>
      <c r="G19" s="71">
        <f t="shared" si="1"/>
        <v>0.37006067072575266</v>
      </c>
      <c r="H19" s="81">
        <f t="shared" si="2"/>
        <v>1.6019091012609112</v>
      </c>
      <c r="I19" s="81">
        <f t="shared" si="3"/>
        <v>-0.77679246643887212</v>
      </c>
      <c r="J19" s="80">
        <f t="shared" si="4"/>
        <v>-1.0363554776493837</v>
      </c>
      <c r="K19" s="80">
        <f t="shared" si="5"/>
        <v>3.1658923546898086</v>
      </c>
      <c r="L19" s="42">
        <f t="shared" si="13"/>
        <v>3.3312020469400028</v>
      </c>
      <c r="M19" s="28"/>
      <c r="N19" s="75">
        <f t="shared" si="6"/>
        <v>-2.1384227721910065E-11</v>
      </c>
      <c r="O19" s="75">
        <f t="shared" si="14"/>
        <v>-1.0888508900251013</v>
      </c>
      <c r="P19" s="75">
        <f t="shared" si="15"/>
        <v>2.8252365547637615</v>
      </c>
      <c r="R19" s="84"/>
      <c r="S19" s="84"/>
      <c r="T19" s="222">
        <f t="shared" si="17"/>
        <v>1.2577223038311245</v>
      </c>
      <c r="U19" s="222">
        <f t="shared" si="17"/>
        <v>0.16427655716051826</v>
      </c>
    </row>
    <row r="20" spans="1:21">
      <c r="A20" s="88" t="s">
        <v>60</v>
      </c>
      <c r="B20" s="8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R20" s="84"/>
      <c r="S20" s="84"/>
      <c r="T20" s="222">
        <f t="shared" si="17"/>
        <v>1.2287678223433154</v>
      </c>
      <c r="U20" s="222">
        <f t="shared" si="17"/>
        <v>0.22625716770363591</v>
      </c>
    </row>
    <row r="21" spans="1:21">
      <c r="A21" s="26" t="s">
        <v>11</v>
      </c>
      <c r="B21" s="26" t="s">
        <v>13</v>
      </c>
      <c r="C21" s="26" t="s">
        <v>22</v>
      </c>
      <c r="D21" s="26" t="s">
        <v>18</v>
      </c>
      <c r="E21" s="26" t="s">
        <v>19</v>
      </c>
      <c r="F21" s="26" t="s">
        <v>20</v>
      </c>
      <c r="G21" s="26" t="s">
        <v>2</v>
      </c>
      <c r="H21" s="26" t="s">
        <v>1</v>
      </c>
      <c r="I21" s="26" t="s">
        <v>0</v>
      </c>
      <c r="J21" s="76" t="s">
        <v>3</v>
      </c>
      <c r="K21" s="76" t="s">
        <v>4</v>
      </c>
      <c r="L21" s="44" t="s">
        <v>7</v>
      </c>
      <c r="M21" s="44" t="s">
        <v>24</v>
      </c>
      <c r="N21" s="28"/>
      <c r="O21" s="28"/>
      <c r="P21" s="31"/>
      <c r="Q21" s="84"/>
      <c r="R21" s="84"/>
      <c r="S21" s="84"/>
      <c r="T21" s="221">
        <f t="shared" ref="T21:U26" si="18">H103</f>
        <v>1.2286362868335408</v>
      </c>
      <c r="U21" s="221">
        <f t="shared" si="18"/>
        <v>0.2265310223850226</v>
      </c>
    </row>
    <row r="22" spans="1:21">
      <c r="A22" s="20">
        <f>$E$6</f>
        <v>2.8285755016015774</v>
      </c>
      <c r="B22" s="23">
        <f t="shared" ref="B22:B27" si="19">COS(A22)</f>
        <v>-0.95140882836958685</v>
      </c>
      <c r="C22" s="23">
        <f t="shared" ref="C22:C27" si="20">($C$6+B22)</f>
        <v>5.8289544307597652</v>
      </c>
      <c r="D22" s="23">
        <f t="shared" ref="D22:D27" si="21">POWER(TAN(A22/2),$C$6)</f>
        <v>273616.59142233862</v>
      </c>
      <c r="E22" s="23">
        <f t="shared" ref="E22:E27" si="22">SIN(A22)</f>
        <v>0.30793057870307405</v>
      </c>
      <c r="F22" s="71">
        <f t="shared" ref="F22:F27" si="23">(C22*$H$6*D22/E22/$I$6/$J$6)</f>
        <v>1</v>
      </c>
      <c r="G22" s="71">
        <f t="shared" ref="G22:G27" si="24">$D$6*($C$6+$G$6)/9.81/SIN($C$3)/(1-$C$6*$C$6)*(F22-1)</f>
        <v>0</v>
      </c>
      <c r="H22" s="80">
        <f t="shared" ref="H22:H27" si="25">-(-$H$3+$K$6*((POWER(TAN(A22/2),2*$C$6-1)/(2*$C$6-1))+(POWER(TAN(A22/2),2*$C$6+1)/(2*$C$6+1))-(POWER(TAN($E$6/2),2*$C$6-1)/(2*$C$6-1))-(POWER(TAN($E$6/2),2*$C$6+1)/(2*$C$6+1))))</f>
        <v>2</v>
      </c>
      <c r="I22" s="80">
        <f t="shared" ref="I22:I27" si="26">-(-$I$3+0.5*$K$6*((POWER(TAN(A22/2),2*$C$6-2)/(2*$C$6-2))-(POWER(TAN(A22/2),2*$C$6+2)/(2*$C$6+2))-(POWER(TAN($E$6/2),2*$C$6-2)/(2*$C$6-2))+(POWER(TAN($E$6/2),2*$C$6+2)/(2*$C$6+2))))</f>
        <v>-2</v>
      </c>
      <c r="J22" s="71">
        <f t="shared" ref="J22:J27" si="27">-$D$6*SIN(A22)*($C$6+$G$6)/($C$6+B22)*F22</f>
        <v>-1.1150000000000007</v>
      </c>
      <c r="K22" s="71">
        <f t="shared" ref="K22:K27" si="28">-$D$6*COS(A22)*($C$6+$G$6)/($C$6+B22)*F22</f>
        <v>3.4449999999999998</v>
      </c>
      <c r="L22" s="72">
        <f t="shared" ref="L22:L27" si="29">SQRT(J22*J22+K22*K22)</f>
        <v>3.6209460089871541</v>
      </c>
      <c r="M22" s="73">
        <f>-K22/J22*H22+I22</f>
        <v>4.1793721973094131</v>
      </c>
      <c r="N22" s="28"/>
      <c r="O22" s="28"/>
      <c r="P22" s="31"/>
      <c r="Q22" s="84"/>
      <c r="R22" s="84"/>
      <c r="S22" s="84"/>
      <c r="T22" s="221">
        <f t="shared" si="18"/>
        <v>1.1500312923427531</v>
      </c>
      <c r="U22" s="221">
        <f t="shared" si="18"/>
        <v>0.38521910303957096</v>
      </c>
    </row>
    <row r="23" spans="1:21">
      <c r="A23" s="20">
        <f>A22-$F$6</f>
        <v>2.8279277122340263</v>
      </c>
      <c r="B23" s="23">
        <f t="shared" si="19"/>
        <v>-0.95120915460836719</v>
      </c>
      <c r="C23" s="23">
        <f t="shared" si="20"/>
        <v>5.8291541045209847</v>
      </c>
      <c r="D23" s="23">
        <f t="shared" si="21"/>
        <v>269745.33801176533</v>
      </c>
      <c r="E23" s="23">
        <f t="shared" si="22"/>
        <v>0.30854682657456617</v>
      </c>
      <c r="F23" s="71">
        <f t="shared" si="23"/>
        <v>0.98391624266271438</v>
      </c>
      <c r="G23" s="71">
        <f t="shared" si="24"/>
        <v>7.453397317729446E-2</v>
      </c>
      <c r="H23" s="81">
        <f t="shared" si="25"/>
        <v>1.9174823305876159</v>
      </c>
      <c r="I23" s="81">
        <f t="shared" si="26"/>
        <v>-1.7453262723979892</v>
      </c>
      <c r="J23" s="71">
        <f t="shared" si="27"/>
        <v>-1.0992244670531459</v>
      </c>
      <c r="K23" s="71">
        <f t="shared" si="28"/>
        <v>3.3887639929356679</v>
      </c>
      <c r="L23" s="42">
        <f t="shared" si="29"/>
        <v>3.5625855538899782</v>
      </c>
      <c r="M23" s="45"/>
      <c r="N23" s="28"/>
      <c r="O23" s="28"/>
      <c r="P23" s="31"/>
      <c r="Q23" s="84"/>
      <c r="R23" s="84"/>
      <c r="S23" s="84"/>
      <c r="T23" s="221">
        <f t="shared" si="18"/>
        <v>1.0824278807599728</v>
      </c>
      <c r="U23" s="221">
        <f t="shared" si="18"/>
        <v>0.51350906045722522</v>
      </c>
    </row>
    <row r="24" spans="1:21">
      <c r="A24" s="20">
        <f>A23-$F$6</f>
        <v>2.8272799228664751</v>
      </c>
      <c r="B24" s="23">
        <f t="shared" si="19"/>
        <v>-0.95100908169025122</v>
      </c>
      <c r="C24" s="23">
        <f t="shared" si="20"/>
        <v>5.8293541774391011</v>
      </c>
      <c r="D24" s="23">
        <f t="shared" si="21"/>
        <v>265936.4169664699</v>
      </c>
      <c r="E24" s="23">
        <f t="shared" si="22"/>
        <v>0.30916294497022945</v>
      </c>
      <c r="F24" s="71">
        <f t="shared" si="23"/>
        <v>0.96812302691996399</v>
      </c>
      <c r="G24" s="71">
        <f t="shared" si="24"/>
        <v>0.14772154333694479</v>
      </c>
      <c r="H24" s="81">
        <f t="shared" si="25"/>
        <v>1.8376005653195149</v>
      </c>
      <c r="I24" s="81">
        <f t="shared" si="26"/>
        <v>-1.4993312777323351</v>
      </c>
      <c r="J24" s="71">
        <f t="shared" si="27"/>
        <v>-1.0837029413173436</v>
      </c>
      <c r="K24" s="71">
        <f t="shared" si="28"/>
        <v>3.3335538938745488</v>
      </c>
      <c r="L24" s="42">
        <f t="shared" si="29"/>
        <v>3.5052808201891654</v>
      </c>
      <c r="M24" s="45"/>
      <c r="N24" s="28"/>
      <c r="O24" s="28"/>
      <c r="P24" s="28"/>
      <c r="Q24" s="84"/>
      <c r="R24" s="85"/>
      <c r="S24" s="85"/>
      <c r="T24" s="221">
        <f t="shared" si="18"/>
        <v>1.0238054808028945</v>
      </c>
      <c r="U24" s="221">
        <f t="shared" si="18"/>
        <v>0.61830107557023029</v>
      </c>
    </row>
    <row r="25" spans="1:21">
      <c r="A25" s="20">
        <f>A24-$F$6</f>
        <v>2.8266321334989239</v>
      </c>
      <c r="B25" s="23">
        <f t="shared" si="19"/>
        <v>-0.95080860969919567</v>
      </c>
      <c r="C25" s="23">
        <f t="shared" si="20"/>
        <v>5.8295546494301567</v>
      </c>
      <c r="D25" s="23">
        <f t="shared" si="21"/>
        <v>262188.70184766676</v>
      </c>
      <c r="E25" s="23">
        <f t="shared" si="22"/>
        <v>0.30977893363152148</v>
      </c>
      <c r="F25" s="71">
        <f t="shared" si="23"/>
        <v>0.95261452794493928</v>
      </c>
      <c r="G25" s="71">
        <f t="shared" si="24"/>
        <v>0.21958970339336029</v>
      </c>
      <c r="H25" s="81">
        <f t="shared" si="25"/>
        <v>1.7602654360040502</v>
      </c>
      <c r="I25" s="81">
        <f t="shared" si="26"/>
        <v>-1.2617027553848446</v>
      </c>
      <c r="J25" s="71">
        <f t="shared" si="27"/>
        <v>-1.0684308325035343</v>
      </c>
      <c r="K25" s="71">
        <f t="shared" si="28"/>
        <v>3.2793489941469343</v>
      </c>
      <c r="L25" s="42">
        <f t="shared" si="29"/>
        <v>3.4490106217952858</v>
      </c>
      <c r="M25" s="45"/>
      <c r="N25" s="28"/>
      <c r="O25" s="28"/>
      <c r="P25" s="28"/>
      <c r="Q25" s="84"/>
      <c r="T25" s="221">
        <f t="shared" si="18"/>
        <v>0.97258945719264367</v>
      </c>
      <c r="U25" s="221">
        <f t="shared" si="18"/>
        <v>0.70469844386253722</v>
      </c>
    </row>
    <row r="26" spans="1:21">
      <c r="A26" s="20">
        <f>A25-$F$6</f>
        <v>2.8259843441313728</v>
      </c>
      <c r="B26" s="23">
        <f t="shared" si="19"/>
        <v>-0.95060773871932491</v>
      </c>
      <c r="C26" s="23">
        <f t="shared" si="20"/>
        <v>5.8297555204100275</v>
      </c>
      <c r="D26" s="23">
        <f t="shared" si="21"/>
        <v>258501.08879905066</v>
      </c>
      <c r="E26" s="23">
        <f t="shared" si="22"/>
        <v>0.31039479229995437</v>
      </c>
      <c r="F26" s="71">
        <f t="shared" si="23"/>
        <v>0.93738504923557942</v>
      </c>
      <c r="G26" s="71">
        <f t="shared" si="24"/>
        <v>0.29016485158937089</v>
      </c>
      <c r="H26" s="81">
        <f t="shared" si="25"/>
        <v>1.6853908692224548</v>
      </c>
      <c r="I26" s="81">
        <f t="shared" si="26"/>
        <v>-1.0321402743364572</v>
      </c>
      <c r="J26" s="71">
        <f t="shared" si="27"/>
        <v>-1.0534036423472894</v>
      </c>
      <c r="K26" s="71">
        <f t="shared" si="28"/>
        <v>3.2261290435658019</v>
      </c>
      <c r="L26" s="42">
        <f t="shared" si="29"/>
        <v>3.3937542396952276</v>
      </c>
      <c r="M26" s="45"/>
      <c r="N26" s="28"/>
      <c r="O26" s="28"/>
      <c r="P26" s="28"/>
      <c r="Q26" s="84"/>
      <c r="T26" s="221">
        <f t="shared" si="18"/>
        <v>0.92753771536217633</v>
      </c>
      <c r="U26" s="221">
        <f t="shared" si="18"/>
        <v>0.77653066127159742</v>
      </c>
    </row>
    <row r="27" spans="1:21">
      <c r="A27" s="20">
        <f>A26-$F$6</f>
        <v>2.8253365547638216</v>
      </c>
      <c r="B27" s="23">
        <f t="shared" si="19"/>
        <v>-0.95040646883493052</v>
      </c>
      <c r="C27" s="23">
        <f t="shared" si="20"/>
        <v>5.8299567902944212</v>
      </c>
      <c r="D27" s="23">
        <f t="shared" si="21"/>
        <v>254872.49604943319</v>
      </c>
      <c r="E27" s="23">
        <f t="shared" si="22"/>
        <v>0.31101052071709462</v>
      </c>
      <c r="F27" s="71">
        <f t="shared" si="23"/>
        <v>0.92242901953358147</v>
      </c>
      <c r="G27" s="71">
        <f t="shared" si="24"/>
        <v>0.35947280577389118</v>
      </c>
      <c r="H27" s="81">
        <f t="shared" si="25"/>
        <v>1.6128938658585648</v>
      </c>
      <c r="I27" s="81">
        <f t="shared" si="26"/>
        <v>-0.81035476250148997</v>
      </c>
      <c r="J27" s="71">
        <f t="shared" si="27"/>
        <v>-1.0386169625820316</v>
      </c>
      <c r="K27" s="71">
        <f t="shared" si="28"/>
        <v>3.1738742393784034</v>
      </c>
      <c r="L27" s="42">
        <f t="shared" si="29"/>
        <v>3.3394914107320237</v>
      </c>
      <c r="M27" s="45"/>
      <c r="N27" s="28"/>
      <c r="O27" s="28"/>
      <c r="P27" s="28"/>
      <c r="Q27" s="85"/>
      <c r="T27" s="220">
        <f t="shared" ref="T27:T39" si="30">H119</f>
        <v>0.92736876652016931</v>
      </c>
      <c r="U27" s="220">
        <f t="shared" ref="U27:U39" si="31">I119</f>
        <v>0.77679246641748767</v>
      </c>
    </row>
    <row r="28" spans="1:21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T28" s="220">
        <f t="shared" si="30"/>
        <v>0.4929812114418074</v>
      </c>
      <c r="U28" s="220">
        <f t="shared" si="31"/>
        <v>1.433503965717474</v>
      </c>
    </row>
    <row r="29" spans="1:21">
      <c r="A29" s="88" t="s">
        <v>73</v>
      </c>
      <c r="B29" s="88"/>
      <c r="C29" s="23" t="str">
        <f>CONCATENATE("m",Stufengrün!R47)</f>
        <v>m-1</v>
      </c>
      <c r="D29" s="23" t="s">
        <v>30</v>
      </c>
      <c r="E29" s="28"/>
      <c r="F29" s="28"/>
      <c r="G29" s="28"/>
      <c r="H29" s="36" t="s">
        <v>57</v>
      </c>
      <c r="I29" s="36" t="s">
        <v>51</v>
      </c>
      <c r="J29" s="36" t="s">
        <v>58</v>
      </c>
      <c r="K29" s="36" t="s">
        <v>59</v>
      </c>
      <c r="L29" s="28"/>
      <c r="M29" s="28"/>
      <c r="N29" s="28"/>
      <c r="O29" s="28"/>
      <c r="P29" s="28"/>
      <c r="T29" s="220">
        <f t="shared" si="30"/>
        <v>0.27618054584885199</v>
      </c>
      <c r="U29" s="220">
        <f t="shared" si="31"/>
        <v>1.7436099468647217</v>
      </c>
    </row>
    <row r="30" spans="1:21">
      <c r="A30" s="88" t="s">
        <v>69</v>
      </c>
      <c r="B30" s="88"/>
      <c r="C30" s="36">
        <f>Stufengrün!S47</f>
        <v>0.14505155745746634</v>
      </c>
      <c r="D30" s="26">
        <f>Stufengrün!U47</f>
        <v>-0.22653102238502199</v>
      </c>
      <c r="E30" s="28"/>
      <c r="F30" s="28"/>
      <c r="G30" s="28"/>
      <c r="H30" s="78">
        <f>H19</f>
        <v>1.6019091012609112</v>
      </c>
      <c r="I30" s="78">
        <f>I19</f>
        <v>-0.77679246643887212</v>
      </c>
      <c r="J30" s="78">
        <f>J19</f>
        <v>-1.0363554776493837</v>
      </c>
      <c r="K30" s="78">
        <f>K19</f>
        <v>3.1658923546898086</v>
      </c>
      <c r="L30" s="28"/>
      <c r="M30" s="28"/>
      <c r="N30" s="28"/>
      <c r="O30" s="28"/>
      <c r="P30" s="28"/>
      <c r="T30" s="220">
        <f t="shared" si="30"/>
        <v>0.16507784956579419</v>
      </c>
      <c r="U30" s="220">
        <f t="shared" si="31"/>
        <v>1.8941249713712915</v>
      </c>
    </row>
    <row r="31" spans="1:21">
      <c r="A31" s="95"/>
      <c r="B31" s="95"/>
      <c r="C31" s="28"/>
      <c r="D31" s="28"/>
      <c r="E31" s="28"/>
      <c r="F31" s="28"/>
      <c r="G31" s="28"/>
      <c r="H31" s="37" t="s">
        <v>8</v>
      </c>
      <c r="I31" s="37" t="s">
        <v>8</v>
      </c>
      <c r="J31" s="37" t="s">
        <v>9</v>
      </c>
      <c r="K31" s="37" t="s">
        <v>9</v>
      </c>
      <c r="L31" s="28"/>
      <c r="M31" s="28"/>
      <c r="N31" s="28"/>
      <c r="O31" s="28"/>
      <c r="P31" s="28"/>
      <c r="T31" s="220">
        <f t="shared" si="30"/>
        <v>0.10674587480613773</v>
      </c>
      <c r="U31" s="220">
        <f t="shared" si="31"/>
        <v>1.9690356045467969</v>
      </c>
    </row>
    <row r="32" spans="1:21">
      <c r="A32" s="88" t="s">
        <v>68</v>
      </c>
      <c r="B32" s="88"/>
      <c r="C32" s="26" t="s">
        <v>15</v>
      </c>
      <c r="D32" s="26" t="s">
        <v>55</v>
      </c>
      <c r="E32" s="26" t="s">
        <v>12</v>
      </c>
      <c r="F32" s="26" t="s">
        <v>10</v>
      </c>
      <c r="G32" s="26" t="s">
        <v>14</v>
      </c>
      <c r="H32" s="26" t="s">
        <v>21</v>
      </c>
      <c r="I32" s="26" t="s">
        <v>16</v>
      </c>
      <c r="J32" s="26" t="s">
        <v>17</v>
      </c>
      <c r="K32" s="26" t="s">
        <v>23</v>
      </c>
      <c r="L32" s="28"/>
      <c r="M32" s="28"/>
      <c r="N32" s="28"/>
      <c r="O32" s="28"/>
      <c r="P32" s="28"/>
      <c r="T32" s="220">
        <f t="shared" si="30"/>
        <v>7.5430780647394724E-2</v>
      </c>
      <c r="U32" s="220">
        <f t="shared" si="31"/>
        <v>2.0071839692094255</v>
      </c>
    </row>
    <row r="33" spans="1:50">
      <c r="A33" s="28"/>
      <c r="B33" s="28"/>
      <c r="C33" s="23">
        <f>Mü/TAN($C30)</f>
        <v>0.47919773462141801</v>
      </c>
      <c r="D33" s="42">
        <f>SQRT($J30*$J30+$K30*$K30)</f>
        <v>3.3312020469400028</v>
      </c>
      <c r="E33" s="20">
        <f>ATAN($J30/$K30)+PI()</f>
        <v>2.8252365547638205</v>
      </c>
      <c r="F33" s="23">
        <f>($E33-A46-0.0001)/5</f>
        <v>5.3871237169051045E-3</v>
      </c>
      <c r="G33" s="23">
        <f>COS($E33)</f>
        <v>-0.95037536303087788</v>
      </c>
      <c r="H33" s="23">
        <f>SIN($E33)</f>
        <v>0.31110555980876814</v>
      </c>
      <c r="I33" s="23">
        <f>$C33+$G33</f>
        <v>-0.47117762840945987</v>
      </c>
      <c r="J33" s="23">
        <f>POWER(TAN($E33/2),$C33)</f>
        <v>2.4100243579958378</v>
      </c>
      <c r="K33" s="23">
        <f>-$D33*$D33*SIN($E33)*SIN($E33)/(2*9.81*SIN($C30)*POWER(TAN($E33/2),2*$C33))</f>
        <v>-6.520444809079555E-2</v>
      </c>
      <c r="L33" s="28"/>
      <c r="M33" s="28"/>
      <c r="N33" s="28"/>
      <c r="O33" s="28"/>
      <c r="P33" s="28"/>
      <c r="T33" s="220">
        <f t="shared" si="30"/>
        <v>5.8271232265841966E-2</v>
      </c>
      <c r="U33" s="220">
        <f t="shared" si="31"/>
        <v>2.0270243441015605</v>
      </c>
    </row>
    <row r="34" spans="1:50">
      <c r="A34" s="88" t="s">
        <v>70</v>
      </c>
      <c r="B34" s="8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45"/>
      <c r="N34" s="28"/>
      <c r="O34" s="28"/>
      <c r="P34" s="28"/>
      <c r="T34" s="220">
        <f t="shared" si="30"/>
        <v>4.8688638182613264E-2</v>
      </c>
      <c r="U34" s="220">
        <f t="shared" si="31"/>
        <v>2.0375444768862061</v>
      </c>
      <c r="AU34" s="79" t="s">
        <v>65</v>
      </c>
      <c r="AV34" s="79" t="s">
        <v>66</v>
      </c>
      <c r="AW34" s="79" t="s">
        <v>67</v>
      </c>
      <c r="AX34" s="150"/>
    </row>
    <row r="35" spans="1:50">
      <c r="A35" s="26" t="s">
        <v>11</v>
      </c>
      <c r="B35" s="26" t="s">
        <v>13</v>
      </c>
      <c r="C35" s="26" t="s">
        <v>22</v>
      </c>
      <c r="D35" s="26" t="s">
        <v>18</v>
      </c>
      <c r="E35" s="26" t="s">
        <v>19</v>
      </c>
      <c r="F35" s="26" t="s">
        <v>20</v>
      </c>
      <c r="G35" s="26" t="s">
        <v>2</v>
      </c>
      <c r="H35" s="26" t="s">
        <v>65</v>
      </c>
      <c r="I35" s="26" t="s">
        <v>66</v>
      </c>
      <c r="J35" s="76" t="s">
        <v>3</v>
      </c>
      <c r="K35" s="76" t="s">
        <v>4</v>
      </c>
      <c r="L35" s="44" t="s">
        <v>7</v>
      </c>
      <c r="M35" s="93"/>
      <c r="N35" s="26" t="s">
        <v>61</v>
      </c>
      <c r="O35" s="26" t="s">
        <v>62</v>
      </c>
      <c r="P35" s="23" t="s">
        <v>63</v>
      </c>
      <c r="T35" s="220">
        <f t="shared" si="30"/>
        <v>4.3242680283582247E-2</v>
      </c>
      <c r="U35" s="220">
        <f t="shared" si="31"/>
        <v>2.0432227608740243</v>
      </c>
      <c r="W35" s="54" t="s">
        <v>87</v>
      </c>
      <c r="X35" s="28"/>
      <c r="Y35" s="28"/>
      <c r="Z35" s="28"/>
      <c r="AA35" s="183" t="s">
        <v>73</v>
      </c>
      <c r="AB35" s="23" t="str">
        <f>C2</f>
        <v>m-2</v>
      </c>
      <c r="AC35" s="23" t="str">
        <f>C29</f>
        <v>m-1</v>
      </c>
      <c r="AD35" s="23" t="str">
        <f>C56</f>
        <v>m0</v>
      </c>
      <c r="AE35" s="23" t="str">
        <f>C83</f>
        <v>m1</v>
      </c>
      <c r="AF35" s="23" t="str">
        <f>C110</f>
        <v>m2</v>
      </c>
      <c r="AU35" s="78">
        <f>H149</f>
        <v>3.5411545031216018E-2</v>
      </c>
      <c r="AV35" s="78">
        <f>I149</f>
        <v>2.0504117303408798</v>
      </c>
      <c r="AW35" s="79">
        <f>SQRT(POWER(AU35,2)+(POWER(AV35-Yzielup,2)))</f>
        <v>6.1606169150982083E-2</v>
      </c>
    </row>
    <row r="36" spans="1:50">
      <c r="A36" s="19">
        <f>$E33</f>
        <v>2.8252365547638205</v>
      </c>
      <c r="B36" s="26">
        <f>COS(A36)</f>
        <v>-0.95037536303087788</v>
      </c>
      <c r="C36" s="26">
        <f t="shared" ref="C36:C46" si="32">($C$33+B36)</f>
        <v>-0.47117762840945987</v>
      </c>
      <c r="D36" s="26">
        <f t="shared" ref="D36:D46" si="33">POWER(TAN(A36/2),$C$33)</f>
        <v>2.4100243579958378</v>
      </c>
      <c r="E36" s="26">
        <f>SIN(A36)</f>
        <v>0.31110555980876814</v>
      </c>
      <c r="F36" s="77">
        <f t="shared" ref="F36:F46" si="34">(C36*$H$33*D36/E36/$I$33/$J$33)</f>
        <v>1</v>
      </c>
      <c r="G36" s="77">
        <f t="shared" ref="G36:G46" si="35">$D$33*($C$33+$G$33)/9.81/SIN($C$30)/(1-$C$33*$C$33)*(F36-1)</f>
        <v>0</v>
      </c>
      <c r="H36" s="75">
        <f t="shared" ref="H36:H46" si="36">-(-$H$30+$K$33*((POWER(TAN(A36/2),2*$C$33-1)/(2*$C$33-1))+(POWER(TAN(A36/2),2*$C$33+1)/(2*$C$33+1))-(POWER(TAN($E$33/2),2*$C$33-1)/(2*$C$33-1))-(POWER(TAN($E$33/2),2*$C$33+1)/(2*$C$33+1))))</f>
        <v>1.6019091012609112</v>
      </c>
      <c r="I36" s="75">
        <f t="shared" ref="I36:I46" si="37">-(-$I$30+0.5*$K$33*((POWER(TAN(A36/2),2*$C$33-2)/(2*$C$33-2))-(POWER(TAN(A36/2),2*$C$33+2)/(2*$C$33+2))-(POWER(TAN($E$33/2),2*$C$33-2)/(2*$C$33-2))+(POWER(TAN($E$33/2),2*$C$33+2)/(2*$C$33+2))))</f>
        <v>-0.77679246643887212</v>
      </c>
      <c r="J36" s="77">
        <f t="shared" ref="J36:J46" si="38">-$D$33*SIN(A36)*($C$33+$G$33)/($C$33+B36)*F36</f>
        <v>-1.036355477649384</v>
      </c>
      <c r="K36" s="77">
        <f t="shared" ref="K36:K46" si="39">-$D$33*COS(A36)*($C$33+$G$33)/($C$33+B36)*F36</f>
        <v>3.1658923546898086</v>
      </c>
      <c r="L36" s="91">
        <f>SQRT(J36*J36+K36*K36)</f>
        <v>3.3312020469400028</v>
      </c>
      <c r="M36" s="93"/>
      <c r="N36" s="75">
        <f t="shared" ref="N36:N46" si="40">-(-$I$30+0.5*$K$33*((POWER(TAN(A36/2),2*$C$33-2)/(2*$C$33-2))-(POWER(TAN(A36/2),2*$C$33+2)/(2*$C$33+2))-(POWER(TAN($E$33/2),2*$C$33-2)/(2*$C$33-2))+(POWER(TAN($E$33/2),2*$C$33+2)/(2*$C$33+2))))-$D$30</f>
        <v>-0.55026144405385014</v>
      </c>
      <c r="O36" s="75">
        <f>-(-$I$30+0.5*$K$33*((POWER(TAN((A36+$M$9)/2),2*$C$33-2)/(2*$C$33-2))-(POWER(TAN((A36+$M$9)/2),2*$C$33+2)/(2*$C$33+2))-(POWER(TAN($E$33/2),2*$C$33-2)/(2*$C$33-2))+(POWER(TAN($E$33/2),2*$C$33+2)/(2*$C$33+2))))-$D$30</f>
        <v>-0.62335601562275111</v>
      </c>
      <c r="P36" s="75">
        <f>A36-N36/(O36-N36)*$M$9</f>
        <v>2.8026523286478566</v>
      </c>
      <c r="T36" s="220">
        <f t="shared" si="30"/>
        <v>4.0096903820881935E-2</v>
      </c>
      <c r="U36" s="220">
        <f t="shared" si="31"/>
        <v>2.0463382469177711</v>
      </c>
      <c r="W36" s="28"/>
      <c r="X36" s="28"/>
      <c r="Y36" s="28"/>
      <c r="Z36" s="28"/>
      <c r="AA36" s="28"/>
      <c r="AB36" s="20">
        <f>N19</f>
        <v>-2.1384227721910065E-11</v>
      </c>
      <c r="AC36" s="20">
        <f>N46</f>
        <v>0</v>
      </c>
      <c r="AD36" s="20">
        <f>N73</f>
        <v>6.106226635438361E-16</v>
      </c>
      <c r="AE36" s="20">
        <f>N100</f>
        <v>0</v>
      </c>
      <c r="AF36" s="20"/>
    </row>
    <row r="37" spans="1:50">
      <c r="A37" s="19">
        <f>P36</f>
        <v>2.8026523286478566</v>
      </c>
      <c r="B37" s="26">
        <f>COS(A37)</f>
        <v>-0.94310752410108634</v>
      </c>
      <c r="C37" s="26">
        <f t="shared" si="32"/>
        <v>-0.46390978947966832</v>
      </c>
      <c r="D37" s="26">
        <f t="shared" si="33"/>
        <v>2.3302953368528607</v>
      </c>
      <c r="E37" s="26">
        <f>SIN(A37)</f>
        <v>0.33248789148466568</v>
      </c>
      <c r="F37" s="77">
        <f t="shared" si="34"/>
        <v>0.89077977533084751</v>
      </c>
      <c r="G37" s="77">
        <f t="shared" si="35"/>
        <v>0.1569358604744811</v>
      </c>
      <c r="H37" s="75">
        <f t="shared" si="36"/>
        <v>1.4419282329946306</v>
      </c>
      <c r="I37" s="75">
        <f t="shared" si="37"/>
        <v>-0.3053451133937809</v>
      </c>
      <c r="J37" s="77">
        <f t="shared" si="38"/>
        <v>-1.0020705097340137</v>
      </c>
      <c r="K37" s="77">
        <f t="shared" si="39"/>
        <v>2.8423899384424502</v>
      </c>
      <c r="L37" s="91">
        <f>SQRT(J37*J37+K37*K37)</f>
        <v>3.013855648274725</v>
      </c>
      <c r="M37" s="93"/>
      <c r="N37" s="75">
        <f t="shared" si="40"/>
        <v>-7.8814091008758913E-2</v>
      </c>
      <c r="O37" s="75">
        <f t="shared" ref="O37:O46" si="41">-(-$I$30+0.5*$K$33*((POWER(TAN((A37+$M$9)/2),2*$C$33-2)/(2*$C$33-2))-(POWER(TAN((A37+$M$9)/2),2*$C$33+2)/(2*$C$33+2))-(POWER(TAN($E$33/2),2*$C$33-2)/(2*$C$33-2))+(POWER(TAN($E$33/2),2*$C$33+2)/(2*$C$33+2))))-$D$30</f>
        <v>-0.13429966288929951</v>
      </c>
      <c r="P37" s="75">
        <f t="shared" ref="P37:P46" si="42">A37-N37/(O37-N37)*$M$9</f>
        <v>2.7983909997111138</v>
      </c>
      <c r="T37" s="220">
        <f t="shared" si="30"/>
        <v>3.825212574858261E-2</v>
      </c>
      <c r="U37" s="220">
        <f t="shared" si="31"/>
        <v>2.0480736012487495</v>
      </c>
    </row>
    <row r="38" spans="1:50">
      <c r="A38" s="19">
        <f t="shared" ref="A38:A46" si="43">P37</f>
        <v>2.7983909997111138</v>
      </c>
      <c r="B38" s="26">
        <f t="shared" ref="B38:B46" si="44">COS(A38)</f>
        <v>-0.94168212521991745</v>
      </c>
      <c r="C38" s="26">
        <f t="shared" si="32"/>
        <v>-0.46248439059849944</v>
      </c>
      <c r="D38" s="26">
        <f t="shared" si="33"/>
        <v>2.3161126122207616</v>
      </c>
      <c r="E38" s="26">
        <f t="shared" ref="E38:E46" si="45">SIN(A38)</f>
        <v>0.33650375189780546</v>
      </c>
      <c r="F38" s="77">
        <f t="shared" si="34"/>
        <v>0.87210448241808614</v>
      </c>
      <c r="G38" s="77">
        <f t="shared" si="35"/>
        <v>0.18376993055403981</v>
      </c>
      <c r="H38" s="75">
        <f t="shared" si="36"/>
        <v>1.4151202672781555</v>
      </c>
      <c r="I38" s="75">
        <f t="shared" si="37"/>
        <v>-0.22981334559600319</v>
      </c>
      <c r="J38" s="77">
        <f t="shared" si="38"/>
        <v>-0.9959716733003886</v>
      </c>
      <c r="K38" s="77">
        <f t="shared" si="39"/>
        <v>2.7871568048881059</v>
      </c>
      <c r="L38" s="91">
        <f t="shared" ref="L38:L46" si="46">SQRT(J38*J38+K38*K38)</f>
        <v>2.9597639481977023</v>
      </c>
      <c r="M38" s="93"/>
      <c r="N38" s="75">
        <f t="shared" si="40"/>
        <v>-3.2823232109812084E-3</v>
      </c>
      <c r="O38" s="75">
        <f t="shared" si="41"/>
        <v>-5.6064042340796982E-2</v>
      </c>
      <c r="P38" s="75">
        <f t="shared" si="42"/>
        <v>2.7982044394816388</v>
      </c>
      <c r="T38" s="220">
        <f t="shared" si="30"/>
        <v>3.7154968932377352E-2</v>
      </c>
      <c r="U38" s="220">
        <f t="shared" si="31"/>
        <v>2.049053746048767</v>
      </c>
    </row>
    <row r="39" spans="1:50">
      <c r="A39" s="19">
        <f t="shared" si="43"/>
        <v>2.7982044394816388</v>
      </c>
      <c r="B39" s="26">
        <f t="shared" si="44"/>
        <v>-0.94161933061561731</v>
      </c>
      <c r="C39" s="26">
        <f t="shared" si="32"/>
        <v>-0.4624215959941993</v>
      </c>
      <c r="D39" s="26">
        <f t="shared" si="33"/>
        <v>2.3154975308539751</v>
      </c>
      <c r="E39" s="26">
        <f t="shared" si="45"/>
        <v>0.33667942647420063</v>
      </c>
      <c r="F39" s="77">
        <f t="shared" si="34"/>
        <v>0.87129963166508118</v>
      </c>
      <c r="G39" s="77">
        <f t="shared" si="35"/>
        <v>0.18492640084934439</v>
      </c>
      <c r="H39" s="75">
        <f t="shared" si="36"/>
        <v>1.4139686085508727</v>
      </c>
      <c r="I39" s="75">
        <f t="shared" si="37"/>
        <v>-0.22659145763074973</v>
      </c>
      <c r="J39" s="77">
        <f t="shared" si="38"/>
        <v>-0.99570717682691756</v>
      </c>
      <c r="K39" s="77">
        <f t="shared" si="39"/>
        <v>2.784777006280108</v>
      </c>
      <c r="L39" s="91">
        <f t="shared" si="46"/>
        <v>2.9574339817975703</v>
      </c>
      <c r="M39" s="93"/>
      <c r="N39" s="75">
        <f t="shared" si="40"/>
        <v>-6.0435245727741282E-5</v>
      </c>
      <c r="O39" s="75">
        <f t="shared" si="41"/>
        <v>-5.2727579552999226E-2</v>
      </c>
      <c r="P39" s="75">
        <f t="shared" si="42"/>
        <v>2.7982009969988617</v>
      </c>
      <c r="T39" s="220">
        <f t="shared" si="30"/>
        <v>3.6493838759302455E-2</v>
      </c>
      <c r="U39" s="220">
        <f t="shared" si="31"/>
        <v>2.0496144801716607</v>
      </c>
    </row>
    <row r="40" spans="1:50">
      <c r="A40" s="19">
        <f t="shared" si="43"/>
        <v>2.7982009969988617</v>
      </c>
      <c r="B40" s="26">
        <f t="shared" si="44"/>
        <v>-0.94161817159691097</v>
      </c>
      <c r="C40" s="26">
        <f t="shared" si="32"/>
        <v>-0.46242043697549295</v>
      </c>
      <c r="D40" s="26">
        <f t="shared" si="33"/>
        <v>2.3154861856810114</v>
      </c>
      <c r="E40" s="26">
        <f t="shared" si="45"/>
        <v>0.33668266798053387</v>
      </c>
      <c r="F40" s="77">
        <f t="shared" si="34"/>
        <v>0.87128479014199345</v>
      </c>
      <c r="G40" s="77">
        <f t="shared" si="35"/>
        <v>0.18494772626964617</v>
      </c>
      <c r="H40" s="75">
        <f t="shared" si="36"/>
        <v>1.4139473747288487</v>
      </c>
      <c r="I40" s="75">
        <f t="shared" si="37"/>
        <v>-0.2265320715585577</v>
      </c>
      <c r="J40" s="77">
        <f t="shared" si="38"/>
        <v>-0.99570229819068845</v>
      </c>
      <c r="K40" s="77">
        <f t="shared" si="39"/>
        <v>2.7847331230349122</v>
      </c>
      <c r="L40" s="91">
        <f t="shared" si="46"/>
        <v>2.9573910179666796</v>
      </c>
      <c r="M40" s="93"/>
      <c r="N40" s="75">
        <f t="shared" si="40"/>
        <v>-1.049173535716541E-6</v>
      </c>
      <c r="O40" s="75">
        <f t="shared" si="41"/>
        <v>-5.2666082218655264E-2</v>
      </c>
      <c r="P40" s="75">
        <f t="shared" si="42"/>
        <v>2.7982009372339585</v>
      </c>
      <c r="T40" s="223">
        <f>H149</f>
        <v>3.5411545031216018E-2</v>
      </c>
      <c r="U40" s="223">
        <f>I149</f>
        <v>2.0504117303408798</v>
      </c>
    </row>
    <row r="41" spans="1:50">
      <c r="A41" s="19">
        <f t="shared" si="43"/>
        <v>2.7982009372339585</v>
      </c>
      <c r="B41" s="26">
        <f t="shared" si="44"/>
        <v>-0.94161815147510219</v>
      </c>
      <c r="C41" s="26">
        <f t="shared" si="32"/>
        <v>-0.46242041685368418</v>
      </c>
      <c r="D41" s="26">
        <f t="shared" si="33"/>
        <v>2.3154859887190518</v>
      </c>
      <c r="E41" s="26">
        <f t="shared" si="45"/>
        <v>0.33668272425625223</v>
      </c>
      <c r="F41" s="77">
        <f t="shared" si="34"/>
        <v>0.8712845324816505</v>
      </c>
      <c r="G41" s="77">
        <f t="shared" si="35"/>
        <v>0.18494809649546975</v>
      </c>
      <c r="H41" s="75">
        <f t="shared" si="36"/>
        <v>1.4139470060941608</v>
      </c>
      <c r="I41" s="75">
        <f t="shared" si="37"/>
        <v>-0.22653104057858509</v>
      </c>
      <c r="J41" s="77">
        <f t="shared" si="38"/>
        <v>-0.99570221349336818</v>
      </c>
      <c r="K41" s="77">
        <f t="shared" si="39"/>
        <v>2.7847323611879147</v>
      </c>
      <c r="L41" s="91">
        <f t="shared" si="46"/>
        <v>2.9573902720815881</v>
      </c>
      <c r="M41" s="93"/>
      <c r="N41" s="75">
        <f t="shared" si="40"/>
        <v>-1.8193563100510346E-8</v>
      </c>
      <c r="O41" s="75">
        <f t="shared" si="41"/>
        <v>-5.2665014586017023E-2</v>
      </c>
      <c r="P41" s="75">
        <f t="shared" si="42"/>
        <v>2.7982009361975835</v>
      </c>
    </row>
    <row r="42" spans="1:50">
      <c r="A42" s="19">
        <f t="shared" si="43"/>
        <v>2.7982009361975835</v>
      </c>
      <c r="B42" s="26">
        <f t="shared" si="44"/>
        <v>-0.94161815112617264</v>
      </c>
      <c r="C42" s="26">
        <f t="shared" si="32"/>
        <v>-0.46242041650475463</v>
      </c>
      <c r="D42" s="26">
        <f t="shared" si="33"/>
        <v>2.3154859853035621</v>
      </c>
      <c r="E42" s="26">
        <f t="shared" si="45"/>
        <v>0.33668272523212173</v>
      </c>
      <c r="F42" s="77">
        <f t="shared" si="34"/>
        <v>0.8712845280135989</v>
      </c>
      <c r="G42" s="77">
        <f t="shared" si="35"/>
        <v>0.18494810291550345</v>
      </c>
      <c r="H42" s="75">
        <f t="shared" si="36"/>
        <v>1.4139469997017191</v>
      </c>
      <c r="I42" s="75">
        <f t="shared" si="37"/>
        <v>-0.22653102270050884</v>
      </c>
      <c r="J42" s="77">
        <f t="shared" si="38"/>
        <v>-0.9957022120246436</v>
      </c>
      <c r="K42" s="77">
        <f t="shared" si="39"/>
        <v>2.7847323479768331</v>
      </c>
      <c r="L42" s="91">
        <f t="shared" si="46"/>
        <v>2.9573902591472998</v>
      </c>
      <c r="M42" s="93"/>
      <c r="N42" s="75">
        <f t="shared" si="40"/>
        <v>-3.15486858859515E-10</v>
      </c>
      <c r="O42" s="75">
        <f t="shared" si="41"/>
        <v>-5.2664996072352477E-2</v>
      </c>
      <c r="P42" s="75">
        <f t="shared" si="42"/>
        <v>2.7982009361796121</v>
      </c>
    </row>
    <row r="43" spans="1:50">
      <c r="A43" s="19">
        <f t="shared" si="43"/>
        <v>2.7982009361796121</v>
      </c>
      <c r="B43" s="26">
        <f t="shared" si="44"/>
        <v>-0.94161815112012193</v>
      </c>
      <c r="C43" s="26">
        <f t="shared" si="32"/>
        <v>-0.46242041649870391</v>
      </c>
      <c r="D43" s="26">
        <f t="shared" si="33"/>
        <v>2.3154859852443352</v>
      </c>
      <c r="E43" s="26">
        <f t="shared" si="45"/>
        <v>0.33668272524904391</v>
      </c>
      <c r="F43" s="77">
        <f t="shared" si="34"/>
        <v>0.87128452793611977</v>
      </c>
      <c r="G43" s="77">
        <f t="shared" si="35"/>
        <v>0.18494810302683132</v>
      </c>
      <c r="H43" s="75">
        <f t="shared" si="36"/>
        <v>1.4139469995908696</v>
      </c>
      <c r="I43" s="75">
        <f t="shared" si="37"/>
        <v>-0.22653102239049172</v>
      </c>
      <c r="J43" s="77">
        <f t="shared" si="38"/>
        <v>-0.99570221199917475</v>
      </c>
      <c r="K43" s="77">
        <f t="shared" si="39"/>
        <v>2.7847323477477439</v>
      </c>
      <c r="L43" s="91">
        <f t="shared" si="46"/>
        <v>2.9573902589230103</v>
      </c>
      <c r="M43" s="93"/>
      <c r="N43" s="75">
        <f t="shared" si="40"/>
        <v>-5.4697357754207587E-12</v>
      </c>
      <c r="O43" s="75">
        <f t="shared" si="41"/>
        <v>-5.2664995751314447E-2</v>
      </c>
      <c r="P43" s="75">
        <f t="shared" si="42"/>
        <v>2.7982009361793003</v>
      </c>
    </row>
    <row r="44" spans="1:50">
      <c r="A44" s="19">
        <f t="shared" si="43"/>
        <v>2.7982009361793003</v>
      </c>
      <c r="B44" s="26">
        <f t="shared" si="44"/>
        <v>-0.94161815112001701</v>
      </c>
      <c r="C44" s="26">
        <f t="shared" si="32"/>
        <v>-0.462420416498599</v>
      </c>
      <c r="D44" s="26">
        <f t="shared" si="33"/>
        <v>2.3154859852433076</v>
      </c>
      <c r="E44" s="26">
        <f t="shared" si="45"/>
        <v>0.33668272524933746</v>
      </c>
      <c r="F44" s="77">
        <f t="shared" si="34"/>
        <v>0.87128452793477595</v>
      </c>
      <c r="G44" s="77">
        <f t="shared" si="35"/>
        <v>0.18494810302876222</v>
      </c>
      <c r="H44" s="75">
        <f t="shared" si="36"/>
        <v>1.4139469995889469</v>
      </c>
      <c r="I44" s="75">
        <f t="shared" si="37"/>
        <v>-0.22653102238511413</v>
      </c>
      <c r="J44" s="77">
        <f t="shared" si="38"/>
        <v>-0.9957022119987331</v>
      </c>
      <c r="K44" s="77">
        <f t="shared" si="39"/>
        <v>2.7847323477437702</v>
      </c>
      <c r="L44" s="91">
        <f t="shared" si="46"/>
        <v>2.9573902589191201</v>
      </c>
      <c r="M44" s="93"/>
      <c r="N44" s="75">
        <f t="shared" si="40"/>
        <v>-9.2148511043887993E-14</v>
      </c>
      <c r="O44" s="75">
        <f t="shared" si="41"/>
        <v>-5.2664995745745513E-2</v>
      </c>
      <c r="P44" s="75">
        <f t="shared" si="42"/>
        <v>2.798200936179295</v>
      </c>
    </row>
    <row r="45" spans="1:50">
      <c r="A45" s="19">
        <f t="shared" si="43"/>
        <v>2.798200936179295</v>
      </c>
      <c r="B45" s="26">
        <f t="shared" si="44"/>
        <v>-0.94161815112001523</v>
      </c>
      <c r="C45" s="26">
        <f t="shared" si="32"/>
        <v>-0.46242041649859722</v>
      </c>
      <c r="D45" s="26">
        <f t="shared" si="33"/>
        <v>2.3154859852432903</v>
      </c>
      <c r="E45" s="26">
        <f t="shared" si="45"/>
        <v>0.33668272524934245</v>
      </c>
      <c r="F45" s="77">
        <f t="shared" si="34"/>
        <v>0.87128452793475308</v>
      </c>
      <c r="G45" s="77">
        <f t="shared" si="35"/>
        <v>0.18494810302879508</v>
      </c>
      <c r="H45" s="75">
        <f t="shared" si="36"/>
        <v>1.4139469995889142</v>
      </c>
      <c r="I45" s="75">
        <f t="shared" si="37"/>
        <v>-0.22653102238502199</v>
      </c>
      <c r="J45" s="77">
        <f t="shared" si="38"/>
        <v>-0.99570221199872566</v>
      </c>
      <c r="K45" s="77">
        <f t="shared" si="39"/>
        <v>2.7847323477437027</v>
      </c>
      <c r="L45" s="91">
        <f t="shared" si="46"/>
        <v>2.9573902589190539</v>
      </c>
      <c r="M45" s="93"/>
      <c r="N45" s="75">
        <f t="shared" si="40"/>
        <v>0</v>
      </c>
      <c r="O45" s="75">
        <f t="shared" si="41"/>
        <v>-5.2664995745650978E-2</v>
      </c>
      <c r="P45" s="75">
        <f t="shared" si="42"/>
        <v>2.798200936179295</v>
      </c>
    </row>
    <row r="46" spans="1:50">
      <c r="A46" s="19">
        <f t="shared" si="43"/>
        <v>2.798200936179295</v>
      </c>
      <c r="B46" s="26">
        <f t="shared" si="44"/>
        <v>-0.94161815112001523</v>
      </c>
      <c r="C46" s="26">
        <f t="shared" si="32"/>
        <v>-0.46242041649859722</v>
      </c>
      <c r="D46" s="26">
        <f t="shared" si="33"/>
        <v>2.3154859852432903</v>
      </c>
      <c r="E46" s="26">
        <f t="shared" si="45"/>
        <v>0.33668272524934245</v>
      </c>
      <c r="F46" s="77">
        <f t="shared" si="34"/>
        <v>0.87128452793475308</v>
      </c>
      <c r="G46" s="77">
        <f t="shared" si="35"/>
        <v>0.18494810302879508</v>
      </c>
      <c r="H46" s="81">
        <f t="shared" si="36"/>
        <v>1.4139469995889142</v>
      </c>
      <c r="I46" s="81">
        <f t="shared" si="37"/>
        <v>-0.22653102238502199</v>
      </c>
      <c r="J46" s="80">
        <f t="shared" si="38"/>
        <v>-0.99570221199872566</v>
      </c>
      <c r="K46" s="80">
        <f t="shared" si="39"/>
        <v>2.7847323477437027</v>
      </c>
      <c r="L46" s="91">
        <f t="shared" si="46"/>
        <v>2.9573902589190539</v>
      </c>
      <c r="M46" s="93"/>
      <c r="N46" s="75">
        <f t="shared" si="40"/>
        <v>0</v>
      </c>
      <c r="O46" s="75">
        <f t="shared" si="41"/>
        <v>-5.2664995745650978E-2</v>
      </c>
      <c r="P46" s="75">
        <f t="shared" si="42"/>
        <v>2.798200936179295</v>
      </c>
    </row>
    <row r="47" spans="1:50">
      <c r="A47" s="88" t="s">
        <v>60</v>
      </c>
      <c r="B47" s="8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</row>
    <row r="48" spans="1:50">
      <c r="A48" s="26" t="s">
        <v>11</v>
      </c>
      <c r="B48" s="26" t="s">
        <v>13</v>
      </c>
      <c r="C48" s="26" t="s">
        <v>22</v>
      </c>
      <c r="D48" s="26" t="s">
        <v>18</v>
      </c>
      <c r="E48" s="26" t="s">
        <v>19</v>
      </c>
      <c r="F48" s="26" t="s">
        <v>20</v>
      </c>
      <c r="G48" s="26" t="s">
        <v>2</v>
      </c>
      <c r="H48" s="26" t="s">
        <v>1</v>
      </c>
      <c r="I48" s="26" t="s">
        <v>0</v>
      </c>
      <c r="J48" s="76" t="s">
        <v>3</v>
      </c>
      <c r="K48" s="76" t="s">
        <v>4</v>
      </c>
      <c r="L48" s="44" t="s">
        <v>7</v>
      </c>
      <c r="M48" s="28"/>
      <c r="N48" s="28"/>
      <c r="O48" s="28"/>
      <c r="P48" s="31"/>
    </row>
    <row r="49" spans="1:52">
      <c r="A49" s="19">
        <f>$E33</f>
        <v>2.8252365547638205</v>
      </c>
      <c r="B49" s="26">
        <f t="shared" ref="B49:B54" si="47">COS(A49)</f>
        <v>-0.95037536303087788</v>
      </c>
      <c r="C49" s="26">
        <f t="shared" ref="C49:C54" si="48">($C$33+B49)</f>
        <v>-0.47117762840945987</v>
      </c>
      <c r="D49" s="26">
        <f t="shared" ref="D49:D54" si="49">POWER(TAN(A49/2),$C$33)</f>
        <v>2.4100243579958378</v>
      </c>
      <c r="E49" s="26">
        <f t="shared" ref="E49:E54" si="50">SIN(A49)</f>
        <v>0.31110555980876814</v>
      </c>
      <c r="F49" s="77">
        <f t="shared" ref="F49:F54" si="51">(C49*$H$33*D49/E49/$I$33/$J$33)</f>
        <v>1</v>
      </c>
      <c r="G49" s="77">
        <f t="shared" ref="G49:G54" si="52">$D$33*($C$33+$G$33)/9.81/SIN($C$30)/(1-$C$33*$C$33)*(F49-1)</f>
        <v>0</v>
      </c>
      <c r="H49" s="99">
        <f t="shared" ref="H49:H54" si="53">-(-$H$30+$K$33*((POWER(TAN(A49/2),2*$C$33-1)/(2*$C$33-1))+(POWER(TAN(A49/2),2*$C$33+1)/(2*$C$33+1))-(POWER(TAN($E$33/2),2*$C$33-1)/(2*$C$33-1))-(POWER(TAN($E$33/2),2*$C$33+1)/(2*$C$33+1))))</f>
        <v>1.6019091012609112</v>
      </c>
      <c r="I49" s="99">
        <f t="shared" ref="I49:I54" si="54">-(-$I$30+0.5*$K$33*((POWER(TAN(A49/2),2*$C$33-2)/(2*$C$33-2))-(POWER(TAN(A49/2),2*$C$33+2)/(2*$C$33+2))-(POWER(TAN($E$33/2),2*$C$33-2)/(2*$C$33-2))+(POWER(TAN($E$33/2),2*$C$33+2)/(2*$C$33+2))))</f>
        <v>-0.77679246643887212</v>
      </c>
      <c r="J49" s="77">
        <f t="shared" ref="J49:J54" si="55">-$D$33*SIN(A49)*($C$33+$G$33)/($C$33+B49)*F49</f>
        <v>-1.036355477649384</v>
      </c>
      <c r="K49" s="77">
        <f t="shared" ref="K49:K54" si="56">-$D$33*COS(A49)*($C$33+$G$33)/($C$33+B49)*F49</f>
        <v>3.1658923546898086</v>
      </c>
      <c r="L49" s="91">
        <f t="shared" ref="L49:L54" si="57">SQRT(J49*J49+K49*K49)</f>
        <v>3.3312020469400028</v>
      </c>
      <c r="M49" s="28"/>
      <c r="N49" s="28"/>
      <c r="O49" s="28"/>
      <c r="P49" s="31"/>
      <c r="Q49" s="28"/>
    </row>
    <row r="50" spans="1:52">
      <c r="A50" s="20">
        <f>A49-$F$33</f>
        <v>2.8198494310469155</v>
      </c>
      <c r="B50" s="26">
        <f t="shared" si="47"/>
        <v>-0.94868561656075179</v>
      </c>
      <c r="C50" s="26">
        <f t="shared" si="48"/>
        <v>-0.46948788193933377</v>
      </c>
      <c r="D50" s="26">
        <f t="shared" si="49"/>
        <v>2.3902704876468177</v>
      </c>
      <c r="E50" s="26">
        <f t="shared" si="50"/>
        <v>0.31622081040112826</v>
      </c>
      <c r="F50" s="77">
        <f t="shared" si="51"/>
        <v>0.97226055744646767</v>
      </c>
      <c r="G50" s="77">
        <f t="shared" si="52"/>
        <v>3.9858124256821441E-2</v>
      </c>
      <c r="H50" s="99">
        <f t="shared" si="53"/>
        <v>1.5607707438028171</v>
      </c>
      <c r="I50" s="99">
        <f t="shared" si="54"/>
        <v>-0.65224493722252042</v>
      </c>
      <c r="J50" s="77">
        <f t="shared" si="55"/>
        <v>-1.0278609445244129</v>
      </c>
      <c r="K50" s="77">
        <f t="shared" si="56"/>
        <v>3.0836581964922449</v>
      </c>
      <c r="L50" s="91">
        <f t="shared" si="57"/>
        <v>3.2504531982590401</v>
      </c>
      <c r="M50" s="28"/>
      <c r="N50" s="28"/>
      <c r="O50" s="28"/>
      <c r="P50" s="31"/>
      <c r="R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</row>
    <row r="51" spans="1:52">
      <c r="A51" s="20">
        <f>A50-$F$33</f>
        <v>2.8144623073300106</v>
      </c>
      <c r="B51" s="26">
        <f t="shared" si="47"/>
        <v>-0.94696833825522098</v>
      </c>
      <c r="C51" s="26">
        <f t="shared" si="48"/>
        <v>-0.46777060363380296</v>
      </c>
      <c r="D51" s="26">
        <f t="shared" si="49"/>
        <v>2.3709913787572461</v>
      </c>
      <c r="E51" s="26">
        <f t="shared" si="50"/>
        <v>0.32132688393930792</v>
      </c>
      <c r="F51" s="77">
        <f t="shared" si="51"/>
        <v>0.94562188922604795</v>
      </c>
      <c r="G51" s="77">
        <f t="shared" si="52"/>
        <v>7.8134572888285528E-2</v>
      </c>
      <c r="H51" s="99">
        <f t="shared" si="53"/>
        <v>1.521586116671539</v>
      </c>
      <c r="I51" s="99">
        <f t="shared" si="54"/>
        <v>-0.53572410978369067</v>
      </c>
      <c r="J51" s="77">
        <f t="shared" si="55"/>
        <v>-1.0195705676924862</v>
      </c>
      <c r="K51" s="77">
        <f t="shared" si="56"/>
        <v>3.0047316128209478</v>
      </c>
      <c r="L51" s="91">
        <f t="shared" si="57"/>
        <v>3.1730011357688404</v>
      </c>
      <c r="M51" s="45"/>
      <c r="N51" s="28"/>
      <c r="O51" s="28"/>
      <c r="P51" s="31"/>
      <c r="S51" s="28"/>
      <c r="T51" s="28"/>
      <c r="U51" s="28"/>
      <c r="V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</row>
    <row r="52" spans="1:52">
      <c r="A52" s="20">
        <f>A51-$F$33</f>
        <v>2.8090751836131056</v>
      </c>
      <c r="B52" s="26">
        <f t="shared" si="47"/>
        <v>-0.94522357795147383</v>
      </c>
      <c r="C52" s="26">
        <f t="shared" si="48"/>
        <v>-0.46602584333005581</v>
      </c>
      <c r="D52" s="26">
        <f t="shared" si="49"/>
        <v>2.3521678026785513</v>
      </c>
      <c r="E52" s="26">
        <f t="shared" si="50"/>
        <v>0.32642363223978466</v>
      </c>
      <c r="F52" s="77">
        <f t="shared" si="51"/>
        <v>0.92002237072591853</v>
      </c>
      <c r="G52" s="77">
        <f t="shared" si="52"/>
        <v>0.11491789278823884</v>
      </c>
      <c r="H52" s="99">
        <f t="shared" si="53"/>
        <v>1.4842314069494495</v>
      </c>
      <c r="I52" s="99">
        <f t="shared" si="54"/>
        <v>-0.42659440927466508</v>
      </c>
      <c r="J52" s="77">
        <f t="shared" si="55"/>
        <v>-1.0114760784756525</v>
      </c>
      <c r="K52" s="77">
        <f t="shared" si="56"/>
        <v>2.928927147060143</v>
      </c>
      <c r="L52" s="91">
        <f t="shared" si="57"/>
        <v>3.0986606929630667</v>
      </c>
      <c r="M52" s="45"/>
      <c r="N52" s="28"/>
      <c r="O52" s="28"/>
      <c r="P52" s="31"/>
      <c r="AF52" s="7"/>
      <c r="AG52" s="7"/>
      <c r="AR52" s="28"/>
      <c r="AS52" s="7"/>
      <c r="AT52" s="7"/>
      <c r="AU52" s="7"/>
      <c r="AV52" s="7"/>
      <c r="AW52" s="7"/>
      <c r="AX52" s="7"/>
      <c r="AY52" s="7"/>
      <c r="AZ52" s="7"/>
    </row>
    <row r="53" spans="1:52">
      <c r="A53" s="20">
        <f>A52-$F$33</f>
        <v>2.8036880598962006</v>
      </c>
      <c r="B53" s="26">
        <f t="shared" si="47"/>
        <v>-0.9434513862842544</v>
      </c>
      <c r="C53" s="26">
        <f t="shared" si="48"/>
        <v>-0.46425365166283639</v>
      </c>
      <c r="D53" s="26">
        <f t="shared" si="49"/>
        <v>2.3337816022186755</v>
      </c>
      <c r="E53" s="26">
        <f t="shared" si="50"/>
        <v>0.33151090738966432</v>
      </c>
      <c r="F53" s="77">
        <f t="shared" si="51"/>
        <v>0.89540475587960711</v>
      </c>
      <c r="G53" s="77">
        <f t="shared" si="52"/>
        <v>0.15029033942473066</v>
      </c>
      <c r="H53" s="99">
        <f t="shared" si="53"/>
        <v>1.4485924974505662</v>
      </c>
      <c r="I53" s="99">
        <f t="shared" si="54"/>
        <v>-0.32427973867055543</v>
      </c>
      <c r="J53" s="77">
        <f t="shared" si="55"/>
        <v>-1.0035696689422657</v>
      </c>
      <c r="K53" s="77">
        <f t="shared" si="56"/>
        <v>2.8560725282064441</v>
      </c>
      <c r="L53" s="91">
        <f t="shared" si="57"/>
        <v>3.0272598776445405</v>
      </c>
      <c r="M53" s="45"/>
      <c r="N53" s="28"/>
      <c r="O53" s="28"/>
      <c r="P53" s="89"/>
      <c r="AF53" s="7"/>
      <c r="AG53" s="7"/>
      <c r="AH53" s="7"/>
      <c r="AI53" s="7"/>
      <c r="AJ53" s="7"/>
      <c r="AK53" s="7"/>
      <c r="AL53" s="7"/>
      <c r="AM53" s="7"/>
      <c r="AN53" s="7"/>
      <c r="AR53" s="28"/>
      <c r="AS53" s="14"/>
      <c r="AT53" s="83"/>
      <c r="AU53" s="83"/>
      <c r="AV53" s="83"/>
      <c r="AW53" s="83"/>
      <c r="AX53" s="83"/>
      <c r="AY53" s="83"/>
      <c r="AZ53" s="7"/>
    </row>
    <row r="54" spans="1:52">
      <c r="A54" s="20">
        <f>A53-$F$33</f>
        <v>2.7983009361792957</v>
      </c>
      <c r="B54" s="26">
        <f t="shared" si="47"/>
        <v>-0.94165181468439352</v>
      </c>
      <c r="C54" s="26">
        <f t="shared" si="48"/>
        <v>-0.4624540800629755</v>
      </c>
      <c r="D54" s="26">
        <f t="shared" si="49"/>
        <v>2.3158156160009664</v>
      </c>
      <c r="E54" s="26">
        <f t="shared" si="50"/>
        <v>0.33658856175097318</v>
      </c>
      <c r="F54" s="77">
        <f t="shared" si="51"/>
        <v>0.87171580231290136</v>
      </c>
      <c r="G54" s="77">
        <f t="shared" si="52"/>
        <v>0.18432841545865578</v>
      </c>
      <c r="H54" s="99">
        <f t="shared" si="53"/>
        <v>1.4145640677948421</v>
      </c>
      <c r="I54" s="99">
        <f t="shared" si="54"/>
        <v>-0.2282570815172783</v>
      </c>
      <c r="J54" s="77">
        <f t="shared" si="55"/>
        <v>-0.99584395937990289</v>
      </c>
      <c r="K54" s="77">
        <f t="shared" si="56"/>
        <v>2.7860075417131012</v>
      </c>
      <c r="L54" s="91">
        <f t="shared" si="57"/>
        <v>2.9586387433946237</v>
      </c>
      <c r="M54" s="45"/>
      <c r="N54" s="28"/>
      <c r="O54" s="28"/>
      <c r="P54" s="28"/>
      <c r="AF54" s="7"/>
      <c r="AG54" s="7"/>
      <c r="AH54" s="7"/>
      <c r="AI54" s="7"/>
      <c r="AJ54" s="7"/>
      <c r="AK54" s="7"/>
      <c r="AL54" s="7"/>
      <c r="AM54" s="7"/>
      <c r="AN54" s="7"/>
      <c r="AR54" s="28"/>
      <c r="AS54" s="7"/>
      <c r="AT54" s="83"/>
      <c r="AU54" s="83"/>
      <c r="AV54" s="83"/>
      <c r="AW54" s="83"/>
      <c r="AX54" s="83"/>
      <c r="AY54" s="83"/>
      <c r="AZ54" s="7"/>
    </row>
    <row r="55" spans="1:5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18"/>
      <c r="AF55" s="7"/>
      <c r="AG55" s="7"/>
      <c r="AH55" s="7"/>
      <c r="AI55" s="7"/>
      <c r="AJ55" s="7"/>
      <c r="AK55" s="7"/>
      <c r="AL55" s="7"/>
      <c r="AM55" s="7"/>
      <c r="AN55" s="7"/>
      <c r="AR55" s="28"/>
      <c r="AS55" s="7"/>
      <c r="AT55" s="83"/>
      <c r="AU55" s="83"/>
      <c r="AV55" s="83"/>
      <c r="AW55" s="83"/>
      <c r="AX55" s="83"/>
      <c r="AY55" s="83"/>
      <c r="AZ55" s="7"/>
    </row>
    <row r="56" spans="1:52">
      <c r="A56" s="88" t="s">
        <v>73</v>
      </c>
      <c r="B56" s="88"/>
      <c r="C56" s="23" t="str">
        <f>CONCATENATE("m",Stufengrün!R48)</f>
        <v>m0</v>
      </c>
      <c r="D56" s="23" t="s">
        <v>30</v>
      </c>
      <c r="E56" s="28"/>
      <c r="F56" s="28"/>
      <c r="G56" s="28"/>
      <c r="H56" s="36" t="s">
        <v>57</v>
      </c>
      <c r="I56" s="36" t="s">
        <v>51</v>
      </c>
      <c r="J56" s="36" t="s">
        <v>58</v>
      </c>
      <c r="K56" s="36" t="s">
        <v>59</v>
      </c>
      <c r="L56" s="28"/>
      <c r="M56" s="28"/>
      <c r="N56" s="28"/>
      <c r="O56" s="28"/>
      <c r="P56" s="28"/>
      <c r="Q56" s="18"/>
      <c r="AF56" s="7"/>
      <c r="AG56" s="7"/>
      <c r="AH56" s="7"/>
      <c r="AI56" s="7"/>
      <c r="AJ56" s="7"/>
      <c r="AK56" s="7"/>
      <c r="AL56" s="7"/>
      <c r="AM56" s="7"/>
      <c r="AN56" s="7"/>
      <c r="AR56" s="28"/>
      <c r="AS56" s="7"/>
      <c r="AT56" s="83"/>
      <c r="AU56" s="83"/>
      <c r="AV56" s="83"/>
      <c r="AW56" s="83"/>
      <c r="AX56" s="83"/>
      <c r="AY56" s="83"/>
      <c r="AZ56" s="7"/>
    </row>
    <row r="57" spans="1:52">
      <c r="A57" s="88" t="s">
        <v>69</v>
      </c>
      <c r="B57" s="88"/>
      <c r="C57" s="36">
        <f>Stufengrün!S48</f>
        <v>0.38197186342054879</v>
      </c>
      <c r="D57" s="26">
        <f>Stufengrün!U48</f>
        <v>0.22653102238502199</v>
      </c>
      <c r="E57" s="28"/>
      <c r="F57" s="28"/>
      <c r="G57" s="28"/>
      <c r="H57" s="78">
        <f>H46</f>
        <v>1.4139469995889142</v>
      </c>
      <c r="I57" s="78">
        <f>I46</f>
        <v>-0.22653102238502199</v>
      </c>
      <c r="J57" s="78">
        <f>J46</f>
        <v>-0.99570221199872566</v>
      </c>
      <c r="K57" s="78">
        <f>K46</f>
        <v>2.7847323477437027</v>
      </c>
      <c r="L57" s="28"/>
      <c r="M57" s="28"/>
      <c r="N57" s="28"/>
      <c r="O57" s="28"/>
      <c r="P57" s="28"/>
      <c r="Q57" s="18"/>
      <c r="AF57" s="7"/>
      <c r="AG57" s="7"/>
      <c r="AH57" s="7"/>
      <c r="AI57" s="7"/>
      <c r="AJ57" s="7"/>
      <c r="AK57" s="7"/>
      <c r="AL57" s="7"/>
      <c r="AM57" s="7"/>
      <c r="AN57" s="7"/>
      <c r="AR57" s="28"/>
      <c r="AS57" s="7"/>
      <c r="AT57" s="83"/>
      <c r="AU57" s="83"/>
      <c r="AV57" s="83"/>
      <c r="AW57" s="83"/>
      <c r="AX57" s="83"/>
      <c r="AY57" s="83"/>
      <c r="AZ57" s="7"/>
    </row>
    <row r="58" spans="1:52">
      <c r="A58" s="95"/>
      <c r="B58" s="95"/>
      <c r="C58" s="28"/>
      <c r="D58" s="28"/>
      <c r="E58" s="28"/>
      <c r="F58" s="28"/>
      <c r="G58" s="28"/>
      <c r="H58" s="37" t="s">
        <v>8</v>
      </c>
      <c r="I58" s="37" t="s">
        <v>8</v>
      </c>
      <c r="J58" s="37" t="s">
        <v>9</v>
      </c>
      <c r="K58" s="37" t="s">
        <v>9</v>
      </c>
      <c r="L58" s="28"/>
      <c r="M58" s="28"/>
      <c r="N58" s="28"/>
      <c r="O58" s="28"/>
      <c r="P58" s="28"/>
      <c r="Q58" s="18"/>
      <c r="AF58" s="7"/>
      <c r="AG58" s="7"/>
      <c r="AH58" s="7"/>
      <c r="AI58" s="7"/>
      <c r="AJ58" s="7"/>
      <c r="AK58" s="7"/>
      <c r="AL58" s="7"/>
      <c r="AM58" s="7"/>
      <c r="AN58" s="7"/>
      <c r="AR58" s="28"/>
      <c r="AS58" s="7"/>
      <c r="AT58" s="83"/>
      <c r="AU58" s="83"/>
      <c r="AV58" s="83"/>
      <c r="AW58" s="83"/>
      <c r="AX58" s="83"/>
      <c r="AY58" s="83"/>
      <c r="AZ58" s="7"/>
    </row>
    <row r="59" spans="1:52">
      <c r="A59" s="88" t="s">
        <v>68</v>
      </c>
      <c r="B59" s="88"/>
      <c r="C59" s="26" t="s">
        <v>15</v>
      </c>
      <c r="D59" s="26" t="s">
        <v>55</v>
      </c>
      <c r="E59" s="26" t="s">
        <v>12</v>
      </c>
      <c r="F59" s="26" t="s">
        <v>10</v>
      </c>
      <c r="G59" s="26" t="s">
        <v>14</v>
      </c>
      <c r="H59" s="26" t="s">
        <v>21</v>
      </c>
      <c r="I59" s="26" t="s">
        <v>16</v>
      </c>
      <c r="J59" s="26" t="s">
        <v>17</v>
      </c>
      <c r="K59" s="26" t="s">
        <v>23</v>
      </c>
      <c r="L59" s="28"/>
      <c r="M59" s="28"/>
      <c r="N59" s="28"/>
      <c r="O59" s="28"/>
      <c r="P59" s="28"/>
      <c r="Q59" s="18"/>
      <c r="AF59" s="7"/>
      <c r="AG59" s="7"/>
      <c r="AH59" s="7"/>
      <c r="AI59" s="7"/>
      <c r="AJ59" s="7"/>
      <c r="AK59" s="7"/>
      <c r="AL59" s="7"/>
      <c r="AM59" s="7"/>
      <c r="AN59" s="7"/>
      <c r="AR59" s="28"/>
      <c r="AS59" s="7"/>
      <c r="AT59" s="83"/>
      <c r="AU59" s="83"/>
      <c r="AV59" s="83"/>
      <c r="AW59" s="83"/>
      <c r="AX59" s="83"/>
      <c r="AY59" s="83"/>
      <c r="AZ59" s="7"/>
    </row>
    <row r="60" spans="1:52">
      <c r="A60" s="28"/>
      <c r="B60" s="28"/>
      <c r="C60" s="23">
        <f>Mü/TAN($C57)</f>
        <v>0.17425898005457305</v>
      </c>
      <c r="D60" s="42">
        <f>SQRT($J57*$J57+$K57*$K57)</f>
        <v>2.9573902589190539</v>
      </c>
      <c r="E60" s="20">
        <f>ATAN($J57/$K57)+PI()</f>
        <v>2.798200936179295</v>
      </c>
      <c r="F60" s="23">
        <f>($E60-A73-0.0001)/5</f>
        <v>2.0866254980016881E-2</v>
      </c>
      <c r="G60" s="23">
        <f>COS($E60)</f>
        <v>-0.94161815112001523</v>
      </c>
      <c r="H60" s="23">
        <f>SIN($E60)</f>
        <v>0.33668272524934245</v>
      </c>
      <c r="I60" s="23">
        <f>$C60+$G60</f>
        <v>-0.76735917106544216</v>
      </c>
      <c r="J60" s="23">
        <f>POWER(TAN($E60/2),$C60)</f>
        <v>1.3570665606588381</v>
      </c>
      <c r="K60" s="23">
        <f>-$D60*$D60*SIN($E60)*SIN($E60)/(2*9.81*SIN($C57)*POWER(TAN($E60/2),2*$C60))</f>
        <v>-7.3610350723938539E-2</v>
      </c>
      <c r="L60" s="28"/>
      <c r="M60" s="28"/>
      <c r="N60" s="28"/>
      <c r="O60" s="28"/>
      <c r="P60" s="28"/>
      <c r="Q60" s="18"/>
      <c r="AF60" s="7"/>
      <c r="AG60" s="7"/>
      <c r="AH60" s="7"/>
      <c r="AI60" s="7"/>
      <c r="AJ60" s="7"/>
      <c r="AK60" s="7"/>
      <c r="AL60" s="7"/>
      <c r="AM60" s="7"/>
      <c r="AN60" s="7"/>
      <c r="AR60" s="28"/>
      <c r="AS60" s="7"/>
      <c r="AT60" s="83"/>
      <c r="AU60" s="83"/>
      <c r="AV60" s="83"/>
      <c r="AW60" s="83"/>
      <c r="AX60" s="83"/>
      <c r="AY60" s="83"/>
      <c r="AZ60" s="7"/>
    </row>
    <row r="61" spans="1:52">
      <c r="A61" s="88" t="s">
        <v>70</v>
      </c>
      <c r="B61" s="8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45"/>
      <c r="N61" s="28"/>
      <c r="O61" s="28"/>
      <c r="P61" s="28"/>
      <c r="Q61" s="18"/>
      <c r="AF61" s="7"/>
      <c r="AG61" s="7"/>
      <c r="AH61" s="7"/>
      <c r="AI61" s="7"/>
      <c r="AJ61" s="7"/>
      <c r="AK61" s="7"/>
      <c r="AL61" s="7"/>
      <c r="AM61" s="7"/>
      <c r="AN61" s="7"/>
      <c r="AR61" s="28"/>
      <c r="AS61" s="7"/>
      <c r="AT61" s="83"/>
      <c r="AU61" s="83"/>
      <c r="AV61" s="83"/>
      <c r="AW61" s="83"/>
      <c r="AX61" s="83"/>
      <c r="AY61" s="83"/>
      <c r="AZ61" s="7"/>
    </row>
    <row r="62" spans="1:52">
      <c r="A62" s="26" t="s">
        <v>11</v>
      </c>
      <c r="B62" s="26" t="s">
        <v>13</v>
      </c>
      <c r="C62" s="26" t="s">
        <v>22</v>
      </c>
      <c r="D62" s="26" t="s">
        <v>18</v>
      </c>
      <c r="E62" s="26" t="s">
        <v>19</v>
      </c>
      <c r="F62" s="26" t="s">
        <v>20</v>
      </c>
      <c r="G62" s="26" t="s">
        <v>2</v>
      </c>
      <c r="H62" s="26" t="s">
        <v>65</v>
      </c>
      <c r="I62" s="26" t="s">
        <v>66</v>
      </c>
      <c r="J62" s="76" t="s">
        <v>3</v>
      </c>
      <c r="K62" s="76" t="s">
        <v>4</v>
      </c>
      <c r="L62" s="44" t="s">
        <v>7</v>
      </c>
      <c r="M62" s="93"/>
      <c r="N62" s="26" t="s">
        <v>61</v>
      </c>
      <c r="O62" s="26" t="s">
        <v>62</v>
      </c>
      <c r="P62" s="26" t="s">
        <v>63</v>
      </c>
      <c r="Q62" s="18"/>
      <c r="AF62" s="7"/>
      <c r="AG62" s="7"/>
      <c r="AH62" s="7"/>
      <c r="AI62" s="7"/>
      <c r="AJ62" s="7"/>
      <c r="AK62" s="7"/>
      <c r="AL62" s="7"/>
      <c r="AM62" s="7"/>
      <c r="AN62" s="7"/>
      <c r="AR62" s="28"/>
      <c r="AS62" s="7"/>
      <c r="AT62" s="83"/>
      <c r="AU62" s="83"/>
      <c r="AV62" s="83"/>
      <c r="AW62" s="83"/>
      <c r="AX62" s="83"/>
      <c r="AY62" s="83"/>
      <c r="AZ62" s="7"/>
    </row>
    <row r="63" spans="1:52">
      <c r="A63" s="19">
        <f>$E60</f>
        <v>2.798200936179295</v>
      </c>
      <c r="B63" s="26">
        <f>COS(A63)</f>
        <v>-0.94161815112001523</v>
      </c>
      <c r="C63" s="26">
        <f>($C$60+B63)</f>
        <v>-0.76735917106544216</v>
      </c>
      <c r="D63" s="26">
        <f>POWER(TAN(A63/2),$C$60)</f>
        <v>1.3570665606588381</v>
      </c>
      <c r="E63" s="26">
        <f>SIN(A63)</f>
        <v>0.33668272524934245</v>
      </c>
      <c r="F63" s="77">
        <f>(C63*$H$60*D63/E63/$I$60/$J$60)</f>
        <v>1</v>
      </c>
      <c r="G63" s="77">
        <f>$D$60*($C$60+$G$60)/9.81/SIN($C$57)/(1-$C$60*$C$60)*(F63-1)</f>
        <v>0</v>
      </c>
      <c r="H63" s="75">
        <f>-(-$H$57+$K$60*((POWER(TAN(A63/2),2*$C$60-1)/(2*$C$60-1))+(POWER(TAN(A63/2),2*$C$60+1)/(2*$C$60+1))-(POWER(TAN($E$60/2),2*$C$60-1)/(2*$C$60-1))-(POWER(TAN($E$60/2),2*$C$60+1)/(2*$C$60+1))))</f>
        <v>1.4139469995889142</v>
      </c>
      <c r="I63" s="75">
        <f>-(-$I$57+0.5*$K$60*((POWER(TAN(A63/2),2*$C$60-2)/(2*$C$60-2))-(POWER(TAN(A63/2),2*$C$60+2)/(2*$C$60+2))-(POWER(TAN($E$60/2),2*$C$60-2)/(2*$C$60-2))+(POWER(TAN($E$60/2),2*$C$60+2)/(2*$C$60+2))))</f>
        <v>-0.22653102238502199</v>
      </c>
      <c r="J63" s="77">
        <f>-$D$60*SIN(A63)*($C$60+$G$60)/($C$60+B63)*F63</f>
        <v>-0.99570221199872555</v>
      </c>
      <c r="K63" s="77">
        <f>-$D$60*COS(A63)*($C$60+$G$60)/($C$60+B63)*F63</f>
        <v>2.7847323477437027</v>
      </c>
      <c r="L63" s="91">
        <f>SQRT(J63*J63+K63*K63)</f>
        <v>2.9573902589190539</v>
      </c>
      <c r="M63" s="93"/>
      <c r="N63" s="75">
        <f>-(-$I$57+0.5*$K$60*((POWER(TAN(A63/2),2*$C$60-2)/(2*$C$60-2))-(POWER(TAN(A63/2),2*$C$60+2)/(2*$C$60+2))-(POWER(TAN($E$60/2),2*$C$60-2)/(2*$C$60-2))+(POWER(TAN($E$60/2),2*$C$60+2)/(2*$C$60+2))))-$D$57</f>
        <v>-0.45306204477004397</v>
      </c>
      <c r="O63" s="75">
        <f>-(-$I$57+0.5*$K$60*((POWER(TAN((A63+$M$9)/2),2*$C$60-2)/(2*$C$60-2))-(POWER(TAN((A63+$M$9)/2),2*$C$60+2)/(2*$C$60+2))-(POWER(TAN($E$60/2),2*$C$60-2)/(2*$C$60-2))+(POWER(TAN($E$60/2),2*$C$60+2)/(2*$C$60+2))))-$D$57</f>
        <v>-0.47342833764242059</v>
      </c>
      <c r="P63" s="75">
        <f>A63-N63/(O63-N63)*$M$9</f>
        <v>2.7314638945965513</v>
      </c>
      <c r="Q63" s="18"/>
      <c r="AF63" s="7"/>
      <c r="AG63" s="7"/>
      <c r="AH63" s="7"/>
      <c r="AI63" s="7"/>
      <c r="AJ63" s="7"/>
      <c r="AK63" s="7"/>
      <c r="AL63" s="7"/>
      <c r="AM63" s="7"/>
      <c r="AN63" s="7"/>
      <c r="AR63" s="28"/>
      <c r="AS63" s="7"/>
      <c r="AT63" s="83"/>
      <c r="AU63" s="83"/>
      <c r="AV63" s="83"/>
      <c r="AW63" s="83"/>
      <c r="AX63" s="83"/>
      <c r="AY63" s="83"/>
      <c r="AZ63" s="7"/>
    </row>
    <row r="64" spans="1:52">
      <c r="A64" s="19">
        <f>P63</f>
        <v>2.7314638945965513</v>
      </c>
      <c r="B64" s="26">
        <f>COS(A64)</f>
        <v>-0.91706949067856147</v>
      </c>
      <c r="C64" s="26">
        <f>($C$60+B64)</f>
        <v>-0.7428105106239884</v>
      </c>
      <c r="D64" s="26">
        <f>POWER(TAN(A64/2),$C$60)</f>
        <v>1.3147342020376276</v>
      </c>
      <c r="E64" s="26">
        <f>SIN(A64)</f>
        <v>0.39872741223367597</v>
      </c>
      <c r="F64" s="77">
        <f>(C64*$H$60*D64/E64/$I$60/$J$60)</f>
        <v>0.79188278878435048</v>
      </c>
      <c r="G64" s="77">
        <f>$D$60*($C$60+$G$60)/9.81/SIN($C$57)/(1-$C$60*$C$60)*(F64-1)</f>
        <v>0.1332047805599407</v>
      </c>
      <c r="H64" s="75">
        <f>-(-$H$57+$K$60*((POWER(TAN(A64/2),2*$C$60-1)/(2*$C$60-1))+(POWER(TAN(A64/2),2*$C$60+1)/(2*$C$60+1))-(POWER(TAN($E$60/2),2*$C$60-1)/(2*$C$60-1))-(POWER(TAN($E$60/2),2*$C$60+1)/(2*$C$60+1))))</f>
        <v>1.2833250777728802</v>
      </c>
      <c r="I64" s="75">
        <f>-(-$I$57+0.5*$K$60*((POWER(TAN(A64/2),2*$C$60-2)/(2*$C$60-2))-(POWER(TAN(A64/2),2*$C$60+2)/(2*$C$60+2))-(POWER(TAN($E$60/2),2*$C$60-2)/(2*$C$60-2))+(POWER(TAN($E$60/2),2*$C$60+2)/(2*$C$60+2))))</f>
        <v>0.10668445797695786</v>
      </c>
      <c r="J64" s="77">
        <f>-$D$60*SIN(A64)*($C$60+$G$60)/($C$60+B64)*F64</f>
        <v>-0.96464225934776693</v>
      </c>
      <c r="K64" s="77">
        <f>-$D$60*COS(A64)*($C$60+$G$60)/($C$60+B64)*F64</f>
        <v>2.2186685899303655</v>
      </c>
      <c r="L64" s="91">
        <f>SQRT(J64*J64+K64*K64)</f>
        <v>2.419302585552944</v>
      </c>
      <c r="M64" s="93"/>
      <c r="N64" s="75">
        <f>-(-$I$57+0.5*$K$60*((POWER(TAN(A64/2),2*$C$60-2)/(2*$C$60-2))-(POWER(TAN(A64/2),2*$C$60+2)/(2*$C$60+2))-(POWER(TAN($E$60/2),2*$C$60-2)/(2*$C$60-2))+(POWER(TAN($E$60/2),2*$C$60+2)/(2*$C$60+2))))-$D$57</f>
        <v>-0.11984656440806413</v>
      </c>
      <c r="O64" s="75">
        <f t="shared" ref="O64:O73" si="58">-(-$I$57+0.5*$K$60*((POWER(TAN((A64+$M$9)/2),2*$C$60-2)/(2*$C$60-2))-(POWER(TAN((A64+$M$9)/2),2*$C$60+2)/(2*$C$60+2))-(POWER(TAN($E$60/2),2*$C$60-2)/(2*$C$60-2))+(POWER(TAN($E$60/2),2*$C$60+2)/(2*$C$60+2))))-$D$57</f>
        <v>-0.13102835947397928</v>
      </c>
      <c r="P64" s="75">
        <f t="shared" ref="P64:P73" si="59">A64-N64/(O64-N64)*$M$9</f>
        <v>2.6993098718207129</v>
      </c>
      <c r="Q64" s="18"/>
      <c r="AF64" s="7"/>
      <c r="AG64" s="7"/>
      <c r="AH64" s="7"/>
      <c r="AI64" s="7"/>
      <c r="AJ64" s="7"/>
      <c r="AK64" s="7"/>
      <c r="AL64" s="7"/>
      <c r="AM64" s="7"/>
      <c r="AN64" s="7"/>
      <c r="AR64" s="28"/>
      <c r="AS64" s="7"/>
      <c r="AT64" s="83"/>
      <c r="AU64" s="83"/>
      <c r="AV64" s="83"/>
      <c r="AW64" s="83"/>
      <c r="AX64" s="83"/>
      <c r="AY64" s="83"/>
      <c r="AZ64" s="7"/>
    </row>
    <row r="65" spans="1:52">
      <c r="A65" s="19">
        <f t="shared" ref="A65:A73" si="60">P64</f>
        <v>2.6993098718207129</v>
      </c>
      <c r="B65" s="26">
        <f t="shared" ref="B65:B73" si="61">COS(A65)</f>
        <v>-0.90377697984753236</v>
      </c>
      <c r="C65" s="26">
        <f t="shared" ref="C65:C73" si="62">($C$60+B65)</f>
        <v>-0.72951799979295928</v>
      </c>
      <c r="D65" s="26">
        <f t="shared" ref="D65:D73" si="63">POWER(TAN(A65/2),$C$60)</f>
        <v>1.2970275151384785</v>
      </c>
      <c r="E65" s="26">
        <f t="shared" ref="E65:E73" si="64">SIN(A65)</f>
        <v>0.4280037040700384</v>
      </c>
      <c r="F65" s="77">
        <f t="shared" ref="F65:F73" si="65">(C65*$H$60*D65/E65/$I$60/$J$60)</f>
        <v>0.71475741653950398</v>
      </c>
      <c r="G65" s="77">
        <f t="shared" ref="G65:G73" si="66">$D$60*($C$60+$G$60)/9.81/SIN($C$57)/(1-$C$60*$C$60)*(F65-1)</f>
        <v>0.18256863771269308</v>
      </c>
      <c r="H65" s="75">
        <f t="shared" ref="H65:H73" si="67">-(-$H$57+$K$60*((POWER(TAN(A65/2),2*$C$60-1)/(2*$C$60-1))+(POWER(TAN(A65/2),2*$C$60+1)/(2*$C$60+1))-(POWER(TAN($E$60/2),2*$C$60-1)/(2*$C$60-1))-(POWER(TAN($E$60/2),2*$C$60+1)/(2*$C$60+1))))</f>
        <v>1.236023488527777</v>
      </c>
      <c r="I65" s="75">
        <f t="shared" ref="I65:I73" si="68">-(-$I$57+0.5*$K$60*((POWER(TAN(A65/2),2*$C$60-2)/(2*$C$60-2))-(POWER(TAN(A65/2),2*$C$60+2)/(2*$C$60+2))-(POWER(TAN($E$60/2),2*$C$60-2)/(2*$C$60-2))+(POWER(TAN($E$60/2),2*$C$60+2)/(2*$C$60+2))))</f>
        <v>0.21104246611951449</v>
      </c>
      <c r="J65" s="77">
        <f t="shared" ref="J65:J73" si="69">-$D$60*SIN(A65)*($C$60+$G$60)/($C$60+B65)*F65</f>
        <v>-0.95165056990248886</v>
      </c>
      <c r="K65" s="77">
        <f t="shared" ref="K65:K73" si="70">-$D$60*COS(A65)*($C$60+$G$60)/($C$60+B65)*F65</f>
        <v>2.0095150340005263</v>
      </c>
      <c r="L65" s="91">
        <f t="shared" ref="L65:L73" si="71">SQRT(J65*J65+K65*K65)</f>
        <v>2.2234633972858355</v>
      </c>
      <c r="M65" s="93"/>
      <c r="N65" s="75">
        <f t="shared" ref="N65:N73" si="72">-(-$I$57+0.5*$K$60*((POWER(TAN(A65/2),2*$C$60-2)/(2*$C$60-2))-(POWER(TAN(A65/2),2*$C$60+2)/(2*$C$60+2))-(POWER(TAN($E$60/2),2*$C$60-2)/(2*$C$60-2))+(POWER(TAN($E$60/2),2*$C$60+2)/(2*$C$60+2))))-$D$57</f>
        <v>-1.5488556265507492E-2</v>
      </c>
      <c r="O65" s="75">
        <f t="shared" si="58"/>
        <v>-2.4152058718099612E-2</v>
      </c>
      <c r="P65" s="75">
        <f t="shared" si="59"/>
        <v>2.6939464903187407</v>
      </c>
      <c r="Q65" s="18"/>
      <c r="AF65" s="7"/>
      <c r="AG65" s="7"/>
      <c r="AH65" s="7"/>
      <c r="AI65" s="7"/>
      <c r="AJ65" s="7"/>
      <c r="AK65" s="7"/>
      <c r="AL65" s="7"/>
      <c r="AM65" s="7"/>
      <c r="AN65" s="7"/>
      <c r="AR65" s="28"/>
      <c r="AS65" s="7"/>
      <c r="AT65" s="83"/>
      <c r="AU65" s="83"/>
      <c r="AV65" s="83"/>
      <c r="AW65" s="83"/>
      <c r="AX65" s="83"/>
      <c r="AY65" s="83"/>
      <c r="AZ65" s="7"/>
    </row>
    <row r="66" spans="1:52">
      <c r="A66" s="19">
        <f t="shared" si="60"/>
        <v>2.6939464903187407</v>
      </c>
      <c r="B66" s="26">
        <f t="shared" si="61"/>
        <v>-0.90146844477350729</v>
      </c>
      <c r="C66" s="26">
        <f t="shared" si="62"/>
        <v>-0.72720946471893422</v>
      </c>
      <c r="D66" s="26">
        <f t="shared" si="63"/>
        <v>1.2942141998347683</v>
      </c>
      <c r="E66" s="26">
        <f t="shared" si="64"/>
        <v>0.43284482563342946</v>
      </c>
      <c r="F66" s="77">
        <f t="shared" si="65"/>
        <v>0.7029985830600135</v>
      </c>
      <c r="G66" s="77">
        <f t="shared" si="66"/>
        <v>0.19009484289354855</v>
      </c>
      <c r="H66" s="75">
        <f t="shared" si="67"/>
        <v>1.2288689242232669</v>
      </c>
      <c r="I66" s="75">
        <f t="shared" si="68"/>
        <v>0.22604662762569155</v>
      </c>
      <c r="J66" s="77">
        <f t="shared" si="69"/>
        <v>-0.94958639386856281</v>
      </c>
      <c r="K66" s="77">
        <f t="shared" si="70"/>
        <v>1.9776652485242607</v>
      </c>
      <c r="L66" s="91">
        <f t="shared" si="71"/>
        <v>2.1938263729476923</v>
      </c>
      <c r="M66" s="93"/>
      <c r="N66" s="75">
        <f t="shared" si="72"/>
        <v>-4.8439475933043097E-4</v>
      </c>
      <c r="O66" s="75">
        <f t="shared" si="58"/>
        <v>-8.8017236398367227E-3</v>
      </c>
      <c r="P66" s="75">
        <f t="shared" si="59"/>
        <v>2.6937717726541073</v>
      </c>
      <c r="Q66" s="18"/>
      <c r="AF66" s="7"/>
      <c r="AG66" s="7"/>
      <c r="AH66" s="7"/>
      <c r="AI66" s="7"/>
      <c r="AJ66" s="7"/>
      <c r="AK66" s="7"/>
      <c r="AL66" s="7"/>
      <c r="AM66" s="7"/>
      <c r="AN66" s="7"/>
      <c r="AR66" s="28"/>
      <c r="AS66" s="7"/>
      <c r="AT66" s="83"/>
      <c r="AU66" s="83"/>
      <c r="AV66" s="83"/>
      <c r="AW66" s="83"/>
      <c r="AX66" s="83"/>
      <c r="AY66" s="83"/>
      <c r="AZ66" s="7"/>
    </row>
    <row r="67" spans="1:52">
      <c r="A67" s="19">
        <f t="shared" si="60"/>
        <v>2.6937717726541073</v>
      </c>
      <c r="B67" s="26">
        <f t="shared" si="61"/>
        <v>-0.90139280537757771</v>
      </c>
      <c r="C67" s="26">
        <f t="shared" si="62"/>
        <v>-0.72713382532300463</v>
      </c>
      <c r="D67" s="26">
        <f t="shared" si="63"/>
        <v>1.2941231851137611</v>
      </c>
      <c r="E67" s="26">
        <f t="shared" si="64"/>
        <v>0.43300232148747231</v>
      </c>
      <c r="F67" s="77">
        <f t="shared" si="65"/>
        <v>0.70262037219980278</v>
      </c>
      <c r="G67" s="77">
        <f t="shared" si="66"/>
        <v>0.19033691559068627</v>
      </c>
      <c r="H67" s="75">
        <f t="shared" si="67"/>
        <v>1.228639063365935</v>
      </c>
      <c r="I67" s="75">
        <f t="shared" si="68"/>
        <v>0.22652524241703975</v>
      </c>
      <c r="J67" s="77">
        <f t="shared" si="69"/>
        <v>-0.94951961486032666</v>
      </c>
      <c r="K67" s="77">
        <f t="shared" si="70"/>
        <v>1.9766410176735039</v>
      </c>
      <c r="L67" s="91">
        <f t="shared" si="71"/>
        <v>2.1928741896775219</v>
      </c>
      <c r="M67" s="93"/>
      <c r="N67" s="75">
        <f t="shared" si="72"/>
        <v>-5.7799679822334582E-6</v>
      </c>
      <c r="O67" s="75">
        <f t="shared" si="58"/>
        <v>-8.3121347257685274E-3</v>
      </c>
      <c r="P67" s="75">
        <f t="shared" si="59"/>
        <v>2.6937696851073492</v>
      </c>
      <c r="Q67" s="18"/>
      <c r="AF67" s="7"/>
      <c r="AG67" s="7"/>
      <c r="AH67" s="7"/>
      <c r="AI67" s="7"/>
      <c r="AJ67" s="7"/>
      <c r="AK67" s="7"/>
      <c r="AL67" s="7"/>
      <c r="AM67" s="7"/>
      <c r="AN67" s="7"/>
      <c r="AR67" s="28"/>
      <c r="AS67" s="7"/>
      <c r="AT67" s="83"/>
      <c r="AU67" s="83"/>
      <c r="AV67" s="83"/>
      <c r="AW67" s="83"/>
      <c r="AX67" s="83"/>
      <c r="AY67" s="83"/>
      <c r="AZ67" s="7"/>
    </row>
    <row r="68" spans="1:52">
      <c r="A68" s="19">
        <f t="shared" si="60"/>
        <v>2.6937696851073492</v>
      </c>
      <c r="B68" s="26">
        <f t="shared" si="61"/>
        <v>-0.90139190146302117</v>
      </c>
      <c r="C68" s="26">
        <f t="shared" si="62"/>
        <v>-0.7271329214084481</v>
      </c>
      <c r="D68" s="26">
        <f t="shared" si="63"/>
        <v>1.2941220978982326</v>
      </c>
      <c r="E68" s="26">
        <f t="shared" si="64"/>
        <v>0.43300420318615751</v>
      </c>
      <c r="F68" s="77">
        <f t="shared" si="65"/>
        <v>0.7026158551169478</v>
      </c>
      <c r="G68" s="77">
        <f t="shared" si="66"/>
        <v>0.19033980673566633</v>
      </c>
      <c r="H68" s="75">
        <f t="shared" si="67"/>
        <v>1.2286363181682203</v>
      </c>
      <c r="I68" s="75">
        <f t="shared" si="68"/>
        <v>0.22653095715511207</v>
      </c>
      <c r="J68" s="77">
        <f t="shared" si="69"/>
        <v>-0.94951881715228625</v>
      </c>
      <c r="K68" s="77">
        <f t="shared" si="70"/>
        <v>1.9766287850555899</v>
      </c>
      <c r="L68" s="91">
        <f t="shared" si="71"/>
        <v>2.1928628178790879</v>
      </c>
      <c r="M68" s="93"/>
      <c r="N68" s="75">
        <f t="shared" si="72"/>
        <v>-6.5229909917974283E-8</v>
      </c>
      <c r="O68" s="75">
        <f t="shared" si="58"/>
        <v>-8.3062889805801121E-3</v>
      </c>
      <c r="P68" s="75">
        <f t="shared" si="59"/>
        <v>2.6937696615479392</v>
      </c>
      <c r="Q68" s="18"/>
      <c r="AF68" s="7"/>
      <c r="AG68" s="7"/>
      <c r="AH68" s="7"/>
      <c r="AI68" s="7"/>
      <c r="AJ68" s="7"/>
      <c r="AK68" s="7"/>
      <c r="AL68" s="7"/>
      <c r="AM68" s="7"/>
      <c r="AN68" s="7"/>
      <c r="AR68" s="28"/>
      <c r="AS68" s="7"/>
      <c r="AT68" s="83"/>
      <c r="AU68" s="83"/>
      <c r="AV68" s="83"/>
      <c r="AW68" s="83"/>
      <c r="AX68" s="83"/>
      <c r="AY68" s="83"/>
      <c r="AZ68" s="7"/>
    </row>
    <row r="69" spans="1:52">
      <c r="A69" s="19">
        <f t="shared" si="60"/>
        <v>2.6937696615479392</v>
      </c>
      <c r="B69" s="26">
        <f t="shared" si="61"/>
        <v>-0.90139189126169739</v>
      </c>
      <c r="C69" s="26">
        <f t="shared" si="62"/>
        <v>-0.72713291120712431</v>
      </c>
      <c r="D69" s="26">
        <f t="shared" si="63"/>
        <v>1.2941220856282849</v>
      </c>
      <c r="E69" s="26">
        <f t="shared" si="64"/>
        <v>0.43300422442241876</v>
      </c>
      <c r="F69" s="77">
        <f t="shared" si="65"/>
        <v>0.70261580413878699</v>
      </c>
      <c r="G69" s="77">
        <f t="shared" si="66"/>
        <v>0.19033983936408128</v>
      </c>
      <c r="H69" s="75">
        <f t="shared" si="67"/>
        <v>1.2286362871869263</v>
      </c>
      <c r="I69" s="75">
        <f t="shared" si="68"/>
        <v>0.22653102164937416</v>
      </c>
      <c r="J69" s="77">
        <f t="shared" si="69"/>
        <v>-0.94951880814962253</v>
      </c>
      <c r="K69" s="77">
        <f t="shared" si="70"/>
        <v>1.9766286470027044</v>
      </c>
      <c r="L69" s="91">
        <f t="shared" si="71"/>
        <v>2.1928626895411445</v>
      </c>
      <c r="M69" s="93"/>
      <c r="N69" s="75">
        <f t="shared" si="72"/>
        <v>-7.3564782043789023E-10</v>
      </c>
      <c r="O69" s="75">
        <f t="shared" si="58"/>
        <v>-8.3062230078275179E-3</v>
      </c>
      <c r="P69" s="75">
        <f t="shared" si="59"/>
        <v>2.6937696612822415</v>
      </c>
      <c r="Q69" s="18"/>
      <c r="AF69" s="7"/>
      <c r="AG69" s="7"/>
      <c r="AH69" s="7"/>
      <c r="AI69" s="7"/>
      <c r="AJ69" s="7"/>
      <c r="AK69" s="7"/>
      <c r="AL69" s="7"/>
      <c r="AM69" s="7"/>
      <c r="AN69" s="7"/>
      <c r="AR69" s="28"/>
      <c r="AS69" s="7"/>
      <c r="AT69" s="83"/>
      <c r="AU69" s="83"/>
      <c r="AV69" s="83"/>
      <c r="AW69" s="83"/>
      <c r="AX69" s="83"/>
      <c r="AY69" s="83"/>
      <c r="AZ69" s="7"/>
    </row>
    <row r="70" spans="1:52">
      <c r="A70" s="19">
        <f t="shared" si="60"/>
        <v>2.6937696612822415</v>
      </c>
      <c r="B70" s="26">
        <f t="shared" si="61"/>
        <v>-0.90139189114664908</v>
      </c>
      <c r="C70" s="26">
        <f t="shared" si="62"/>
        <v>-0.72713291109207601</v>
      </c>
      <c r="D70" s="26">
        <f t="shared" si="63"/>
        <v>1.2941220854899074</v>
      </c>
      <c r="E70" s="26">
        <f t="shared" si="64"/>
        <v>0.43300422466191651</v>
      </c>
      <c r="F70" s="77">
        <f t="shared" si="65"/>
        <v>0.70261580356386699</v>
      </c>
      <c r="G70" s="77">
        <f t="shared" si="66"/>
        <v>0.19033983973205706</v>
      </c>
      <c r="H70" s="75">
        <f t="shared" si="67"/>
        <v>1.2286362868375265</v>
      </c>
      <c r="I70" s="75">
        <f t="shared" si="68"/>
        <v>0.22653102237672579</v>
      </c>
      <c r="J70" s="77">
        <f t="shared" si="69"/>
        <v>-0.94951880804809274</v>
      </c>
      <c r="K70" s="77">
        <f t="shared" si="70"/>
        <v>1.976628645445776</v>
      </c>
      <c r="L70" s="91">
        <f t="shared" si="71"/>
        <v>2.1928626880937792</v>
      </c>
      <c r="M70" s="93"/>
      <c r="N70" s="75">
        <f t="shared" si="72"/>
        <v>-8.2961970626627135E-12</v>
      </c>
      <c r="O70" s="75">
        <f t="shared" si="58"/>
        <v>-8.306222263801788E-3</v>
      </c>
      <c r="P70" s="75">
        <f t="shared" si="59"/>
        <v>2.6937696612792452</v>
      </c>
      <c r="Q70" s="18"/>
      <c r="AF70" s="7"/>
      <c r="AG70" s="7"/>
      <c r="AH70" s="7"/>
      <c r="AI70" s="7"/>
      <c r="AJ70" s="7"/>
      <c r="AK70" s="7"/>
      <c r="AL70" s="7"/>
      <c r="AM70" s="7"/>
      <c r="AN70" s="7"/>
      <c r="AR70" s="28"/>
      <c r="AS70" s="7"/>
      <c r="AT70" s="83"/>
      <c r="AU70" s="83"/>
      <c r="AV70" s="83"/>
      <c r="AW70" s="83"/>
      <c r="AX70" s="83"/>
      <c r="AY70" s="83"/>
      <c r="AZ70" s="7"/>
    </row>
    <row r="71" spans="1:52">
      <c r="A71" s="19">
        <f t="shared" si="60"/>
        <v>2.6937696612792452</v>
      </c>
      <c r="B71" s="26">
        <f t="shared" si="61"/>
        <v>-0.90139189114535179</v>
      </c>
      <c r="C71" s="26">
        <f t="shared" si="62"/>
        <v>-0.72713291109077871</v>
      </c>
      <c r="D71" s="26">
        <f t="shared" si="63"/>
        <v>1.2941220854883468</v>
      </c>
      <c r="E71" s="26">
        <f t="shared" si="64"/>
        <v>0.4330042246646173</v>
      </c>
      <c r="F71" s="77">
        <f t="shared" si="65"/>
        <v>0.70261580355738362</v>
      </c>
      <c r="G71" s="77">
        <f t="shared" si="66"/>
        <v>0.19033983973620672</v>
      </c>
      <c r="H71" s="75">
        <f t="shared" si="67"/>
        <v>1.2286362868335863</v>
      </c>
      <c r="I71" s="75">
        <f t="shared" si="68"/>
        <v>0.22653102238492773</v>
      </c>
      <c r="J71" s="77">
        <f t="shared" si="69"/>
        <v>-0.94951880804694755</v>
      </c>
      <c r="K71" s="77">
        <f t="shared" si="70"/>
        <v>1.9766286454282185</v>
      </c>
      <c r="L71" s="91">
        <f t="shared" si="71"/>
        <v>2.1928626880774567</v>
      </c>
      <c r="M71" s="93"/>
      <c r="N71" s="75">
        <f t="shared" si="72"/>
        <v>-9.425793479067579E-14</v>
      </c>
      <c r="O71" s="75">
        <f t="shared" si="58"/>
        <v>-8.306222255411555E-3</v>
      </c>
      <c r="P71" s="75">
        <f t="shared" si="59"/>
        <v>2.693769661279211</v>
      </c>
      <c r="Q71" s="18"/>
      <c r="AF71" s="7"/>
      <c r="AG71" s="7"/>
      <c r="AH71" s="7"/>
      <c r="AI71" s="7"/>
      <c r="AJ71" s="7"/>
      <c r="AK71" s="7"/>
      <c r="AL71" s="7"/>
      <c r="AM71" s="7"/>
      <c r="AN71" s="7"/>
      <c r="AR71" s="28"/>
      <c r="AS71" s="7"/>
      <c r="AT71" s="83"/>
      <c r="AU71" s="83"/>
      <c r="AV71" s="83"/>
      <c r="AW71" s="83"/>
      <c r="AX71" s="83"/>
      <c r="AY71" s="83"/>
      <c r="AZ71" s="7"/>
    </row>
    <row r="72" spans="1:52">
      <c r="A72" s="19">
        <f t="shared" si="60"/>
        <v>2.693769661279211</v>
      </c>
      <c r="B72" s="26">
        <f t="shared" si="61"/>
        <v>-0.90139189114533691</v>
      </c>
      <c r="C72" s="26">
        <f t="shared" si="62"/>
        <v>-0.72713291109076383</v>
      </c>
      <c r="D72" s="26">
        <f t="shared" si="63"/>
        <v>1.2941220854883291</v>
      </c>
      <c r="E72" s="26">
        <f t="shared" si="64"/>
        <v>0.43300422466464811</v>
      </c>
      <c r="F72" s="77">
        <f t="shared" si="65"/>
        <v>0.70261580355730957</v>
      </c>
      <c r="G72" s="77">
        <f t="shared" si="66"/>
        <v>0.1903398397362541</v>
      </c>
      <c r="H72" s="75">
        <f t="shared" si="67"/>
        <v>1.2286362868335414</v>
      </c>
      <c r="I72" s="75">
        <f t="shared" si="68"/>
        <v>0.22653102238502126</v>
      </c>
      <c r="J72" s="77">
        <f t="shared" si="69"/>
        <v>-0.94951880804693456</v>
      </c>
      <c r="K72" s="77">
        <f t="shared" si="70"/>
        <v>1.9766286454280175</v>
      </c>
      <c r="L72" s="91">
        <f t="shared" si="71"/>
        <v>2.1928626880772701</v>
      </c>
      <c r="M72" s="93"/>
      <c r="N72" s="75">
        <f t="shared" si="72"/>
        <v>-7.2164496600635175E-16</v>
      </c>
      <c r="O72" s="75">
        <f t="shared" si="58"/>
        <v>-8.3062222553158538E-3</v>
      </c>
      <c r="P72" s="75">
        <f t="shared" si="59"/>
        <v>2.6937696612792106</v>
      </c>
      <c r="Q72" s="18"/>
      <c r="AF72" s="7"/>
      <c r="AG72" s="7"/>
      <c r="AH72" s="7"/>
      <c r="AI72" s="7"/>
      <c r="AJ72" s="7"/>
      <c r="AK72" s="7"/>
      <c r="AL72" s="7"/>
      <c r="AM72" s="7"/>
      <c r="AN72" s="7"/>
      <c r="AR72" s="28"/>
      <c r="AS72" s="7"/>
      <c r="AT72" s="83"/>
      <c r="AU72" s="83"/>
      <c r="AV72" s="83"/>
      <c r="AW72" s="83"/>
      <c r="AX72" s="83"/>
      <c r="AY72" s="83"/>
      <c r="AZ72" s="7"/>
    </row>
    <row r="73" spans="1:52">
      <c r="A73" s="19">
        <f t="shared" si="60"/>
        <v>2.6937696612792106</v>
      </c>
      <c r="B73" s="26">
        <f t="shared" si="61"/>
        <v>-0.90139189114533669</v>
      </c>
      <c r="C73" s="26">
        <f t="shared" si="62"/>
        <v>-0.72713291109076361</v>
      </c>
      <c r="D73" s="26">
        <f t="shared" si="63"/>
        <v>1.2941220854883289</v>
      </c>
      <c r="E73" s="26">
        <f t="shared" si="64"/>
        <v>0.43300422466464855</v>
      </c>
      <c r="F73" s="77">
        <f t="shared" si="65"/>
        <v>0.70261580355730857</v>
      </c>
      <c r="G73" s="77">
        <f t="shared" si="66"/>
        <v>0.19033983973625476</v>
      </c>
      <c r="H73" s="81">
        <f t="shared" si="67"/>
        <v>1.2286362868335408</v>
      </c>
      <c r="I73" s="81">
        <f t="shared" si="68"/>
        <v>0.2265310223850226</v>
      </c>
      <c r="J73" s="80">
        <f t="shared" si="69"/>
        <v>-0.94951880804693456</v>
      </c>
      <c r="K73" s="80">
        <f t="shared" si="70"/>
        <v>1.9766286454280151</v>
      </c>
      <c r="L73" s="91">
        <f t="shared" si="71"/>
        <v>2.1928626880772679</v>
      </c>
      <c r="M73" s="93"/>
      <c r="N73" s="75">
        <f t="shared" si="72"/>
        <v>6.106226635438361E-16</v>
      </c>
      <c r="O73" s="75">
        <f t="shared" si="58"/>
        <v>-8.306222255314577E-3</v>
      </c>
      <c r="P73" s="75">
        <f t="shared" si="59"/>
        <v>2.6937696612792106</v>
      </c>
      <c r="Q73" s="18"/>
      <c r="AF73" s="7"/>
      <c r="AG73" s="7"/>
      <c r="AH73" s="7"/>
      <c r="AI73" s="7"/>
      <c r="AJ73" s="7"/>
      <c r="AK73" s="7"/>
      <c r="AL73" s="7"/>
      <c r="AM73" s="7"/>
      <c r="AN73" s="7"/>
      <c r="AR73" s="28"/>
      <c r="AS73" s="7"/>
      <c r="AT73" s="83"/>
      <c r="AU73" s="83"/>
      <c r="AV73" s="83"/>
      <c r="AW73" s="83"/>
      <c r="AX73" s="83"/>
      <c r="AY73" s="83"/>
      <c r="AZ73" s="7"/>
    </row>
    <row r="74" spans="1:52">
      <c r="A74" s="88" t="s">
        <v>60</v>
      </c>
      <c r="B74" s="8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18"/>
      <c r="AF74" s="7"/>
      <c r="AG74" s="7"/>
      <c r="AH74" s="7"/>
      <c r="AI74" s="7"/>
      <c r="AJ74" s="7"/>
      <c r="AK74" s="7"/>
      <c r="AL74" s="7"/>
      <c r="AM74" s="7"/>
      <c r="AN74" s="7"/>
      <c r="AR74" s="28"/>
      <c r="AS74" s="7"/>
      <c r="AT74" s="83"/>
      <c r="AU74" s="83"/>
      <c r="AV74" s="83"/>
      <c r="AW74" s="83"/>
      <c r="AX74" s="83"/>
      <c r="AY74" s="83"/>
      <c r="AZ74" s="7"/>
    </row>
    <row r="75" spans="1:52">
      <c r="A75" s="26" t="s">
        <v>11</v>
      </c>
      <c r="B75" s="26" t="s">
        <v>13</v>
      </c>
      <c r="C75" s="26" t="s">
        <v>22</v>
      </c>
      <c r="D75" s="26" t="s">
        <v>18</v>
      </c>
      <c r="E75" s="26" t="s">
        <v>19</v>
      </c>
      <c r="F75" s="26" t="s">
        <v>20</v>
      </c>
      <c r="G75" s="26" t="s">
        <v>2</v>
      </c>
      <c r="H75" s="26" t="s">
        <v>1</v>
      </c>
      <c r="I75" s="26" t="s">
        <v>0</v>
      </c>
      <c r="J75" s="76" t="s">
        <v>3</v>
      </c>
      <c r="K75" s="76" t="s">
        <v>4</v>
      </c>
      <c r="L75" s="44" t="s">
        <v>7</v>
      </c>
      <c r="M75" s="28"/>
      <c r="N75" s="28"/>
      <c r="O75" s="28"/>
      <c r="P75" s="31"/>
      <c r="Q75" s="18"/>
      <c r="AF75" s="7"/>
      <c r="AG75" s="7"/>
      <c r="AH75" s="7"/>
      <c r="AI75" s="7"/>
      <c r="AJ75" s="7"/>
      <c r="AK75" s="7"/>
      <c r="AL75" s="7"/>
      <c r="AM75" s="7"/>
      <c r="AN75" s="7"/>
      <c r="AR75" s="28"/>
      <c r="AS75" s="7"/>
      <c r="AT75" s="83"/>
      <c r="AU75" s="83"/>
      <c r="AV75" s="83"/>
      <c r="AW75" s="83"/>
      <c r="AX75" s="83"/>
      <c r="AY75" s="83"/>
      <c r="AZ75" s="7"/>
    </row>
    <row r="76" spans="1:52">
      <c r="A76" s="19">
        <f>$E60</f>
        <v>2.798200936179295</v>
      </c>
      <c r="B76" s="26">
        <f t="shared" ref="B76:B81" si="73">COS(A76)</f>
        <v>-0.94161815112001523</v>
      </c>
      <c r="C76" s="26">
        <f t="shared" ref="C76:C81" si="74">($C$60+B76)</f>
        <v>-0.76735917106544216</v>
      </c>
      <c r="D76" s="26">
        <f t="shared" ref="D76:D81" si="75">POWER(TAN(A76/2),$C$60)</f>
        <v>1.3570665606588381</v>
      </c>
      <c r="E76" s="26">
        <f t="shared" ref="E76:E81" si="76">SIN(A76)</f>
        <v>0.33668272524934245</v>
      </c>
      <c r="F76" s="77">
        <f t="shared" ref="F76:F81" si="77">(C76*$H$60*D76/E76/$I$60/$J$60)</f>
        <v>1</v>
      </c>
      <c r="G76" s="77">
        <f t="shared" ref="G76:G81" si="78">$D$60*($C$60+$G$60)/9.81/SIN($C$57)/(1-$C$60*$C$60)*(F76-1)</f>
        <v>0</v>
      </c>
      <c r="H76" s="109">
        <f t="shared" ref="H76:H81" si="79">-(-$H$57+$K$60*((POWER(TAN(A76/2),2*$C$60-1)/(2*$C$60-1))+(POWER(TAN(A76/2),2*$C$60+1)/(2*$C$60+1))-(POWER(TAN($E$60/2),2*$C$60-1)/(2*$C$60-1))-(POWER(TAN($E$60/2),2*$C$60+1)/(2*$C$60+1))))</f>
        <v>1.4139469995889142</v>
      </c>
      <c r="I76" s="109">
        <f t="shared" ref="I76:I81" si="80">-(-$I$57+0.5*$K$60*((POWER(TAN(A76/2),2*$C$60-2)/(2*$C$60-2))-(POWER(TAN(A76/2),2*$C$60+2)/(2*$C$60+2))-(POWER(TAN($E$60/2),2*$C$60-2)/(2*$C$60-2))+(POWER(TAN($E$60/2),2*$C$60+2)/(2*$C$60+2))))</f>
        <v>-0.22653102238502199</v>
      </c>
      <c r="J76" s="77">
        <f t="shared" ref="J76:J81" si="81">-$D$60*SIN(A76)*($C$60+$G$60)/($C$60+B76)*F76</f>
        <v>-0.99570221199872555</v>
      </c>
      <c r="K76" s="77">
        <f t="shared" ref="K76:K81" si="82">-$D$60*COS(A76)*($C$60+$G$60)/($C$60+B76)*F76</f>
        <v>2.7847323477437027</v>
      </c>
      <c r="L76" s="91">
        <f t="shared" ref="L76:L81" si="83">SQRT(J76*J76+K76*K76)</f>
        <v>2.9573902589190539</v>
      </c>
      <c r="M76" s="28"/>
      <c r="N76" s="28"/>
      <c r="O76" s="28"/>
      <c r="P76" s="31"/>
      <c r="Q76" s="18"/>
      <c r="AF76" s="7"/>
      <c r="AG76" s="7"/>
      <c r="AH76" s="7"/>
      <c r="AI76" s="7"/>
      <c r="AJ76" s="7"/>
      <c r="AK76" s="7"/>
      <c r="AL76" s="7"/>
      <c r="AM76" s="7"/>
      <c r="AN76" s="7"/>
      <c r="AR76" s="28"/>
      <c r="AS76" s="7"/>
      <c r="AT76" s="83"/>
      <c r="AU76" s="83"/>
      <c r="AV76" s="83"/>
      <c r="AW76" s="83"/>
      <c r="AX76" s="83"/>
      <c r="AY76" s="83"/>
      <c r="AZ76" s="7"/>
    </row>
    <row r="77" spans="1:52">
      <c r="A77" s="20">
        <f>A76-$F$60</f>
        <v>2.7773346811992781</v>
      </c>
      <c r="B77" s="26">
        <f t="shared" si="73"/>
        <v>-0.9343883702054725</v>
      </c>
      <c r="C77" s="26">
        <f t="shared" si="74"/>
        <v>-0.76012939015089942</v>
      </c>
      <c r="D77" s="26">
        <f t="shared" si="75"/>
        <v>1.3428956325756707</v>
      </c>
      <c r="E77" s="26">
        <f t="shared" si="76"/>
        <v>0.35625605065003579</v>
      </c>
      <c r="F77" s="77">
        <f t="shared" si="77"/>
        <v>0.92637864202277209</v>
      </c>
      <c r="G77" s="77">
        <f t="shared" si="78"/>
        <v>4.712112360433196E-2</v>
      </c>
      <c r="H77" s="109">
        <f t="shared" si="79"/>
        <v>1.3672710551693492</v>
      </c>
      <c r="I77" s="109">
        <f t="shared" si="80"/>
        <v>-0.10003546072086233</v>
      </c>
      <c r="J77" s="77">
        <f t="shared" si="81"/>
        <v>-0.98530476735781258</v>
      </c>
      <c r="K77" s="77">
        <f t="shared" si="82"/>
        <v>2.584257345376419</v>
      </c>
      <c r="L77" s="91">
        <f t="shared" si="83"/>
        <v>2.7657207942433395</v>
      </c>
      <c r="M77" s="28"/>
      <c r="N77" s="28"/>
      <c r="O77" s="28"/>
      <c r="P77" s="31"/>
      <c r="Q77" s="18"/>
      <c r="AF77" s="7"/>
      <c r="AG77" s="7"/>
      <c r="AH77" s="7"/>
      <c r="AI77" s="7"/>
      <c r="AJ77" s="7"/>
      <c r="AK77" s="7"/>
      <c r="AL77" s="7"/>
      <c r="AM77" s="7"/>
      <c r="AN77" s="7"/>
      <c r="AR77" s="28"/>
      <c r="AS77" s="7"/>
      <c r="AT77" s="83"/>
      <c r="AU77" s="83"/>
      <c r="AV77" s="83"/>
      <c r="AW77" s="83"/>
      <c r="AX77" s="83"/>
      <c r="AY77" s="83"/>
      <c r="AZ77" s="7"/>
    </row>
    <row r="78" spans="1:52">
      <c r="A78" s="20">
        <f>A77-$F$60</f>
        <v>2.7564684262192611</v>
      </c>
      <c r="B78" s="26">
        <f t="shared" si="73"/>
        <v>-0.92675177079788684</v>
      </c>
      <c r="C78" s="26">
        <f t="shared" si="74"/>
        <v>-0.75249279074331377</v>
      </c>
      <c r="D78" s="26">
        <f t="shared" si="75"/>
        <v>1.3296164236485279</v>
      </c>
      <c r="E78" s="26">
        <f t="shared" si="76"/>
        <v>0.37567426758161249</v>
      </c>
      <c r="F78" s="77">
        <f t="shared" si="77"/>
        <v>0.861069612004153</v>
      </c>
      <c r="G78" s="77">
        <f t="shared" si="78"/>
        <v>8.8921967279862499E-2</v>
      </c>
      <c r="H78" s="109">
        <f t="shared" si="79"/>
        <v>1.3262863198996224</v>
      </c>
      <c r="I78" s="109">
        <f t="shared" si="80"/>
        <v>4.2751743889698768E-3</v>
      </c>
      <c r="J78" s="77">
        <f t="shared" si="81"/>
        <v>-0.97556159183079183</v>
      </c>
      <c r="K78" s="77">
        <f t="shared" si="82"/>
        <v>2.4066152802312488</v>
      </c>
      <c r="L78" s="91">
        <f t="shared" si="83"/>
        <v>2.5968283590753471</v>
      </c>
      <c r="M78" s="45"/>
      <c r="N78" s="28"/>
      <c r="O78" s="28"/>
      <c r="P78" s="31"/>
      <c r="Q78" s="18"/>
      <c r="AF78" s="7"/>
      <c r="AG78" s="7"/>
      <c r="AH78" s="7"/>
      <c r="AI78" s="7"/>
      <c r="AJ78" s="7"/>
      <c r="AK78" s="7"/>
      <c r="AL78" s="7"/>
      <c r="AM78" s="7"/>
      <c r="AN78" s="7"/>
      <c r="AR78" s="28"/>
      <c r="AS78" s="7"/>
      <c r="AT78" s="83"/>
      <c r="AU78" s="83"/>
      <c r="AV78" s="83"/>
      <c r="AW78" s="83"/>
      <c r="AX78" s="83"/>
      <c r="AY78" s="83"/>
      <c r="AZ78" s="7"/>
    </row>
    <row r="79" spans="1:52">
      <c r="A79" s="20">
        <f>A78-$F$60</f>
        <v>2.7356021712392442</v>
      </c>
      <c r="B79" s="26">
        <f t="shared" si="73"/>
        <v>-0.91871167775655871</v>
      </c>
      <c r="C79" s="26">
        <f t="shared" si="74"/>
        <v>-0.74445269770198563</v>
      </c>
      <c r="D79" s="26">
        <f t="shared" si="75"/>
        <v>1.3171255761565861</v>
      </c>
      <c r="E79" s="26">
        <f t="shared" si="76"/>
        <v>0.39492892164759091</v>
      </c>
      <c r="F79" s="77">
        <f t="shared" si="77"/>
        <v>0.80272418593643946</v>
      </c>
      <c r="G79" s="77">
        <f t="shared" si="78"/>
        <v>0.12626577767703745</v>
      </c>
      <c r="H79" s="109">
        <f t="shared" si="79"/>
        <v>1.2900248304586448</v>
      </c>
      <c r="I79" s="109">
        <f t="shared" si="80"/>
        <v>9.1186998926789109E-2</v>
      </c>
      <c r="J79" s="77">
        <f t="shared" si="81"/>
        <v>-0.96639685014603105</v>
      </c>
      <c r="K79" s="77">
        <f t="shared" si="82"/>
        <v>2.248100918697884</v>
      </c>
      <c r="L79" s="91">
        <f t="shared" si="83"/>
        <v>2.4470146326947946</v>
      </c>
      <c r="M79" s="45"/>
      <c r="N79" s="28"/>
      <c r="O79" s="28"/>
      <c r="P79" s="31"/>
      <c r="Q79" s="18"/>
      <c r="AF79" s="7"/>
      <c r="AG79" s="7"/>
      <c r="AH79" s="7"/>
      <c r="AI79" s="7"/>
      <c r="AJ79" s="7"/>
      <c r="AK79" s="7"/>
      <c r="AL79" s="7"/>
      <c r="AM79" s="7"/>
      <c r="AN79" s="7"/>
      <c r="AR79" s="28"/>
      <c r="AS79" s="7"/>
      <c r="AT79" s="83"/>
      <c r="AU79" s="83"/>
      <c r="AV79" s="83"/>
      <c r="AW79" s="83"/>
      <c r="AX79" s="83"/>
      <c r="AY79" s="83"/>
      <c r="AZ79" s="7"/>
    </row>
    <row r="80" spans="1:52">
      <c r="A80" s="20">
        <f>A79-$F$60</f>
        <v>2.7147359162592273</v>
      </c>
      <c r="B80" s="26">
        <f t="shared" si="73"/>
        <v>-0.91027159161578342</v>
      </c>
      <c r="C80" s="26">
        <f t="shared" si="74"/>
        <v>-0.73601261156121034</v>
      </c>
      <c r="D80" s="26">
        <f t="shared" si="75"/>
        <v>1.3053361106555208</v>
      </c>
      <c r="E80" s="26">
        <f t="shared" si="76"/>
        <v>0.41401162966427457</v>
      </c>
      <c r="F80" s="77">
        <f t="shared" si="77"/>
        <v>0.75026737967140178</v>
      </c>
      <c r="G80" s="77">
        <f t="shared" si="78"/>
        <v>0.15984059509167825</v>
      </c>
      <c r="H80" s="109">
        <f t="shared" si="79"/>
        <v>1.2577223038311245</v>
      </c>
      <c r="I80" s="109">
        <f t="shared" si="80"/>
        <v>0.16427655716051826</v>
      </c>
      <c r="J80" s="77">
        <f t="shared" si="81"/>
        <v>-0.95774672404463013</v>
      </c>
      <c r="K80" s="77">
        <f t="shared" si="82"/>
        <v>2.1057612211711674</v>
      </c>
      <c r="L80" s="91">
        <f t="shared" si="83"/>
        <v>2.3133329003856118</v>
      </c>
      <c r="M80" s="45"/>
      <c r="N80" s="28"/>
      <c r="O80" s="28"/>
      <c r="P80" s="89"/>
      <c r="Q80" s="18"/>
      <c r="AF80" s="7"/>
      <c r="AG80" s="7"/>
      <c r="AH80" s="7"/>
      <c r="AI80" s="7"/>
      <c r="AJ80" s="7"/>
      <c r="AK80" s="7"/>
      <c r="AL80" s="7"/>
      <c r="AM80" s="7"/>
      <c r="AN80" s="7"/>
      <c r="AR80" s="28"/>
      <c r="AS80" s="7"/>
      <c r="AT80" s="83"/>
      <c r="AU80" s="83"/>
      <c r="AV80" s="83"/>
      <c r="AW80" s="83"/>
      <c r="AX80" s="83"/>
      <c r="AY80" s="83"/>
      <c r="AZ80" s="7"/>
    </row>
    <row r="81" spans="1:52">
      <c r="A81" s="20">
        <f>A80-$F$60</f>
        <v>2.6938696612792103</v>
      </c>
      <c r="B81" s="26">
        <f t="shared" si="73"/>
        <v>-0.90143518706077153</v>
      </c>
      <c r="C81" s="26">
        <f t="shared" si="74"/>
        <v>-0.72717620700619845</v>
      </c>
      <c r="D81" s="26">
        <f t="shared" si="75"/>
        <v>1.2941741728345706</v>
      </c>
      <c r="E81" s="26">
        <f t="shared" si="76"/>
        <v>0.43291408331066333</v>
      </c>
      <c r="F81" s="77">
        <f t="shared" si="77"/>
        <v>0.70283223426856689</v>
      </c>
      <c r="G81" s="77">
        <f t="shared" si="78"/>
        <v>0.19020131392557721</v>
      </c>
      <c r="H81" s="109">
        <f t="shared" si="79"/>
        <v>1.2287678223433154</v>
      </c>
      <c r="I81" s="109">
        <f t="shared" si="80"/>
        <v>0.22625716770363591</v>
      </c>
      <c r="J81" s="77">
        <f t="shared" si="81"/>
        <v>-0.94955702539556974</v>
      </c>
      <c r="K81" s="77">
        <f t="shared" si="82"/>
        <v>1.9772147587956319</v>
      </c>
      <c r="L81" s="91">
        <f t="shared" si="83"/>
        <v>2.1934075651545819</v>
      </c>
      <c r="M81" s="45"/>
      <c r="N81" s="28"/>
      <c r="O81" s="28"/>
      <c r="P81" s="28"/>
      <c r="Q81" s="18"/>
      <c r="AF81" s="7"/>
      <c r="AG81" s="7"/>
      <c r="AH81" s="7"/>
      <c r="AI81" s="7"/>
      <c r="AJ81" s="7"/>
      <c r="AK81" s="7"/>
      <c r="AL81" s="7"/>
      <c r="AM81" s="7"/>
      <c r="AN81" s="7"/>
      <c r="AR81" s="28"/>
      <c r="AS81" s="7"/>
      <c r="AT81" s="83"/>
      <c r="AU81" s="83"/>
      <c r="AV81" s="83"/>
      <c r="AW81" s="83"/>
      <c r="AX81" s="83"/>
      <c r="AY81" s="83"/>
      <c r="AZ81" s="7"/>
    </row>
    <row r="82" spans="1:5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AF82" s="7"/>
      <c r="AG82" s="7"/>
      <c r="AH82" s="7"/>
      <c r="AI82" s="7"/>
      <c r="AJ82" s="7"/>
      <c r="AK82" s="7"/>
      <c r="AL82" s="7"/>
      <c r="AM82" s="7"/>
      <c r="AN82" s="7"/>
      <c r="AR82" s="28"/>
      <c r="AS82" s="7"/>
      <c r="AT82" s="83"/>
      <c r="AU82" s="83"/>
      <c r="AV82" s="83"/>
      <c r="AW82" s="83"/>
      <c r="AX82" s="83"/>
      <c r="AY82" s="83"/>
      <c r="AZ82" s="7"/>
    </row>
    <row r="83" spans="1:52">
      <c r="A83" s="88" t="s">
        <v>73</v>
      </c>
      <c r="B83" s="88"/>
      <c r="C83" s="23" t="str">
        <f>CONCATENATE("m",Stufengrün!R49)</f>
        <v>m1</v>
      </c>
      <c r="D83" s="23" t="s">
        <v>30</v>
      </c>
      <c r="E83" s="28"/>
      <c r="F83" s="28"/>
      <c r="G83" s="28"/>
      <c r="H83" s="36" t="s">
        <v>57</v>
      </c>
      <c r="I83" s="36" t="s">
        <v>51</v>
      </c>
      <c r="J83" s="36" t="s">
        <v>58</v>
      </c>
      <c r="K83" s="36" t="s">
        <v>59</v>
      </c>
      <c r="L83" s="28"/>
      <c r="M83" s="28"/>
      <c r="N83" s="28"/>
      <c r="O83" s="28"/>
      <c r="P83" s="28"/>
      <c r="AF83" s="7"/>
      <c r="AG83" s="7"/>
      <c r="AH83" s="7"/>
      <c r="AI83" s="7"/>
      <c r="AJ83" s="7"/>
      <c r="AK83" s="7"/>
      <c r="AL83" s="7"/>
      <c r="AM83" s="7"/>
      <c r="AN83" s="7"/>
      <c r="AR83" s="28"/>
      <c r="AS83" s="7"/>
      <c r="AT83" s="83"/>
      <c r="AU83" s="83"/>
      <c r="AV83" s="83"/>
      <c r="AW83" s="83"/>
      <c r="AX83" s="83"/>
      <c r="AY83" s="83"/>
      <c r="AZ83" s="7"/>
    </row>
    <row r="84" spans="1:52">
      <c r="A84" s="88" t="s">
        <v>69</v>
      </c>
      <c r="B84" s="88"/>
      <c r="C84" s="36">
        <f>Stufengrün!S49</f>
        <v>0.14505155745746634</v>
      </c>
      <c r="D84" s="26">
        <f>Stufengrün!U49</f>
        <v>0.77679246641748789</v>
      </c>
      <c r="E84" s="28"/>
      <c r="F84" s="28"/>
      <c r="G84" s="28"/>
      <c r="H84" s="78">
        <f>H73</f>
        <v>1.2286362868335408</v>
      </c>
      <c r="I84" s="78">
        <f>I73</f>
        <v>0.2265310223850226</v>
      </c>
      <c r="J84" s="78">
        <f>J73</f>
        <v>-0.94951880804693456</v>
      </c>
      <c r="K84" s="78">
        <f>K73</f>
        <v>1.9766286454280151</v>
      </c>
      <c r="L84" s="28"/>
      <c r="M84" s="28"/>
      <c r="N84" s="28"/>
      <c r="O84" s="28"/>
      <c r="P84" s="28"/>
      <c r="AF84" s="7"/>
      <c r="AG84" s="7"/>
      <c r="AH84" s="7"/>
      <c r="AI84" s="7"/>
      <c r="AJ84" s="7"/>
      <c r="AK84" s="7"/>
      <c r="AL84" s="7"/>
      <c r="AM84" s="7"/>
      <c r="AN84" s="7"/>
      <c r="AR84" s="28"/>
      <c r="AS84" s="7"/>
      <c r="AT84" s="83"/>
      <c r="AU84" s="83"/>
      <c r="AV84" s="83"/>
      <c r="AW84" s="83"/>
      <c r="AX84" s="83"/>
      <c r="AY84" s="83"/>
      <c r="AZ84" s="7"/>
    </row>
    <row r="85" spans="1:52">
      <c r="A85" s="95"/>
      <c r="B85" s="95"/>
      <c r="C85" s="28"/>
      <c r="D85" s="28"/>
      <c r="E85" s="28"/>
      <c r="F85" s="28"/>
      <c r="G85" s="28"/>
      <c r="H85" s="37" t="s">
        <v>8</v>
      </c>
      <c r="I85" s="37" t="s">
        <v>8</v>
      </c>
      <c r="J85" s="37" t="s">
        <v>9</v>
      </c>
      <c r="K85" s="37" t="s">
        <v>9</v>
      </c>
      <c r="L85" s="28"/>
      <c r="M85" s="28"/>
      <c r="N85" s="28"/>
      <c r="O85" s="28"/>
      <c r="P85" s="28"/>
      <c r="AF85" s="7"/>
      <c r="AG85" s="7"/>
      <c r="AH85" s="7"/>
      <c r="AI85" s="7"/>
      <c r="AJ85" s="7"/>
      <c r="AK85" s="7"/>
      <c r="AL85" s="7"/>
      <c r="AM85" s="7"/>
      <c r="AN85" s="7"/>
      <c r="AR85" s="28"/>
      <c r="AS85" s="7"/>
      <c r="AT85" s="83"/>
      <c r="AU85" s="83"/>
      <c r="AV85" s="83"/>
      <c r="AW85" s="83"/>
      <c r="AX85" s="83"/>
      <c r="AY85" s="83"/>
      <c r="AZ85" s="7"/>
    </row>
    <row r="86" spans="1:52">
      <c r="A86" s="88" t="s">
        <v>68</v>
      </c>
      <c r="B86" s="88"/>
      <c r="C86" s="105" t="s">
        <v>15</v>
      </c>
      <c r="D86" s="105" t="s">
        <v>55</v>
      </c>
      <c r="E86" s="105" t="s">
        <v>12</v>
      </c>
      <c r="F86" s="105" t="s">
        <v>10</v>
      </c>
      <c r="G86" s="105" t="s">
        <v>14</v>
      </c>
      <c r="H86" s="105" t="s">
        <v>21</v>
      </c>
      <c r="I86" s="105" t="s">
        <v>16</v>
      </c>
      <c r="J86" s="105" t="s">
        <v>17</v>
      </c>
      <c r="K86" s="105" t="s">
        <v>23</v>
      </c>
      <c r="L86" s="28"/>
      <c r="M86" s="28"/>
      <c r="N86" s="28"/>
      <c r="O86" s="28"/>
      <c r="P86" s="28"/>
      <c r="AF86" s="7"/>
      <c r="AG86" s="7"/>
      <c r="AH86" s="7"/>
      <c r="AI86" s="7"/>
      <c r="AJ86" s="7"/>
      <c r="AK86" s="7"/>
      <c r="AL86" s="7"/>
      <c r="AM86" s="7"/>
      <c r="AN86" s="7"/>
      <c r="AR86" s="28"/>
      <c r="AS86" s="7"/>
      <c r="AT86" s="83"/>
      <c r="AU86" s="83"/>
      <c r="AV86" s="83"/>
      <c r="AW86" s="83"/>
      <c r="AX86" s="83"/>
      <c r="AY86" s="83"/>
      <c r="AZ86" s="7"/>
    </row>
    <row r="87" spans="1:52">
      <c r="A87" s="28"/>
      <c r="B87" s="28"/>
      <c r="C87" s="23">
        <f>Mü/TAN($C84)</f>
        <v>0.47919773462141801</v>
      </c>
      <c r="D87" s="42">
        <f>SQRT($J84*$J84+$K84*$K84)</f>
        <v>2.1928626880772679</v>
      </c>
      <c r="E87" s="20">
        <f>ATAN($J84/$K84)+PI()</f>
        <v>2.6937696612792106</v>
      </c>
      <c r="F87" s="23">
        <f>($E87-A100-0.0001)/5</f>
        <v>2.504144443721663E-2</v>
      </c>
      <c r="G87" s="23">
        <f>COS($E87)</f>
        <v>-0.90139189114533669</v>
      </c>
      <c r="H87" s="23">
        <f>SIN($E87)</f>
        <v>0.43300422466464855</v>
      </c>
      <c r="I87" s="23">
        <f>$C87+$G87</f>
        <v>-0.42219415652391867</v>
      </c>
      <c r="J87" s="23">
        <f>POWER(TAN($E87/2),$C87)</f>
        <v>2.0319950354232978</v>
      </c>
      <c r="K87" s="23">
        <f>-$D87*$D87*SIN($E87)*SIN($E87)/(2*9.81*SIN($C84)*POWER(TAN($E87/2),2*$C87))</f>
        <v>-7.6995341764945741E-2</v>
      </c>
      <c r="L87" s="28"/>
      <c r="M87" s="28"/>
      <c r="N87" s="28"/>
      <c r="O87" s="28"/>
      <c r="P87" s="28"/>
      <c r="AF87" s="7"/>
      <c r="AG87" s="7"/>
      <c r="AH87" s="7"/>
      <c r="AI87" s="7"/>
      <c r="AJ87" s="7"/>
      <c r="AK87" s="7"/>
      <c r="AL87" s="7"/>
      <c r="AM87" s="7"/>
      <c r="AN87" s="7"/>
      <c r="AR87" s="28"/>
      <c r="AS87" s="7"/>
      <c r="AT87" s="83"/>
      <c r="AU87" s="83"/>
      <c r="AV87" s="83"/>
      <c r="AW87" s="83"/>
      <c r="AX87" s="83"/>
      <c r="AY87" s="83"/>
      <c r="AZ87" s="7"/>
    </row>
    <row r="88" spans="1:52">
      <c r="A88" s="88" t="s">
        <v>70</v>
      </c>
      <c r="B88" s="8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45"/>
      <c r="N88" s="28"/>
      <c r="O88" s="28"/>
      <c r="P88" s="28"/>
      <c r="AF88" s="7"/>
      <c r="AG88" s="7"/>
      <c r="AH88" s="7"/>
      <c r="AI88" s="7"/>
      <c r="AJ88" s="7"/>
      <c r="AK88" s="7"/>
      <c r="AL88" s="7"/>
      <c r="AM88" s="7"/>
      <c r="AN88" s="7"/>
      <c r="AR88" s="28"/>
      <c r="AS88" s="7"/>
      <c r="AT88" s="83"/>
      <c r="AU88" s="83"/>
      <c r="AV88" s="83"/>
      <c r="AW88" s="83"/>
      <c r="AX88" s="83"/>
      <c r="AY88" s="83"/>
      <c r="AZ88" s="7"/>
    </row>
    <row r="89" spans="1:52">
      <c r="A89" s="105" t="s">
        <v>11</v>
      </c>
      <c r="B89" s="105" t="s">
        <v>13</v>
      </c>
      <c r="C89" s="105" t="s">
        <v>22</v>
      </c>
      <c r="D89" s="105" t="s">
        <v>18</v>
      </c>
      <c r="E89" s="105" t="s">
        <v>19</v>
      </c>
      <c r="F89" s="105" t="s">
        <v>20</v>
      </c>
      <c r="G89" s="105" t="s">
        <v>2</v>
      </c>
      <c r="H89" s="105" t="s">
        <v>65</v>
      </c>
      <c r="I89" s="105" t="s">
        <v>66</v>
      </c>
      <c r="J89" s="106" t="s">
        <v>3</v>
      </c>
      <c r="K89" s="106" t="s">
        <v>4</v>
      </c>
      <c r="L89" s="107" t="s">
        <v>7</v>
      </c>
      <c r="M89" s="93"/>
      <c r="N89" s="105" t="s">
        <v>61</v>
      </c>
      <c r="O89" s="105" t="s">
        <v>62</v>
      </c>
      <c r="P89" s="105" t="s">
        <v>63</v>
      </c>
      <c r="AF89" s="7"/>
      <c r="AG89" s="7"/>
      <c r="AH89" s="7"/>
      <c r="AI89" s="7"/>
      <c r="AJ89" s="7"/>
      <c r="AK89" s="7"/>
      <c r="AL89" s="7"/>
      <c r="AM89" s="7"/>
      <c r="AN89" s="7"/>
      <c r="AR89" s="28"/>
      <c r="AS89" s="7"/>
      <c r="AT89" s="83"/>
      <c r="AU89" s="83"/>
      <c r="AV89" s="83"/>
      <c r="AW89" s="83"/>
      <c r="AX89" s="83"/>
      <c r="AY89" s="83"/>
      <c r="AZ89" s="7"/>
    </row>
    <row r="90" spans="1:52">
      <c r="A90" s="19">
        <f>$E87</f>
        <v>2.6937696612792106</v>
      </c>
      <c r="B90" s="26">
        <f>COS(A90)</f>
        <v>-0.90139189114533669</v>
      </c>
      <c r="C90" s="26">
        <f>($C$87+B90)</f>
        <v>-0.42219415652391867</v>
      </c>
      <c r="D90" s="26">
        <f>POWER(TAN(A90/2),$C$87)</f>
        <v>2.0319950354232978</v>
      </c>
      <c r="E90" s="26">
        <f>SIN(A90)</f>
        <v>0.43300422466464855</v>
      </c>
      <c r="F90" s="77">
        <f>(C90*$H$87*D90/E90/$I$87/$J$87)</f>
        <v>1</v>
      </c>
      <c r="G90" s="77">
        <f>$D$87*($C$87+$G$87)/9.81/SIN($C$84)/(1-$C$87*$C$84)*(F90-1)</f>
        <v>0</v>
      </c>
      <c r="H90" s="75">
        <f>-(-$H$84+$K$87*((POWER(TAN(A90/2),2*$C$87-1)/(2*$C$87-1))+(POWER(TAN(A90/2),2*$C$87+1)/(2*$C$87+1))-(POWER(TAN($E$87/2),2*$C$87-1)/(2*$C$87-1))-(POWER(TAN($E$87/2),2*$C$87+1)/(2*$C$87+1))))</f>
        <v>1.2286362868335408</v>
      </c>
      <c r="I90" s="75">
        <f>-(-$I$84+0.5*$K$87*((POWER(TAN(A90/2),2*$C$87-2)/(2*$C$87-2))-(POWER(TAN(A90/2),2*$C$87+2)/(2*$C$87+2))-(POWER(TAN($E$87/2),2*$C$87-2)/(2*$C$87-2))+(POWER(TAN($E$87/2),2*$C$87+2)/(2*$C$87+2))))</f>
        <v>0.2265310223850226</v>
      </c>
      <c r="J90" s="77">
        <f>-$D$87*SIN(A90)*($C$87+$G$87)/($C$87+B90)*F90</f>
        <v>-0.94951880804693445</v>
      </c>
      <c r="K90" s="77">
        <f>-$D$87*COS(A90)*($C$87+$G$87)/($C$87+B90)*F90</f>
        <v>1.9766286454280151</v>
      </c>
      <c r="L90" s="91">
        <f>SQRT(J90*J90+K90*K90)</f>
        <v>2.1928626880772679</v>
      </c>
      <c r="M90" s="93"/>
      <c r="N90" s="75">
        <f>-(-$I$84+0.5*$K$87*((POWER(TAN(A90/2),2*$C$87-2)/(2*$C$87-2))-(POWER(TAN(A90/2),2*$C$87+2)/(2*$C$87+2))-(POWER(TAN($E$87/2),2*$C$87-2)/(2*$C$87-2))+(POWER(TAN($E$87/2),2*$C$87+2)/(2*$C$87+2))))-$D$84</f>
        <v>-0.55026144403246535</v>
      </c>
      <c r="O90" s="75">
        <f>-(-$I$84+0.5*$K$87*((POWER(TAN((A90+$M$9)/2),2*$C$87-2)/(2*$C$87-2))-(POWER(TAN((A90+$M$9)/2),2*$C$87+2)/(2*$C$87+2))-(POWER(TAN($E$87/2),2*$C$87-2)/(2*$C$87-2))+(POWER(TAN($E$87/2),2*$C$87+2)/(2*$C$87+2))))-$D$84</f>
        <v>-0.57172724805113928</v>
      </c>
      <c r="P90" s="75">
        <f>A90-N90/(O90-N90)*$M$9</f>
        <v>2.6168666796503222</v>
      </c>
      <c r="AF90" s="7"/>
      <c r="AG90" s="7"/>
      <c r="AH90" s="7"/>
      <c r="AI90" s="7"/>
      <c r="AJ90" s="7"/>
      <c r="AK90" s="7"/>
      <c r="AL90" s="7"/>
      <c r="AM90" s="7"/>
      <c r="AN90" s="7"/>
      <c r="AR90" s="28"/>
      <c r="AS90" s="7"/>
      <c r="AT90" s="83"/>
      <c r="AU90" s="83"/>
      <c r="AV90" s="83"/>
      <c r="AW90" s="83"/>
      <c r="AX90" s="83"/>
      <c r="AY90" s="83"/>
      <c r="AZ90" s="7"/>
    </row>
    <row r="91" spans="1:52">
      <c r="A91" s="19">
        <f>$P90</f>
        <v>2.6168666796503222</v>
      </c>
      <c r="B91" s="26">
        <f>COS(A91)</f>
        <v>-0.86546125455766987</v>
      </c>
      <c r="C91" s="26">
        <f>($C$87+B91)</f>
        <v>-0.38626351993625185</v>
      </c>
      <c r="D91" s="26">
        <f>POWER(TAN(A91/2),$C$87)</f>
        <v>1.8776180746778632</v>
      </c>
      <c r="E91" s="26">
        <f>SIN(A91)</f>
        <v>0.50097586454784837</v>
      </c>
      <c r="F91" s="77">
        <f>(C91*$H$87*D91/E91/$I$87/$J$87)</f>
        <v>0.73068706735724687</v>
      </c>
      <c r="G91" s="77">
        <f>$D$87*($C$87+$G$87)/9.81/SIN($C$84)/(1-$C$87*$C$84)*(F91-1)</f>
        <v>0.18897353465754732</v>
      </c>
      <c r="H91" s="75">
        <f>-(-$H$84+$K$87*((POWER(TAN(A91/2),2*$C$87-1)/(2*$C$87-1))+(POWER(TAN(A91/2),2*$C$87+1)/(2*$C$87+1))-(POWER(TAN($E$87/2),2*$C$87-1)/(2*$C$87-1))-(POWER(TAN($E$87/2),2*$C$87+1)/(2*$C$87+1))))</f>
        <v>1.0199396484333016</v>
      </c>
      <c r="I91" s="75">
        <f>-(-$I$84+0.5*$K$87*((POWER(TAN(A91/2),2*$C$87-2)/(2*$C$87-2))-(POWER(TAN(A91/2),2*$C$87+2)/(2*$C$87+2))-(POWER(TAN($E$87/2),2*$C$87-2)/(2*$C$87-2))+(POWER(TAN($E$87/2),2*$C$87+2)/(2*$C$87+2))))</f>
        <v>0.62499324579411364</v>
      </c>
      <c r="J91" s="77">
        <f>-$D$87*SIN(A91)*($C$87+$G$87)/($C$87+B91)*F91</f>
        <v>-0.87738092128955958</v>
      </c>
      <c r="K91" s="77">
        <f>-$D$87*COS(A91)*($C$87+$G$87)/($C$87+B91)*F91</f>
        <v>1.5157201106874914</v>
      </c>
      <c r="L91" s="91">
        <f>SQRT(J91*J91+K91*K91)</f>
        <v>1.7513436941347114</v>
      </c>
      <c r="M91" s="93"/>
      <c r="N91" s="75">
        <f>-(-$I$84+0.5*$K$87*((POWER(TAN(A91/2),2*$C$87-2)/(2*$C$87-2))-(POWER(TAN(A91/2),2*$C$87+2)/(2*$C$87+2))-(POWER(TAN($E$87/2),2*$C$87-2)/(2*$C$87-2))+(POWER(TAN($E$87/2),2*$C$87+2)/(2*$C$87+2))))-$D$84</f>
        <v>-0.15179922062337425</v>
      </c>
      <c r="O91" s="75">
        <f t="shared" ref="O91:O100" si="84">-(-$I$84+0.5*$K$87*((POWER(TAN((A91+$M$9)/2),2*$C$87-2)/(2*$C$87-2))-(POWER(TAN((A91+$M$9)/2),2*$C$87+2)/(2*$C$87+2))-(POWER(TAN($E$87/2),2*$C$87-2)/(2*$C$87-2))+(POWER(TAN($E$87/2),2*$C$87+2)/(2*$C$87+2))))-$D$84</f>
        <v>-0.16314007330940472</v>
      </c>
      <c r="P91" s="75">
        <f t="shared" ref="P91:P100" si="85">A91-N91/(O91-N91)*$M$9</f>
        <v>2.5767111750795699</v>
      </c>
      <c r="AF91" s="7"/>
      <c r="AG91" s="7"/>
      <c r="AH91" s="7"/>
      <c r="AI91" s="7"/>
      <c r="AJ91" s="7"/>
      <c r="AK91" s="7"/>
      <c r="AL91" s="7"/>
      <c r="AM91" s="7"/>
      <c r="AN91" s="7"/>
      <c r="AR91" s="28"/>
      <c r="AS91" s="7"/>
      <c r="AT91" s="83"/>
      <c r="AU91" s="83"/>
      <c r="AV91" s="83"/>
      <c r="AW91" s="83"/>
      <c r="AX91" s="83"/>
      <c r="AY91" s="83"/>
      <c r="AZ91" s="7"/>
    </row>
    <row r="92" spans="1:52">
      <c r="A92" s="19">
        <f t="shared" ref="A92:A100" si="86">$P91</f>
        <v>2.5767111750795699</v>
      </c>
      <c r="B92" s="26">
        <f t="shared" ref="B92:B100" si="87">COS(A92)</f>
        <v>-0.84465205277125521</v>
      </c>
      <c r="C92" s="26">
        <f t="shared" ref="C92:C100" si="88">($C$87+B92)</f>
        <v>-0.3654543181498372</v>
      </c>
      <c r="D92" s="26">
        <f t="shared" ref="D92:D100" si="89">POWER(TAN(A92/2),$C$87)</f>
        <v>1.8091521181035843</v>
      </c>
      <c r="E92" s="26">
        <f t="shared" ref="E92:E100" si="90">SIN(A92)</f>
        <v>0.53531571035166214</v>
      </c>
      <c r="F92" s="77">
        <f t="shared" ref="F92:F100" si="91">(C92*$H$87*D92/E92/$I$87/$J$87)</f>
        <v>0.62338373490189292</v>
      </c>
      <c r="G92" s="77">
        <f t="shared" ref="G92:G100" si="92">$D$87*($C$87+$G$87)/9.81/SIN($C$84)/(1-$C$87*$C$84)*(F92-1)</f>
        <v>0.26426694821789976</v>
      </c>
      <c r="H92" s="75">
        <f t="shared" ref="H92:H100" si="93">-(-$H$84+$K$87*((POWER(TAN(A92/2),2*$C$87-1)/(2*$C$87-1))+(POWER(TAN(A92/2),2*$C$87+1)/(2*$C$87+1))-(POWER(TAN($E$87/2),2*$C$87-1)/(2*$C$87-1))-(POWER(TAN($E$87/2),2*$C$87+1)/(2*$C$87+1))))</f>
        <v>0.94158649813017536</v>
      </c>
      <c r="I92" s="75">
        <f t="shared" ref="I92:I100" si="94">-(-$I$84+0.5*$K$87*((POWER(TAN(A92/2),2*$C$87-2)/(2*$C$87-2))-(POWER(TAN(A92/2),2*$C$87+2)/(2*$C$87+2))-(POWER(TAN($E$87/2),2*$C$87-2)/(2*$C$87-2))+(POWER(TAN($E$87/2),2*$C$87+2)/(2*$C$87+2))))</f>
        <v>0.75456041882542868</v>
      </c>
      <c r="J92" s="77">
        <f t="shared" ref="J92:J100" si="95">-$D$87*SIN(A92)*($C$87+$G$87)/($C$87+B92)*F92</f>
        <v>-0.8453878738928372</v>
      </c>
      <c r="K92" s="77">
        <f t="shared" ref="K92:K100" si="96">-$D$87*COS(A92)*($C$87+$G$87)/($C$87+B92)*F92</f>
        <v>1.3339018251536632</v>
      </c>
      <c r="L92" s="91">
        <f t="shared" ref="L92:L100" si="97">SQRT(J92*J92+K92*K92)</f>
        <v>1.5792323250469911</v>
      </c>
      <c r="M92" s="93"/>
      <c r="N92" s="75">
        <f t="shared" ref="N92:N100" si="98">-(-$I$84+0.5*$K$87*((POWER(TAN(A92/2),2*$C$87-2)/(2*$C$87-2))-(POWER(TAN(A92/2),2*$C$87+2)/(2*$C$87+2))-(POWER(TAN($E$87/2),2*$C$87-2)/(2*$C$87-2))+(POWER(TAN($E$87/2),2*$C$87+2)/(2*$C$87+2))))-$D$84</f>
        <v>-2.2232047592059212E-2</v>
      </c>
      <c r="O92" s="75">
        <f t="shared" si="84"/>
        <v>-3.0647795399024957E-2</v>
      </c>
      <c r="P92" s="75">
        <f t="shared" si="85"/>
        <v>2.5687860156872016</v>
      </c>
      <c r="AF92" s="7"/>
      <c r="AG92" s="7"/>
      <c r="AH92" s="7"/>
      <c r="AI92" s="7"/>
      <c r="AJ92" s="7"/>
      <c r="AK92" s="7"/>
      <c r="AL92" s="7"/>
      <c r="AM92" s="7"/>
      <c r="AN92" s="7"/>
      <c r="AR92" s="28"/>
      <c r="AS92" s="7"/>
      <c r="AT92" s="83"/>
      <c r="AU92" s="83"/>
      <c r="AV92" s="83"/>
      <c r="AW92" s="83"/>
      <c r="AX92" s="83"/>
      <c r="AY92" s="83"/>
      <c r="AZ92" s="7"/>
    </row>
    <row r="93" spans="1:52">
      <c r="A93" s="19">
        <f t="shared" si="86"/>
        <v>2.5687860156872016</v>
      </c>
      <c r="B93" s="26">
        <f t="shared" si="87"/>
        <v>-0.84038310947337425</v>
      </c>
      <c r="C93" s="26">
        <f t="shared" si="88"/>
        <v>-0.36118537485195623</v>
      </c>
      <c r="D93" s="26">
        <f t="shared" si="89"/>
        <v>1.796441667587346</v>
      </c>
      <c r="E93" s="26">
        <f t="shared" si="90"/>
        <v>0.54199283142110166</v>
      </c>
      <c r="F93" s="77">
        <f t="shared" si="91"/>
        <v>0.60423657062698088</v>
      </c>
      <c r="G93" s="77">
        <f t="shared" si="92"/>
        <v>0.27770227520421481</v>
      </c>
      <c r="H93" s="75">
        <f t="shared" si="93"/>
        <v>0.92791574303275026</v>
      </c>
      <c r="I93" s="75">
        <f t="shared" si="94"/>
        <v>0.77594465696820003</v>
      </c>
      <c r="J93" s="77">
        <f t="shared" si="95"/>
        <v>-0.83944848348413781</v>
      </c>
      <c r="K93" s="77">
        <f t="shared" si="96"/>
        <v>1.3016008439510185</v>
      </c>
      <c r="L93" s="91">
        <f t="shared" si="97"/>
        <v>1.5488184249284429</v>
      </c>
      <c r="M93" s="93"/>
      <c r="N93" s="75">
        <f t="shared" si="98"/>
        <v>-8.4780944928786184E-4</v>
      </c>
      <c r="O93" s="75">
        <f t="shared" si="84"/>
        <v>-8.8012798662127079E-3</v>
      </c>
      <c r="P93" s="75">
        <f t="shared" si="85"/>
        <v>2.568466227190541</v>
      </c>
      <c r="AF93" s="7"/>
      <c r="AG93" s="7"/>
      <c r="AH93" s="7"/>
      <c r="AI93" s="7"/>
      <c r="AJ93" s="7"/>
      <c r="AK93" s="7"/>
      <c r="AL93" s="7"/>
      <c r="AM93" s="7"/>
      <c r="AN93" s="7"/>
      <c r="AR93" s="28"/>
      <c r="AS93" s="7"/>
      <c r="AT93" s="83"/>
      <c r="AU93" s="83"/>
      <c r="AV93" s="83"/>
      <c r="AW93" s="83"/>
      <c r="AX93" s="83"/>
      <c r="AY93" s="83"/>
      <c r="AZ93" s="7"/>
    </row>
    <row r="94" spans="1:52">
      <c r="A94" s="19">
        <f t="shared" si="86"/>
        <v>2.568466227190541</v>
      </c>
      <c r="B94" s="26">
        <f t="shared" si="87"/>
        <v>-0.84020974343281174</v>
      </c>
      <c r="C94" s="26">
        <f t="shared" si="88"/>
        <v>-0.36101200881139373</v>
      </c>
      <c r="D94" s="26">
        <f t="shared" si="89"/>
        <v>1.7959339430529926</v>
      </c>
      <c r="E94" s="26">
        <f t="shared" si="90"/>
        <v>0.54226154855435638</v>
      </c>
      <c r="F94" s="77">
        <f t="shared" si="91"/>
        <v>0.6034766493683057</v>
      </c>
      <c r="G94" s="77">
        <f t="shared" si="92"/>
        <v>0.27823550249821843</v>
      </c>
      <c r="H94" s="75">
        <f t="shared" si="93"/>
        <v>0.92737516496868611</v>
      </c>
      <c r="I94" s="75">
        <f t="shared" si="94"/>
        <v>0.77678255235212124</v>
      </c>
      <c r="J94" s="77">
        <f t="shared" si="95"/>
        <v>-0.83921123192285374</v>
      </c>
      <c r="K94" s="77">
        <f t="shared" si="96"/>
        <v>1.3003198470177979</v>
      </c>
      <c r="L94" s="91">
        <f t="shared" si="97"/>
        <v>1.5476133872301128</v>
      </c>
      <c r="M94" s="93"/>
      <c r="N94" s="75">
        <f t="shared" si="98"/>
        <v>-9.9140653666562883E-6</v>
      </c>
      <c r="O94" s="75">
        <f t="shared" si="84"/>
        <v>-7.9453963009861184E-3</v>
      </c>
      <c r="P94" s="75">
        <f t="shared" si="85"/>
        <v>2.568462479189447</v>
      </c>
      <c r="AF94" s="7"/>
      <c r="AG94" s="7"/>
      <c r="AH94" s="7"/>
      <c r="AI94" s="7"/>
      <c r="AJ94" s="7"/>
      <c r="AK94" s="7"/>
      <c r="AL94" s="7"/>
      <c r="AM94" s="7"/>
      <c r="AN94" s="7"/>
      <c r="AR94" s="28"/>
      <c r="AS94" s="7"/>
      <c r="AT94" s="83"/>
      <c r="AU94" s="83"/>
      <c r="AV94" s="83"/>
      <c r="AW94" s="83"/>
      <c r="AX94" s="83"/>
      <c r="AY94" s="83"/>
      <c r="AZ94" s="7"/>
    </row>
    <row r="95" spans="1:52">
      <c r="A95" s="19">
        <f t="shared" si="86"/>
        <v>2.568462479189447</v>
      </c>
      <c r="B95" s="26">
        <f t="shared" si="87"/>
        <v>-0.84020771103003311</v>
      </c>
      <c r="C95" s="26">
        <f t="shared" si="88"/>
        <v>-0.3610099764086151</v>
      </c>
      <c r="D95" s="26">
        <f t="shared" si="89"/>
        <v>1.7959279947369702</v>
      </c>
      <c r="E95" s="26">
        <f t="shared" si="90"/>
        <v>0.54226469765758523</v>
      </c>
      <c r="F95" s="77">
        <f t="shared" si="91"/>
        <v>0.60346774863932984</v>
      </c>
      <c r="G95" s="77">
        <f t="shared" si="92"/>
        <v>0.27824174802901819</v>
      </c>
      <c r="H95" s="75">
        <f t="shared" si="93"/>
        <v>0.92736883424596106</v>
      </c>
      <c r="I95" s="75">
        <f t="shared" si="94"/>
        <v>0.77679236148030384</v>
      </c>
      <c r="J95" s="77">
        <f t="shared" si="95"/>
        <v>-0.83920845236983288</v>
      </c>
      <c r="K95" s="77">
        <f t="shared" si="96"/>
        <v>1.3003048435359466</v>
      </c>
      <c r="L95" s="91">
        <f t="shared" si="97"/>
        <v>1.5475992739246205</v>
      </c>
      <c r="M95" s="93"/>
      <c r="N95" s="75">
        <f t="shared" si="98"/>
        <v>-1.0493718405335528E-7</v>
      </c>
      <c r="O95" s="75">
        <f t="shared" si="84"/>
        <v>-7.9353766439942408E-3</v>
      </c>
      <c r="P95" s="75">
        <f t="shared" si="85"/>
        <v>2.5684624395170119</v>
      </c>
      <c r="AF95" s="7"/>
      <c r="AG95" s="7"/>
      <c r="AH95" s="7"/>
      <c r="AI95" s="7"/>
      <c r="AJ95" s="7"/>
      <c r="AK95" s="7"/>
      <c r="AL95" s="7"/>
      <c r="AM95" s="7"/>
      <c r="AN95" s="7"/>
      <c r="AR95" s="28"/>
      <c r="AS95" s="7"/>
      <c r="AT95" s="83"/>
      <c r="AU95" s="83"/>
      <c r="AV95" s="83"/>
      <c r="AW95" s="83"/>
      <c r="AX95" s="83"/>
      <c r="AY95" s="83"/>
      <c r="AZ95" s="7"/>
    </row>
    <row r="96" spans="1:52">
      <c r="A96" s="19">
        <f t="shared" si="86"/>
        <v>2.5684624395170119</v>
      </c>
      <c r="B96" s="26">
        <f t="shared" si="87"/>
        <v>-0.84020768951707148</v>
      </c>
      <c r="C96" s="26">
        <f t="shared" si="88"/>
        <v>-0.36100995489565346</v>
      </c>
      <c r="D96" s="26">
        <f t="shared" si="89"/>
        <v>1.7959279317745831</v>
      </c>
      <c r="E96" s="26">
        <f t="shared" si="90"/>
        <v>0.54226473099067063</v>
      </c>
      <c r="F96" s="77">
        <f t="shared" si="91"/>
        <v>0.60346765442619577</v>
      </c>
      <c r="G96" s="77">
        <f t="shared" si="92"/>
        <v>0.27824181413720239</v>
      </c>
      <c r="H96" s="75">
        <f t="shared" si="93"/>
        <v>0.9273687672361427</v>
      </c>
      <c r="I96" s="75">
        <f t="shared" si="94"/>
        <v>0.77679246530812796</v>
      </c>
      <c r="J96" s="77">
        <f t="shared" si="95"/>
        <v>-0.83920842294851528</v>
      </c>
      <c r="K96" s="77">
        <f t="shared" si="96"/>
        <v>1.3003046847259709</v>
      </c>
      <c r="L96" s="91">
        <f t="shared" si="97"/>
        <v>1.5475991245371137</v>
      </c>
      <c r="M96" s="93"/>
      <c r="N96" s="75">
        <f t="shared" si="98"/>
        <v>-1.1093599372458129E-9</v>
      </c>
      <c r="O96" s="75">
        <f t="shared" si="84"/>
        <v>-7.9352705877686613E-3</v>
      </c>
      <c r="P96" s="75">
        <f t="shared" si="85"/>
        <v>2.5684624390976083</v>
      </c>
      <c r="AF96" s="7"/>
      <c r="AG96" s="7"/>
      <c r="AH96" s="7"/>
      <c r="AI96" s="7"/>
      <c r="AJ96" s="7"/>
      <c r="AK96" s="7"/>
      <c r="AL96" s="7"/>
      <c r="AM96" s="7"/>
      <c r="AN96" s="7"/>
      <c r="AR96" s="28"/>
      <c r="AS96" s="7"/>
      <c r="AT96" s="83"/>
      <c r="AU96" s="83"/>
      <c r="AV96" s="83"/>
      <c r="AW96" s="83"/>
      <c r="AX96" s="83"/>
      <c r="AY96" s="83"/>
      <c r="AZ96" s="7"/>
    </row>
    <row r="97" spans="1:60">
      <c r="A97" s="19">
        <f t="shared" si="86"/>
        <v>2.5684624390976083</v>
      </c>
      <c r="B97" s="26">
        <f t="shared" si="87"/>
        <v>-0.84020768928964362</v>
      </c>
      <c r="C97" s="26">
        <f t="shared" si="88"/>
        <v>-0.36100995466822561</v>
      </c>
      <c r="D97" s="26">
        <f t="shared" si="89"/>
        <v>1.7959279311089662</v>
      </c>
      <c r="E97" s="26">
        <f t="shared" si="90"/>
        <v>0.54226473134305686</v>
      </c>
      <c r="F97" s="77">
        <f t="shared" si="91"/>
        <v>0.60346765343020625</v>
      </c>
      <c r="G97" s="77">
        <f t="shared" si="92"/>
        <v>0.27824181483607585</v>
      </c>
      <c r="H97" s="75">
        <f t="shared" si="93"/>
        <v>0.92736876652773736</v>
      </c>
      <c r="I97" s="75">
        <f t="shared" si="94"/>
        <v>0.77679246640576061</v>
      </c>
      <c r="J97" s="77">
        <f t="shared" si="95"/>
        <v>-0.83920842263748319</v>
      </c>
      <c r="K97" s="77">
        <f t="shared" si="96"/>
        <v>1.3003046830470857</v>
      </c>
      <c r="L97" s="91">
        <f t="shared" si="97"/>
        <v>1.5475991229578396</v>
      </c>
      <c r="M97" s="93"/>
      <c r="N97" s="75">
        <f t="shared" si="98"/>
        <v>-1.1727285809115529E-11</v>
      </c>
      <c r="O97" s="75">
        <f t="shared" si="84"/>
        <v>-7.9352694665777435E-3</v>
      </c>
      <c r="P97" s="75">
        <f t="shared" si="85"/>
        <v>2.5684624390931745</v>
      </c>
      <c r="AF97" s="7"/>
      <c r="AG97" s="7"/>
      <c r="AH97" s="7"/>
      <c r="AI97" s="7"/>
      <c r="AJ97" s="7"/>
      <c r="AK97" s="7"/>
      <c r="AL97" s="7"/>
      <c r="AM97" s="7"/>
      <c r="AN97" s="7"/>
      <c r="AR97" s="28"/>
      <c r="AS97" s="7"/>
      <c r="AT97" s="83"/>
      <c r="AU97" s="83"/>
      <c r="AV97" s="83"/>
      <c r="AW97" s="83"/>
      <c r="AX97" s="83"/>
      <c r="AY97" s="83"/>
      <c r="AZ97" s="7"/>
    </row>
    <row r="98" spans="1:60">
      <c r="A98" s="19">
        <f t="shared" si="86"/>
        <v>2.5684624390931745</v>
      </c>
      <c r="B98" s="26">
        <f t="shared" si="87"/>
        <v>-0.84020768928723943</v>
      </c>
      <c r="C98" s="26">
        <f t="shared" si="88"/>
        <v>-0.36100995466582142</v>
      </c>
      <c r="D98" s="26">
        <f t="shared" si="89"/>
        <v>1.7959279311019296</v>
      </c>
      <c r="E98" s="26">
        <f t="shared" si="90"/>
        <v>0.5422647313467821</v>
      </c>
      <c r="F98" s="77">
        <f t="shared" si="91"/>
        <v>0.60346765341967712</v>
      </c>
      <c r="G98" s="77">
        <f t="shared" si="92"/>
        <v>0.278241814843464</v>
      </c>
      <c r="H98" s="75">
        <f t="shared" si="93"/>
        <v>0.92736876652024858</v>
      </c>
      <c r="I98" s="75">
        <f t="shared" si="94"/>
        <v>0.77679246641736444</v>
      </c>
      <c r="J98" s="77">
        <f t="shared" si="95"/>
        <v>-0.83920842263419504</v>
      </c>
      <c r="K98" s="77">
        <f t="shared" si="96"/>
        <v>1.300304683029337</v>
      </c>
      <c r="L98" s="91">
        <f t="shared" si="97"/>
        <v>1.5475991229411441</v>
      </c>
      <c r="M98" s="93"/>
      <c r="N98" s="75">
        <f t="shared" si="98"/>
        <v>-1.2345680033831741E-13</v>
      </c>
      <c r="O98" s="75">
        <f t="shared" si="84"/>
        <v>-7.9352694547250024E-3</v>
      </c>
      <c r="P98" s="75">
        <f t="shared" si="85"/>
        <v>2.5684624390931279</v>
      </c>
      <c r="AF98" s="7"/>
      <c r="AG98" s="7"/>
      <c r="AH98" s="7"/>
      <c r="AI98" s="7"/>
      <c r="AJ98" s="7"/>
      <c r="AK98" s="7"/>
      <c r="AL98" s="7"/>
      <c r="AM98" s="7"/>
      <c r="AN98" s="7"/>
      <c r="AR98" s="28"/>
      <c r="AS98" s="7"/>
      <c r="AT98" s="83"/>
      <c r="AU98" s="83"/>
      <c r="AV98" s="83"/>
      <c r="AW98" s="83"/>
      <c r="AX98" s="83"/>
      <c r="AY98" s="83"/>
      <c r="AZ98" s="7"/>
    </row>
    <row r="99" spans="1:60">
      <c r="A99" s="19">
        <f t="shared" si="86"/>
        <v>2.5684624390931279</v>
      </c>
      <c r="B99" s="26">
        <f t="shared" si="87"/>
        <v>-0.84020768928721412</v>
      </c>
      <c r="C99" s="26">
        <f t="shared" si="88"/>
        <v>-0.36100995466579611</v>
      </c>
      <c r="D99" s="26">
        <f t="shared" si="89"/>
        <v>1.7959279311018554</v>
      </c>
      <c r="E99" s="26">
        <f t="shared" si="90"/>
        <v>0.54226473134682129</v>
      </c>
      <c r="F99" s="77">
        <f t="shared" si="91"/>
        <v>0.60346765341956632</v>
      </c>
      <c r="G99" s="77">
        <f t="shared" si="92"/>
        <v>0.27824181484354171</v>
      </c>
      <c r="H99" s="75">
        <f t="shared" si="93"/>
        <v>0.92736876652016975</v>
      </c>
      <c r="I99" s="75">
        <f t="shared" si="94"/>
        <v>0.77679246641748656</v>
      </c>
      <c r="J99" s="77">
        <f t="shared" si="95"/>
        <v>-0.83920842263416051</v>
      </c>
      <c r="K99" s="77">
        <f t="shared" si="96"/>
        <v>1.3003046830291503</v>
      </c>
      <c r="L99" s="91">
        <f t="shared" si="97"/>
        <v>1.5475991229409685</v>
      </c>
      <c r="M99" s="93"/>
      <c r="N99" s="75">
        <f t="shared" si="98"/>
        <v>-1.3322676295501878E-15</v>
      </c>
      <c r="O99" s="75">
        <f t="shared" si="84"/>
        <v>-7.9352694546004354E-3</v>
      </c>
      <c r="P99" s="75">
        <f t="shared" si="85"/>
        <v>2.5684624390931274</v>
      </c>
      <c r="AF99" s="7"/>
      <c r="AG99" s="7"/>
      <c r="AH99" s="7"/>
      <c r="AI99" s="7"/>
      <c r="AJ99" s="7"/>
      <c r="AK99" s="7"/>
      <c r="AL99" s="7"/>
      <c r="AM99" s="7"/>
      <c r="AN99" s="7"/>
      <c r="AR99" s="28"/>
      <c r="AS99" s="7"/>
      <c r="AT99" s="83"/>
      <c r="AU99" s="83"/>
      <c r="AV99" s="83"/>
      <c r="AW99" s="83"/>
      <c r="AX99" s="83"/>
      <c r="AY99" s="83"/>
      <c r="AZ99" s="7"/>
    </row>
    <row r="100" spans="1:60">
      <c r="A100" s="19">
        <f t="shared" si="86"/>
        <v>2.5684624390931274</v>
      </c>
      <c r="B100" s="26">
        <f t="shared" si="87"/>
        <v>-0.8402076892872139</v>
      </c>
      <c r="C100" s="26">
        <f t="shared" si="88"/>
        <v>-0.36100995466579588</v>
      </c>
      <c r="D100" s="26">
        <f t="shared" si="89"/>
        <v>1.7959279311018548</v>
      </c>
      <c r="E100" s="26">
        <f t="shared" si="90"/>
        <v>0.54226473134682163</v>
      </c>
      <c r="F100" s="77">
        <f t="shared" si="91"/>
        <v>0.60346765341956543</v>
      </c>
      <c r="G100" s="77">
        <f t="shared" si="92"/>
        <v>0.27824181484354238</v>
      </c>
      <c r="H100" s="81">
        <f t="shared" si="93"/>
        <v>0.92736876652016931</v>
      </c>
      <c r="I100" s="81">
        <f t="shared" si="94"/>
        <v>0.77679246641748767</v>
      </c>
      <c r="J100" s="80">
        <f t="shared" si="95"/>
        <v>-0.83920842263416029</v>
      </c>
      <c r="K100" s="80">
        <f t="shared" si="96"/>
        <v>1.3003046830291491</v>
      </c>
      <c r="L100" s="91">
        <f t="shared" si="97"/>
        <v>1.5475991229409674</v>
      </c>
      <c r="M100" s="93"/>
      <c r="N100" s="75">
        <f t="shared" si="98"/>
        <v>0</v>
      </c>
      <c r="O100" s="75">
        <f t="shared" si="84"/>
        <v>-7.9352694545991032E-3</v>
      </c>
      <c r="P100" s="75">
        <f t="shared" si="85"/>
        <v>2.5684624390931274</v>
      </c>
      <c r="AF100" s="7"/>
      <c r="AG100" s="7"/>
      <c r="AH100" s="7"/>
      <c r="AI100" s="7"/>
      <c r="AJ100" s="7"/>
      <c r="AK100" s="7"/>
      <c r="AL100" s="7"/>
      <c r="AM100" s="7"/>
      <c r="AN100" s="7"/>
      <c r="AR100" s="28"/>
      <c r="AS100" s="7"/>
      <c r="AT100" s="83"/>
      <c r="AU100" s="83"/>
      <c r="AV100" s="83"/>
      <c r="AW100" s="83"/>
      <c r="AX100" s="83"/>
      <c r="AY100" s="83"/>
      <c r="AZ100" s="7"/>
    </row>
    <row r="101" spans="1:60">
      <c r="A101" s="88" t="s">
        <v>60</v>
      </c>
      <c r="B101" s="8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AF101" s="7"/>
      <c r="AG101" s="7"/>
      <c r="AH101" s="7"/>
      <c r="AI101" s="7"/>
      <c r="AJ101" s="7"/>
      <c r="AK101" s="7"/>
      <c r="AL101" s="7"/>
      <c r="AM101" s="7"/>
      <c r="AN101" s="7"/>
      <c r="AR101" s="28"/>
      <c r="AS101" s="7"/>
      <c r="AT101" s="83"/>
      <c r="AU101" s="83"/>
      <c r="AV101" s="83"/>
      <c r="AW101" s="83"/>
      <c r="AX101" s="83"/>
      <c r="AY101" s="83"/>
      <c r="AZ101" s="7"/>
    </row>
    <row r="102" spans="1:60">
      <c r="A102" s="26" t="s">
        <v>11</v>
      </c>
      <c r="B102" s="26" t="s">
        <v>13</v>
      </c>
      <c r="C102" s="26" t="s">
        <v>22</v>
      </c>
      <c r="D102" s="26" t="s">
        <v>18</v>
      </c>
      <c r="E102" s="26" t="s">
        <v>19</v>
      </c>
      <c r="F102" s="26" t="s">
        <v>20</v>
      </c>
      <c r="G102" s="26" t="s">
        <v>2</v>
      </c>
      <c r="H102" s="26" t="s">
        <v>1</v>
      </c>
      <c r="I102" s="26" t="s">
        <v>0</v>
      </c>
      <c r="J102" s="76" t="s">
        <v>3</v>
      </c>
      <c r="K102" s="76" t="s">
        <v>4</v>
      </c>
      <c r="L102" s="44" t="s">
        <v>7</v>
      </c>
      <c r="M102" s="28"/>
      <c r="N102" s="28"/>
      <c r="O102" s="28"/>
      <c r="P102" s="31"/>
      <c r="AF102" s="7"/>
      <c r="AG102" s="7"/>
      <c r="AH102" s="7"/>
      <c r="AI102" s="7"/>
      <c r="AJ102" s="7"/>
      <c r="AK102" s="7"/>
      <c r="AL102" s="7"/>
      <c r="AM102" s="7"/>
      <c r="AN102" s="7"/>
      <c r="AR102" s="28"/>
      <c r="AS102" s="7"/>
      <c r="AT102" s="83"/>
      <c r="AU102" s="83"/>
      <c r="AV102" s="83"/>
      <c r="AW102" s="83"/>
      <c r="AX102" s="83"/>
      <c r="AY102" s="83"/>
      <c r="AZ102" s="7"/>
    </row>
    <row r="103" spans="1:60">
      <c r="A103" s="19">
        <f>$E87</f>
        <v>2.6937696612792106</v>
      </c>
      <c r="B103" s="26">
        <f t="shared" ref="B103:B108" si="99">COS(A103)</f>
        <v>-0.90139189114533669</v>
      </c>
      <c r="C103" s="26">
        <f t="shared" ref="C103:C108" si="100">($C$87+B103)</f>
        <v>-0.42219415652391867</v>
      </c>
      <c r="D103" s="26">
        <f t="shared" ref="D103:D108" si="101">POWER(TAN(A103/2),$C$87)</f>
        <v>2.0319950354232978</v>
      </c>
      <c r="E103" s="26">
        <f t="shared" ref="E103:E108" si="102">SIN(A103)</f>
        <v>0.43300422466464855</v>
      </c>
      <c r="F103" s="77">
        <f t="shared" ref="F103:F108" si="103">(C103*$H$87*D103/E103/$I$87/$J$87)</f>
        <v>1</v>
      </c>
      <c r="G103" s="77">
        <f t="shared" ref="G103:G108" si="104">$D$87*($C$87+$G$87)/9.81/SIN($C$84)/(1-$C$87*$C$84)*(F103-1)</f>
        <v>0</v>
      </c>
      <c r="H103" s="99">
        <f t="shared" ref="H103:H108" si="105">-(-$H$84+$K$87*((POWER(TAN(A103/2),2*$C$87-1)/(2*$C$87-1))+(POWER(TAN(A103/2),2*$C$87+1)/(2*$C$87+1))-(POWER(TAN($E$87/2),2*$C$87-1)/(2*$C$87-1))-(POWER(TAN($E$87/2),2*$C$87+1)/(2*$C$87+1))))</f>
        <v>1.2286362868335408</v>
      </c>
      <c r="I103" s="99">
        <f t="shared" ref="I103:I108" si="106">-(-$I$84+0.5*$K$87*((POWER(TAN(A103/2),2*$C$87-2)/(2*$C$87-2))-(POWER(TAN(A103/2),2*$C$87+2)/(2*$C$87+2))-(POWER(TAN($E$87/2),2*$C$87-2)/(2*$C$87-2))+(POWER(TAN($E$87/2),2*$C$87+2)/(2*$C$87+2))))</f>
        <v>0.2265310223850226</v>
      </c>
      <c r="J103" s="77">
        <f t="shared" ref="J103:J108" si="107">-$D$87*SIN(A103)*($C$87+$G$87)/($C$87+B103)*F103</f>
        <v>-0.94951880804693445</v>
      </c>
      <c r="K103" s="77">
        <f t="shared" ref="K103:K108" si="108">-$D$87*COS(A103)*($C$87+$G$87)/($C$87+B103)*F103</f>
        <v>1.9766286454280151</v>
      </c>
      <c r="L103" s="91">
        <f t="shared" ref="L103:L108" si="109">SQRT(J103*J103+K103*K103)</f>
        <v>2.1928626880772679</v>
      </c>
      <c r="M103" s="28"/>
      <c r="N103" s="28"/>
      <c r="O103" s="28"/>
      <c r="P103" s="31"/>
      <c r="AF103" s="7"/>
      <c r="AG103" s="7"/>
      <c r="AH103" s="7"/>
      <c r="AI103" s="7"/>
      <c r="AJ103" s="7"/>
      <c r="AK103" s="7"/>
      <c r="AL103" s="7"/>
      <c r="AM103" s="7"/>
      <c r="AN103" s="7"/>
      <c r="AR103" s="28"/>
      <c r="AS103" s="7"/>
      <c r="AT103" s="83"/>
      <c r="AU103" s="83"/>
      <c r="AV103" s="83"/>
      <c r="AW103" s="83"/>
      <c r="AX103" s="83"/>
      <c r="AY103" s="83"/>
      <c r="AZ103" s="7"/>
    </row>
    <row r="104" spans="1:60">
      <c r="A104" s="20">
        <f>A103-$F$87</f>
        <v>2.6687282168419939</v>
      </c>
      <c r="B104" s="26">
        <f t="shared" si="99"/>
        <v>-0.89026736819546504</v>
      </c>
      <c r="C104" s="26">
        <f t="shared" si="100"/>
        <v>-0.41106963357404702</v>
      </c>
      <c r="D104" s="26">
        <f t="shared" si="101"/>
        <v>1.9778306867303121</v>
      </c>
      <c r="E104" s="26">
        <f t="shared" si="102"/>
        <v>0.45543826489033656</v>
      </c>
      <c r="F104" s="77">
        <f t="shared" si="103"/>
        <v>0.90101550282519238</v>
      </c>
      <c r="G104" s="77">
        <f t="shared" si="104"/>
        <v>6.9456190327986986E-2</v>
      </c>
      <c r="H104" s="99">
        <f t="shared" si="105"/>
        <v>1.1500312923427531</v>
      </c>
      <c r="I104" s="99">
        <f t="shared" si="106"/>
        <v>0.38521910303957096</v>
      </c>
      <c r="J104" s="77">
        <f t="shared" si="107"/>
        <v>-0.92420867346833879</v>
      </c>
      <c r="K104" s="77">
        <f t="shared" si="108"/>
        <v>1.8065957272830322</v>
      </c>
      <c r="L104" s="91">
        <f t="shared" si="109"/>
        <v>2.0292732181624569</v>
      </c>
      <c r="M104" s="28"/>
      <c r="N104" s="28"/>
      <c r="O104" s="28"/>
      <c r="P104" s="31"/>
      <c r="AF104" s="7"/>
      <c r="AG104" s="7"/>
      <c r="AH104" s="7"/>
      <c r="AI104" s="7"/>
      <c r="AJ104" s="7"/>
      <c r="AK104" s="7"/>
      <c r="AL104" s="7"/>
      <c r="AM104" s="7"/>
      <c r="AN104" s="7"/>
      <c r="AR104" s="28"/>
      <c r="AS104" s="7"/>
      <c r="AT104" s="83"/>
      <c r="AU104" s="83"/>
      <c r="AV104" s="83"/>
      <c r="AW104" s="83"/>
      <c r="AX104" s="83"/>
      <c r="AY104" s="83"/>
      <c r="AZ104" s="7"/>
    </row>
    <row r="105" spans="1:60">
      <c r="A105" s="20">
        <f>A104-$F$87</f>
        <v>2.6436867724047772</v>
      </c>
      <c r="B105" s="26">
        <f t="shared" si="99"/>
        <v>-0.87858461095190477</v>
      </c>
      <c r="C105" s="26">
        <f t="shared" si="100"/>
        <v>-0.39938687633048675</v>
      </c>
      <c r="D105" s="26">
        <f t="shared" si="101"/>
        <v>1.9275982159861755</v>
      </c>
      <c r="E105" s="26">
        <f t="shared" si="102"/>
        <v>0.47758672657276613</v>
      </c>
      <c r="F105" s="77">
        <f t="shared" si="103"/>
        <v>0.81360822564675761</v>
      </c>
      <c r="G105" s="77">
        <f t="shared" si="104"/>
        <v>0.13078878940191138</v>
      </c>
      <c r="H105" s="99">
        <f t="shared" si="105"/>
        <v>1.0824278807599728</v>
      </c>
      <c r="I105" s="99">
        <f t="shared" si="106"/>
        <v>0.51350906045722522</v>
      </c>
      <c r="J105" s="77">
        <f t="shared" si="107"/>
        <v>-0.90073584262242601</v>
      </c>
      <c r="K105" s="77">
        <f t="shared" si="108"/>
        <v>1.6570239619929743</v>
      </c>
      <c r="L105" s="91">
        <f t="shared" si="109"/>
        <v>1.8860152355703879</v>
      </c>
      <c r="M105" s="45"/>
      <c r="N105" s="28"/>
      <c r="O105" s="28"/>
      <c r="P105" s="31"/>
      <c r="AF105" s="7"/>
      <c r="AG105" s="7"/>
      <c r="AH105" s="7"/>
      <c r="AI105" s="7"/>
      <c r="AJ105" s="7"/>
      <c r="AK105" s="7"/>
      <c r="AL105" s="7"/>
      <c r="AM105" s="7"/>
      <c r="AN105" s="7"/>
      <c r="AR105" s="28"/>
      <c r="AS105" s="7"/>
      <c r="AT105" s="83"/>
      <c r="AU105" s="83"/>
      <c r="AV105" s="83"/>
      <c r="AW105" s="83"/>
      <c r="AX105" s="83"/>
      <c r="AY105" s="83"/>
      <c r="AZ105" s="7"/>
    </row>
    <row r="106" spans="1:60">
      <c r="A106" s="20">
        <f>A105-$F$87</f>
        <v>2.6186453279675606</v>
      </c>
      <c r="B106" s="26">
        <f t="shared" si="99"/>
        <v>-0.86635094498444698</v>
      </c>
      <c r="C106" s="26">
        <f t="shared" si="100"/>
        <v>-0.38715321036302897</v>
      </c>
      <c r="D106" s="26">
        <f t="shared" si="101"/>
        <v>1.8808201656853845</v>
      </c>
      <c r="E106" s="26">
        <f t="shared" si="102"/>
        <v>0.4994357217145724</v>
      </c>
      <c r="F106" s="77">
        <f t="shared" si="103"/>
        <v>0.73588137095510331</v>
      </c>
      <c r="G106" s="77">
        <f t="shared" si="104"/>
        <v>0.18532875643862148</v>
      </c>
      <c r="H106" s="99">
        <f t="shared" si="105"/>
        <v>1.0238054808028945</v>
      </c>
      <c r="I106" s="99">
        <f t="shared" si="106"/>
        <v>0.61830107557023029</v>
      </c>
      <c r="J106" s="77">
        <f t="shared" si="107"/>
        <v>-0.87887720724681651</v>
      </c>
      <c r="K106" s="77">
        <f t="shared" si="108"/>
        <v>1.5245527420618115</v>
      </c>
      <c r="L106" s="91">
        <f t="shared" si="109"/>
        <v>1.7597403810636818</v>
      </c>
      <c r="M106" s="45"/>
      <c r="N106" s="28"/>
      <c r="O106" s="28"/>
      <c r="P106" s="31"/>
      <c r="AF106" s="7"/>
      <c r="AG106" s="7"/>
      <c r="AH106" s="7"/>
      <c r="AI106" s="7"/>
      <c r="AJ106" s="7"/>
      <c r="AK106" s="7"/>
      <c r="AL106" s="7"/>
      <c r="AM106" s="7"/>
      <c r="AN106" s="7"/>
      <c r="AR106" s="28"/>
      <c r="AS106" s="7"/>
      <c r="AT106" s="83"/>
      <c r="AU106" s="83"/>
      <c r="AV106" s="83"/>
      <c r="AW106" s="83"/>
      <c r="AX106" s="83"/>
      <c r="AY106" s="83"/>
      <c r="AZ106" s="7"/>
    </row>
    <row r="107" spans="1:60">
      <c r="A107" s="20">
        <f>A106-$F$87</f>
        <v>2.5936038835303439</v>
      </c>
      <c r="B107" s="26">
        <f t="shared" si="99"/>
        <v>-0.85357404130533399</v>
      </c>
      <c r="C107" s="26">
        <f t="shared" si="100"/>
        <v>-0.37437630668391597</v>
      </c>
      <c r="D107" s="26">
        <f t="shared" si="101"/>
        <v>1.8370959578259649</v>
      </c>
      <c r="E107" s="26">
        <f t="shared" si="102"/>
        <v>0.52097155009624097</v>
      </c>
      <c r="F107" s="77">
        <f t="shared" si="103"/>
        <v>0.66632094152799026</v>
      </c>
      <c r="G107" s="77">
        <f t="shared" si="104"/>
        <v>0.23413844445525872</v>
      </c>
      <c r="H107" s="99">
        <f t="shared" si="105"/>
        <v>0.97258945719264367</v>
      </c>
      <c r="I107" s="99">
        <f t="shared" si="106"/>
        <v>0.70469844386253722</v>
      </c>
      <c r="J107" s="77">
        <f t="shared" si="107"/>
        <v>-0.85844558364256685</v>
      </c>
      <c r="K107" s="77">
        <f t="shared" si="108"/>
        <v>1.4065007310574618</v>
      </c>
      <c r="L107" s="91">
        <f t="shared" si="109"/>
        <v>1.6477782394911646</v>
      </c>
      <c r="M107" s="45"/>
      <c r="N107" s="28"/>
      <c r="O107" s="28"/>
      <c r="P107" s="89"/>
      <c r="AF107" s="7"/>
      <c r="AG107" s="7"/>
      <c r="AH107" s="7"/>
      <c r="AI107" s="7"/>
      <c r="AJ107" s="7"/>
      <c r="AK107" s="7"/>
      <c r="AL107" s="7"/>
      <c r="AM107" s="7"/>
      <c r="AN107" s="7"/>
      <c r="AR107" s="28"/>
      <c r="AS107" s="7"/>
      <c r="AT107" s="83"/>
      <c r="AU107" s="83"/>
      <c r="AV107" s="83"/>
      <c r="AW107" s="83"/>
      <c r="AX107" s="83"/>
      <c r="AY107" s="83"/>
      <c r="AZ107" s="7"/>
    </row>
    <row r="108" spans="1:60">
      <c r="A108" s="20">
        <f>A107-$F$87</f>
        <v>2.5685624390931272</v>
      </c>
      <c r="B108" s="26">
        <f t="shared" si="99"/>
        <v>-0.84026191155921959</v>
      </c>
      <c r="C108" s="26">
        <f t="shared" si="100"/>
        <v>-0.36106417693780157</v>
      </c>
      <c r="D108" s="26">
        <f t="shared" si="101"/>
        <v>1.7960866560308855</v>
      </c>
      <c r="E108" s="26">
        <f t="shared" si="102"/>
        <v>0.54218070786670958</v>
      </c>
      <c r="F108" s="77">
        <f t="shared" si="103"/>
        <v>0.60370517826651027</v>
      </c>
      <c r="G108" s="77">
        <f t="shared" si="104"/>
        <v>0.27807514661318411</v>
      </c>
      <c r="H108" s="99">
        <f t="shared" si="105"/>
        <v>0.92753771536217633</v>
      </c>
      <c r="I108" s="99">
        <f t="shared" si="106"/>
        <v>0.77653066127159742</v>
      </c>
      <c r="J108" s="77">
        <f t="shared" si="107"/>
        <v>-0.83928259225701507</v>
      </c>
      <c r="K108" s="77">
        <f t="shared" si="108"/>
        <v>1.3007050695017133</v>
      </c>
      <c r="L108" s="91">
        <f t="shared" si="109"/>
        <v>1.5479757580443925</v>
      </c>
      <c r="M108" s="45"/>
      <c r="N108" s="28"/>
      <c r="O108" s="28"/>
      <c r="P108" s="28"/>
      <c r="AF108" s="7"/>
      <c r="AG108" s="7"/>
      <c r="AH108" s="7"/>
      <c r="AI108" s="7"/>
      <c r="AJ108" s="7"/>
      <c r="AK108" s="7"/>
      <c r="AL108" s="7"/>
      <c r="AM108" s="7"/>
      <c r="AN108" s="7"/>
      <c r="AR108" s="28"/>
      <c r="AS108" s="7"/>
      <c r="AT108" s="83"/>
      <c r="AU108" s="83"/>
      <c r="AV108" s="83"/>
      <c r="AW108" s="83"/>
      <c r="AX108" s="83"/>
      <c r="AY108" s="83"/>
      <c r="AZ108" s="7"/>
    </row>
    <row r="109" spans="1:60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AH109" s="7"/>
      <c r="AI109" s="7"/>
      <c r="AJ109" s="7"/>
      <c r="AK109" s="7"/>
      <c r="AL109" s="7"/>
      <c r="AM109" s="7"/>
      <c r="AN109" s="7"/>
      <c r="AR109" s="28"/>
      <c r="AS109" s="7"/>
      <c r="AT109" s="83"/>
      <c r="AU109" s="83"/>
      <c r="AV109" s="83"/>
      <c r="AW109" s="83"/>
      <c r="AX109" s="83"/>
      <c r="AY109" s="83"/>
      <c r="AZ109" s="7"/>
      <c r="BA109" s="7"/>
      <c r="BB109" s="7"/>
      <c r="BC109" s="7"/>
      <c r="BD109" s="7"/>
      <c r="BE109" s="7"/>
      <c r="BF109" s="7"/>
      <c r="BG109" s="7"/>
      <c r="BH109" s="7"/>
    </row>
    <row r="110" spans="1:60">
      <c r="A110" s="88" t="s">
        <v>73</v>
      </c>
      <c r="B110" s="88"/>
      <c r="C110" s="23" t="str">
        <f>CONCATENATE("m",Stufengrün!R50)</f>
        <v>m2</v>
      </c>
      <c r="D110" s="23" t="s">
        <v>30</v>
      </c>
      <c r="E110" s="28"/>
      <c r="F110" s="28"/>
      <c r="G110" s="28"/>
      <c r="H110" s="36" t="s">
        <v>57</v>
      </c>
      <c r="I110" s="36" t="s">
        <v>51</v>
      </c>
      <c r="J110" s="36" t="s">
        <v>58</v>
      </c>
      <c r="K110" s="36" t="s">
        <v>59</v>
      </c>
      <c r="L110" s="28"/>
      <c r="M110" s="28"/>
      <c r="N110" s="28"/>
      <c r="O110" s="28"/>
      <c r="P110" s="28"/>
      <c r="AI110" s="9"/>
      <c r="AJ110" s="10"/>
      <c r="AK110" s="10"/>
      <c r="AL110" s="10"/>
      <c r="AM110" s="10"/>
      <c r="AN110" s="10"/>
      <c r="AO110" s="10"/>
      <c r="AP110" s="7"/>
      <c r="AQ110" s="7"/>
      <c r="BA110" s="7"/>
      <c r="BB110" s="7"/>
      <c r="BC110" s="7"/>
      <c r="BD110" s="7"/>
      <c r="BE110" s="7"/>
      <c r="BF110" s="7"/>
      <c r="BG110" s="7"/>
      <c r="BH110" s="7"/>
    </row>
    <row r="111" spans="1:60">
      <c r="A111" s="88" t="s">
        <v>69</v>
      </c>
      <c r="B111" s="88"/>
      <c r="C111" s="90">
        <f>Stufengrün!S50</f>
        <v>1.0323563876231049E-2</v>
      </c>
      <c r="D111" s="26"/>
      <c r="E111" s="28"/>
      <c r="F111" s="28"/>
      <c r="G111" s="28"/>
      <c r="H111" s="78">
        <f>H100</f>
        <v>0.92736876652016931</v>
      </c>
      <c r="I111" s="78">
        <f>I100</f>
        <v>0.77679246641748767</v>
      </c>
      <c r="J111" s="78">
        <f>J100</f>
        <v>-0.83920842263416029</v>
      </c>
      <c r="K111" s="78">
        <f>K100</f>
        <v>1.3003046830291491</v>
      </c>
      <c r="L111" s="28"/>
      <c r="M111" s="28"/>
      <c r="N111" s="28"/>
      <c r="O111" s="28"/>
      <c r="P111" s="28"/>
      <c r="AI111" s="9"/>
      <c r="AJ111" s="10"/>
      <c r="AK111" s="10"/>
      <c r="AL111" s="10"/>
      <c r="AM111" s="10"/>
      <c r="AN111" s="10"/>
      <c r="AO111" s="10"/>
      <c r="AP111" s="7"/>
      <c r="AQ111" s="7"/>
      <c r="BA111" s="7"/>
      <c r="BB111" s="15"/>
      <c r="BC111" s="15"/>
      <c r="BD111" s="15"/>
      <c r="BE111" s="15"/>
      <c r="BF111" s="15"/>
      <c r="BG111" s="15"/>
      <c r="BH111" s="7"/>
    </row>
    <row r="112" spans="1:60">
      <c r="A112" s="95"/>
      <c r="B112" s="95"/>
      <c r="C112" s="28"/>
      <c r="D112" s="28"/>
      <c r="E112" s="28"/>
      <c r="F112" s="28"/>
      <c r="G112" s="28"/>
      <c r="H112" s="37" t="s">
        <v>8</v>
      </c>
      <c r="I112" s="37" t="s">
        <v>8</v>
      </c>
      <c r="J112" s="37" t="s">
        <v>9</v>
      </c>
      <c r="K112" s="37" t="s">
        <v>9</v>
      </c>
      <c r="L112" s="28"/>
      <c r="M112" s="28"/>
      <c r="N112" s="28"/>
      <c r="O112" s="28"/>
      <c r="P112" s="28"/>
      <c r="AI112" s="9"/>
      <c r="AJ112" s="10"/>
      <c r="AK112" s="10"/>
      <c r="AL112" s="10"/>
      <c r="AM112" s="10"/>
      <c r="AN112" s="10"/>
      <c r="AO112" s="10"/>
      <c r="AP112" s="7"/>
      <c r="AQ112" s="7"/>
      <c r="BA112" s="7"/>
      <c r="BB112" s="16"/>
      <c r="BC112" s="16"/>
      <c r="BD112" s="16"/>
      <c r="BE112" s="16"/>
      <c r="BF112" s="16"/>
      <c r="BG112" s="16"/>
      <c r="BH112" s="7"/>
    </row>
    <row r="113" spans="1:43">
      <c r="A113" s="88" t="s">
        <v>68</v>
      </c>
      <c r="B113" s="88"/>
      <c r="C113" s="26" t="s">
        <v>15</v>
      </c>
      <c r="D113" s="26" t="s">
        <v>55</v>
      </c>
      <c r="E113" s="26" t="s">
        <v>12</v>
      </c>
      <c r="F113" s="26" t="s">
        <v>10</v>
      </c>
      <c r="G113" s="26" t="s">
        <v>14</v>
      </c>
      <c r="H113" s="26" t="s">
        <v>21</v>
      </c>
      <c r="I113" s="26" t="s">
        <v>16</v>
      </c>
      <c r="J113" s="26" t="s">
        <v>17</v>
      </c>
      <c r="K113" s="26" t="s">
        <v>23</v>
      </c>
      <c r="L113" s="28"/>
      <c r="M113" s="28"/>
      <c r="N113" s="28"/>
      <c r="O113" s="28"/>
      <c r="P113" s="28"/>
      <c r="AI113" s="9"/>
      <c r="AJ113" s="11"/>
      <c r="AK113" s="12"/>
      <c r="AL113" s="12"/>
      <c r="AM113" s="12"/>
      <c r="AN113" s="11"/>
      <c r="AO113" s="10"/>
      <c r="AP113" s="7"/>
      <c r="AQ113" s="7"/>
    </row>
    <row r="114" spans="1:43">
      <c r="A114" s="28"/>
      <c r="B114" s="28"/>
      <c r="C114" s="23">
        <f>Mü/TAN($C111)</f>
        <v>6.7803632591293521</v>
      </c>
      <c r="D114" s="42">
        <f>SQRT($J111*$J111+$K111*$K111)</f>
        <v>1.5475991229409674</v>
      </c>
      <c r="E114" s="20">
        <f>ATAN($J111/$K111)+PI()</f>
        <v>2.5684624390931274</v>
      </c>
      <c r="F114" s="23">
        <f>($E114-0.0001)/100</f>
        <v>2.5683624390931272E-2</v>
      </c>
      <c r="G114" s="23">
        <f>COS($E114)</f>
        <v>-0.8402076892872139</v>
      </c>
      <c r="H114" s="23">
        <f>SIN($E114)</f>
        <v>0.54226473134682163</v>
      </c>
      <c r="I114" s="23">
        <f>$C114+$G114</f>
        <v>5.9401555698421387</v>
      </c>
      <c r="J114" s="23">
        <f>POWER(TAN($E114/2),$C114)</f>
        <v>3963.1173626022005</v>
      </c>
      <c r="K114" s="23">
        <f>-$D114*$D114*SIN($E114)*SIN($E114)/(2*9.81*SIN($C111)*POWER(TAN($E114/2),2*$C114))</f>
        <v>-2.2138330294975676E-7</v>
      </c>
      <c r="L114" s="28"/>
      <c r="M114" s="28"/>
      <c r="N114" s="28"/>
      <c r="O114" s="28"/>
      <c r="P114" s="28"/>
      <c r="AI114" s="9"/>
      <c r="AJ114" s="11"/>
      <c r="AK114" s="12"/>
      <c r="AL114" s="12"/>
      <c r="AM114" s="12"/>
      <c r="AN114" s="11"/>
      <c r="AO114" s="10"/>
      <c r="AP114" s="7"/>
      <c r="AQ114" s="7"/>
    </row>
    <row r="115" spans="1:43">
      <c r="A115" s="88" t="s">
        <v>70</v>
      </c>
      <c r="B115" s="88"/>
      <c r="C115" s="28"/>
      <c r="D115" s="102" t="s">
        <v>75</v>
      </c>
      <c r="E115" s="102"/>
      <c r="F115" s="102"/>
      <c r="G115" s="102"/>
      <c r="H115" s="28"/>
      <c r="I115" s="28"/>
      <c r="J115" s="28"/>
      <c r="K115" s="28"/>
      <c r="L115" s="28"/>
      <c r="M115" s="45"/>
      <c r="N115" s="28"/>
      <c r="O115" s="28"/>
      <c r="P115" s="28"/>
      <c r="AI115" s="9"/>
      <c r="AJ115" s="11"/>
      <c r="AK115" s="12"/>
      <c r="AL115" s="12"/>
      <c r="AM115" s="12"/>
      <c r="AN115" s="11"/>
      <c r="AO115" s="10"/>
      <c r="AP115" s="7"/>
      <c r="AQ115" s="13"/>
    </row>
    <row r="116" spans="1:43">
      <c r="A116" s="26" t="s">
        <v>11</v>
      </c>
      <c r="B116" s="26" t="s">
        <v>13</v>
      </c>
      <c r="C116" s="26" t="s">
        <v>22</v>
      </c>
      <c r="D116" s="26" t="s">
        <v>18</v>
      </c>
      <c r="E116" s="26" t="s">
        <v>19</v>
      </c>
      <c r="F116" s="26" t="s">
        <v>20</v>
      </c>
      <c r="G116" s="26" t="s">
        <v>2</v>
      </c>
      <c r="H116" s="26" t="s">
        <v>65</v>
      </c>
      <c r="I116" s="26" t="s">
        <v>66</v>
      </c>
      <c r="J116" s="76" t="s">
        <v>3</v>
      </c>
      <c r="K116" s="76" t="s">
        <v>4</v>
      </c>
      <c r="L116" s="44" t="s">
        <v>7</v>
      </c>
      <c r="M116" s="93"/>
      <c r="N116" s="28"/>
      <c r="O116" s="28"/>
      <c r="P116" s="28"/>
      <c r="AI116" s="9"/>
      <c r="AJ116" s="11"/>
      <c r="AK116" s="12"/>
      <c r="AL116" s="12"/>
      <c r="AM116" s="12"/>
      <c r="AN116" s="11"/>
      <c r="AO116" s="10"/>
      <c r="AP116" s="7"/>
      <c r="AQ116" s="7"/>
    </row>
    <row r="117" spans="1:43">
      <c r="A117" s="88" t="s">
        <v>60</v>
      </c>
      <c r="B117" s="8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AI117" s="9"/>
      <c r="AJ117" s="11"/>
      <c r="AK117" s="12"/>
      <c r="AL117" s="12"/>
      <c r="AM117" s="12"/>
      <c r="AN117" s="11"/>
      <c r="AO117" s="10"/>
      <c r="AP117" s="7"/>
      <c r="AQ117" s="7"/>
    </row>
    <row r="118" spans="1:43">
      <c r="A118" s="26" t="s">
        <v>11</v>
      </c>
      <c r="B118" s="26" t="s">
        <v>13</v>
      </c>
      <c r="C118" s="26" t="s">
        <v>22</v>
      </c>
      <c r="D118" s="26" t="s">
        <v>18</v>
      </c>
      <c r="E118" s="26" t="s">
        <v>19</v>
      </c>
      <c r="F118" s="26" t="s">
        <v>20</v>
      </c>
      <c r="G118" s="26" t="s">
        <v>2</v>
      </c>
      <c r="H118" s="26" t="s">
        <v>1</v>
      </c>
      <c r="I118" s="26" t="s">
        <v>0</v>
      </c>
      <c r="J118" s="76" t="s">
        <v>3</v>
      </c>
      <c r="K118" s="76" t="s">
        <v>4</v>
      </c>
      <c r="L118" s="44" t="s">
        <v>7</v>
      </c>
      <c r="M118" s="28"/>
      <c r="N118" s="28"/>
      <c r="O118" s="28"/>
      <c r="P118" s="28"/>
      <c r="AI118" s="9"/>
      <c r="AJ118" s="10"/>
      <c r="AK118" s="10"/>
      <c r="AL118" s="10"/>
      <c r="AM118" s="10"/>
      <c r="AN118" s="10"/>
      <c r="AO118" s="10"/>
      <c r="AP118" s="7"/>
      <c r="AQ118" s="7"/>
    </row>
    <row r="119" spans="1:43">
      <c r="A119" s="19">
        <f>$E114</f>
        <v>2.5684624390931274</v>
      </c>
      <c r="B119" s="26">
        <f>COS(A119)</f>
        <v>-0.8402076892872139</v>
      </c>
      <c r="C119" s="26">
        <f>($C$114+B119)</f>
        <v>5.9401555698421387</v>
      </c>
      <c r="D119" s="26">
        <f>POWER(TAN(A119/2),$C$114)</f>
        <v>3963.1173626022005</v>
      </c>
      <c r="E119" s="26">
        <f>SIN(A119)</f>
        <v>0.54226473134682163</v>
      </c>
      <c r="F119" s="77">
        <f>(C119*$H$114*D119/E119/$I$114/$J$114)</f>
        <v>1</v>
      </c>
      <c r="G119" s="77">
        <f>$D$114*($C$114+$G$114)/9.81/SIN($C$111)/(1-$C$114*$C$114)*(F119-1)</f>
        <v>0</v>
      </c>
      <c r="H119" s="81">
        <f>-(-$H$111+$K$114*((POWER(TAN(A119/2),2*$C$114-1)/(2*$C$114-1))+(POWER(TAN(A119/2),2*$C$114+1)/(2*$C$114+1))-(POWER(TAN($E$114/2),2*$C$114-1)/(2*$C$114-1))-(POWER(TAN($E$114/2),2*$C$114+1)/(2*$C$114+1))))</f>
        <v>0.92736876652016931</v>
      </c>
      <c r="I119" s="81">
        <f>-(-$I$111+0.5*$K$114*((POWER(TAN(A119/2),2*$C$114-2)/(2*$C$114-2))-(POWER(TAN(A119/2),2*$C$114+2)/(2*$C$114+2))-(POWER(TAN($E$114/2),2*$C$114-2)/(2*$C$114-2))+(POWER(TAN($E$114/2),2*$C$114+2)/(2*$C$114+2))))</f>
        <v>0.77679246641748767</v>
      </c>
      <c r="J119" s="77">
        <f>-$D$114*SIN(A119)*($C$114+$G$114)/($C$114+B119)*F119</f>
        <v>-0.8392084226341604</v>
      </c>
      <c r="K119" s="77">
        <f>-$D$114*COS(A119)*($C$114+$G$114)/($C$114+B119)*F119</f>
        <v>1.3003046830291491</v>
      </c>
      <c r="L119" s="91">
        <f>SQRT(J119*J119+K119*K119)</f>
        <v>1.5475991229409676</v>
      </c>
      <c r="M119" s="28"/>
      <c r="N119" s="28"/>
      <c r="O119" s="28"/>
      <c r="P119" s="28"/>
      <c r="AI119" s="9"/>
      <c r="AJ119" s="10"/>
      <c r="AK119" s="10"/>
      <c r="AL119" s="10"/>
      <c r="AM119" s="10"/>
      <c r="AN119" s="10"/>
      <c r="AO119" s="10"/>
      <c r="AP119" s="7"/>
      <c r="AQ119" s="7"/>
    </row>
    <row r="120" spans="1:43">
      <c r="A120" s="20">
        <f>A119-$F$114</f>
        <v>2.5427788147021961</v>
      </c>
      <c r="B120" s="26">
        <f t="shared" ref="B120:B149" si="110">COS(A120)</f>
        <v>-0.8260047910824404</v>
      </c>
      <c r="C120" s="26">
        <f t="shared" ref="C120:C149" si="111">($C$114+B120)</f>
        <v>5.9543584680469115</v>
      </c>
      <c r="D120" s="26">
        <f t="shared" ref="D120:D149" si="112">POWER(TAN(A120/2),$C$114)</f>
        <v>2892.3810591227593</v>
      </c>
      <c r="E120" s="26">
        <f t="shared" ref="E120:E149" si="113">SIN(A120)</f>
        <v>0.56366309539374138</v>
      </c>
      <c r="F120" s="77">
        <f t="shared" ref="F120:F149" si="114">(C120*$H$114*D120/E120/$I$114/$J$114)</f>
        <v>0.70379712873160316</v>
      </c>
      <c r="G120" s="77">
        <f t="shared" ref="G120:G149" si="115">$D$114*($C$114+$G$114)/9.81/SIN($C$111)/(1-$C$114*$C$114)*(F120-1)</f>
        <v>0.59786015367032708</v>
      </c>
      <c r="H120" s="81">
        <f t="shared" ref="H120:H149" si="116">-(-$H$111+$K$114*((POWER(TAN(A120/2),2*$C$114-1)/(2*$C$114-1))+(POWER(TAN(A120/2),2*$C$114+1)/(2*$C$114+1))-(POWER(TAN($E$114/2),2*$C$114-1)/(2*$C$114-1))-(POWER(TAN($E$114/2),2*$C$114+1)/(2*$C$114+1))))</f>
        <v>0.4929812114418074</v>
      </c>
      <c r="I120" s="81">
        <f t="shared" ref="I120:I149" si="117">-(-$I$111+0.5*$K$114*((POWER(TAN(A120/2),2*$C$114-2)/(2*$C$114-2))-(POWER(TAN(A120/2),2*$C$114+2)/(2*$C$114+2))-(POWER(TAN($E$114/2),2*$C$114-2)/(2*$C$114-2))+(POWER(TAN($E$114/2),2*$C$114+2)/(2*$C$114+2))))</f>
        <v>1.433503965717474</v>
      </c>
      <c r="J120" s="77">
        <f t="shared" ref="J120:J149" si="118">-$D$114*SIN(A120)*($C$114+$G$114)/($C$114+B120)*F120</f>
        <v>-0.61247506046340006</v>
      </c>
      <c r="K120" s="77">
        <f t="shared" ref="K120:K149" si="119">-$D$114*COS(A120)*($C$114+$G$114)/($C$114+B120)*F120</f>
        <v>0.89753496103533115</v>
      </c>
      <c r="L120" s="91">
        <f t="shared" ref="L120:L149" si="120">SQRT(J120*J120+K120*K120)</f>
        <v>1.0865977664114439</v>
      </c>
      <c r="M120" s="28"/>
      <c r="N120" s="28"/>
      <c r="O120" s="28"/>
      <c r="P120" s="28"/>
      <c r="AI120" s="7"/>
      <c r="AJ120" s="7"/>
      <c r="AK120" s="7"/>
      <c r="AL120" s="7"/>
      <c r="AM120" s="7"/>
      <c r="AN120" s="7"/>
      <c r="AO120" s="7"/>
      <c r="AP120" s="7"/>
      <c r="AQ120" s="7"/>
    </row>
    <row r="121" spans="1:43">
      <c r="A121" s="20">
        <f t="shared" ref="A121:A149" si="121">A120-$F$114</f>
        <v>2.5170951903112648</v>
      </c>
      <c r="B121" s="26">
        <f t="shared" si="110"/>
        <v>-0.81125704995653658</v>
      </c>
      <c r="C121" s="26">
        <f t="shared" si="111"/>
        <v>5.969106209172816</v>
      </c>
      <c r="D121" s="26">
        <f t="shared" si="112"/>
        <v>2135.6450675273686</v>
      </c>
      <c r="E121" s="26">
        <f t="shared" si="113"/>
        <v>0.5846896603291506</v>
      </c>
      <c r="F121" s="77">
        <f t="shared" si="114"/>
        <v>0.50221487973518542</v>
      </c>
      <c r="G121" s="77">
        <f t="shared" si="115"/>
        <v>1.0047366766632595</v>
      </c>
      <c r="H121" s="81">
        <f t="shared" si="116"/>
        <v>0.27618054584885199</v>
      </c>
      <c r="I121" s="81">
        <f t="shared" si="117"/>
        <v>1.7436099468647217</v>
      </c>
      <c r="J121" s="77">
        <f t="shared" si="118"/>
        <v>-0.45223271592675424</v>
      </c>
      <c r="K121" s="77">
        <f t="shared" si="119"/>
        <v>0.62747300646643533</v>
      </c>
      <c r="L121" s="91">
        <f t="shared" si="120"/>
        <v>0.7734576932182623</v>
      </c>
      <c r="M121" s="45"/>
      <c r="N121" s="28"/>
      <c r="O121" s="28"/>
      <c r="P121" s="31"/>
      <c r="AI121" s="7"/>
      <c r="AJ121" s="7"/>
      <c r="AK121" s="7"/>
      <c r="AL121" s="7"/>
      <c r="AM121" s="7"/>
      <c r="AN121" s="7"/>
      <c r="AO121" s="7"/>
      <c r="AP121" s="7"/>
      <c r="AQ121" s="7"/>
    </row>
    <row r="122" spans="1:43">
      <c r="A122" s="20">
        <f t="shared" si="121"/>
        <v>2.4914115659203335</v>
      </c>
      <c r="B122" s="26">
        <f t="shared" si="110"/>
        <v>-0.79597419370096523</v>
      </c>
      <c r="C122" s="26">
        <f t="shared" si="111"/>
        <v>5.9843890654283864</v>
      </c>
      <c r="D122" s="26">
        <f t="shared" si="112"/>
        <v>1593.7360019079858</v>
      </c>
      <c r="E122" s="26">
        <f t="shared" si="113"/>
        <v>0.60533055677216407</v>
      </c>
      <c r="F122" s="77">
        <f t="shared" si="114"/>
        <v>0.36292778064995396</v>
      </c>
      <c r="G122" s="77">
        <f t="shared" si="115"/>
        <v>1.2858757692952605</v>
      </c>
      <c r="H122" s="81">
        <f t="shared" si="116"/>
        <v>0.16507784956579419</v>
      </c>
      <c r="I122" s="81">
        <f t="shared" si="117"/>
        <v>1.8941249713712915</v>
      </c>
      <c r="J122" s="77">
        <f t="shared" si="118"/>
        <v>-0.33748096608935169</v>
      </c>
      <c r="K122" s="77">
        <f t="shared" si="119"/>
        <v>0.44376768505592012</v>
      </c>
      <c r="L122" s="91">
        <f t="shared" si="120"/>
        <v>0.55751516640580501</v>
      </c>
      <c r="M122" s="45"/>
      <c r="N122" s="28"/>
      <c r="O122" s="28"/>
      <c r="P122" s="31"/>
      <c r="AI122" s="7"/>
      <c r="AJ122" s="7"/>
      <c r="AK122" s="7"/>
      <c r="AL122" s="7"/>
      <c r="AM122" s="7"/>
      <c r="AN122" s="7"/>
      <c r="AO122" s="7"/>
      <c r="AP122" s="7"/>
      <c r="AQ122" s="7"/>
    </row>
    <row r="123" spans="1:43">
      <c r="A123" s="20">
        <f t="shared" si="121"/>
        <v>2.4657279415294022</v>
      </c>
      <c r="B123" s="26">
        <f t="shared" si="110"/>
        <v>-0.78016630307571178</v>
      </c>
      <c r="C123" s="26">
        <f t="shared" si="111"/>
        <v>6.0001969560536406</v>
      </c>
      <c r="D123" s="26">
        <f t="shared" si="112"/>
        <v>1200.9551410557237</v>
      </c>
      <c r="E123" s="26">
        <f t="shared" si="113"/>
        <v>0.6255721697335781</v>
      </c>
      <c r="F123" s="77">
        <f t="shared" si="114"/>
        <v>0.26533312899306055</v>
      </c>
      <c r="G123" s="77">
        <f t="shared" si="115"/>
        <v>1.4828622238395239</v>
      </c>
      <c r="H123" s="81">
        <f t="shared" si="116"/>
        <v>0.10674587480613773</v>
      </c>
      <c r="I123" s="81">
        <f t="shared" si="117"/>
        <v>1.9690356045467969</v>
      </c>
      <c r="J123" s="77">
        <f t="shared" si="118"/>
        <v>-0.25430780301646166</v>
      </c>
      <c r="K123" s="77">
        <f t="shared" si="119"/>
        <v>0.31715346065851335</v>
      </c>
      <c r="L123" s="91">
        <f t="shared" si="120"/>
        <v>0.40652032702280783</v>
      </c>
      <c r="M123" s="45"/>
      <c r="N123" s="28"/>
      <c r="O123" s="28"/>
      <c r="P123" s="89"/>
      <c r="AI123" s="7"/>
      <c r="AJ123" s="7"/>
      <c r="AK123" s="7"/>
      <c r="AL123" s="7"/>
      <c r="AM123" s="7"/>
      <c r="AN123" s="7"/>
      <c r="AO123" s="7"/>
      <c r="AP123" s="7"/>
      <c r="AQ123" s="7"/>
    </row>
    <row r="124" spans="1:43">
      <c r="A124" s="20">
        <f t="shared" si="121"/>
        <v>2.4400443171384709</v>
      </c>
      <c r="B124" s="26">
        <f t="shared" si="110"/>
        <v>-0.76384380515989003</v>
      </c>
      <c r="C124" s="26">
        <f t="shared" si="111"/>
        <v>6.0165194539694618</v>
      </c>
      <c r="D124" s="26">
        <f t="shared" si="112"/>
        <v>913.08805174830115</v>
      </c>
      <c r="E124" s="26">
        <f t="shared" si="113"/>
        <v>0.64540114759648515</v>
      </c>
      <c r="F124" s="77">
        <f t="shared" si="114"/>
        <v>0.19606715999581611</v>
      </c>
      <c r="G124" s="77">
        <f t="shared" si="115"/>
        <v>1.6226696561290401</v>
      </c>
      <c r="H124" s="81">
        <f t="shared" si="116"/>
        <v>7.5430780647394724E-2</v>
      </c>
      <c r="I124" s="81">
        <f t="shared" si="117"/>
        <v>2.0071839692094255</v>
      </c>
      <c r="J124" s="77">
        <f t="shared" si="118"/>
        <v>-0.19335061607427476</v>
      </c>
      <c r="K124" s="77">
        <f t="shared" si="119"/>
        <v>0.22883391339198686</v>
      </c>
      <c r="L124" s="91">
        <f t="shared" si="120"/>
        <v>0.2995820766577883</v>
      </c>
      <c r="M124" s="45"/>
      <c r="N124" s="28"/>
      <c r="O124" s="28"/>
      <c r="P124" s="28"/>
      <c r="AI124" s="7"/>
      <c r="AJ124" s="7"/>
      <c r="AK124" s="7"/>
      <c r="AL124" s="7"/>
      <c r="AM124" s="7"/>
      <c r="AN124" s="7"/>
      <c r="AO124" s="7"/>
      <c r="AP124" s="7"/>
      <c r="AQ124" s="7"/>
    </row>
    <row r="125" spans="1:43">
      <c r="A125" s="20">
        <f t="shared" si="121"/>
        <v>2.4143606927475396</v>
      </c>
      <c r="B125" s="26">
        <f t="shared" si="110"/>
        <v>-0.74701746647391332</v>
      </c>
      <c r="C125" s="26">
        <f t="shared" si="111"/>
        <v>6.0333457926554388</v>
      </c>
      <c r="D125" s="26">
        <f t="shared" si="112"/>
        <v>699.94379819972221</v>
      </c>
      <c r="E125" s="26">
        <f t="shared" si="113"/>
        <v>0.66480441092316456</v>
      </c>
      <c r="F125" s="77">
        <f t="shared" si="114"/>
        <v>0.14632013760960946</v>
      </c>
      <c r="G125" s="77">
        <f t="shared" si="115"/>
        <v>1.7230797646506044</v>
      </c>
      <c r="H125" s="81">
        <f t="shared" si="116"/>
        <v>5.8271232265841966E-2</v>
      </c>
      <c r="I125" s="81">
        <f t="shared" si="117"/>
        <v>2.0270243441015605</v>
      </c>
      <c r="J125" s="77">
        <f t="shared" si="118"/>
        <v>-0.14821633504036921</v>
      </c>
      <c r="K125" s="77">
        <f t="shared" si="119"/>
        <v>0.16654551214267121</v>
      </c>
      <c r="L125" s="91">
        <f t="shared" si="120"/>
        <v>0.22294727983912166</v>
      </c>
      <c r="AI125" s="7"/>
      <c r="AJ125" s="7"/>
      <c r="AK125" s="7"/>
      <c r="AL125" s="7"/>
      <c r="AM125" s="7"/>
      <c r="AN125" s="7"/>
      <c r="AO125" s="7"/>
      <c r="AP125" s="7"/>
      <c r="AQ125" s="7"/>
    </row>
    <row r="126" spans="1:43">
      <c r="A126" s="20">
        <f t="shared" si="121"/>
        <v>2.3886770683566083</v>
      </c>
      <c r="B126" s="26">
        <f t="shared" si="110"/>
        <v>-0.7296983858777647</v>
      </c>
      <c r="C126" s="26">
        <f t="shared" si="111"/>
        <v>6.0506648732515877</v>
      </c>
      <c r="D126" s="26">
        <f t="shared" si="112"/>
        <v>540.62872553879504</v>
      </c>
      <c r="E126" s="26">
        <f t="shared" si="113"/>
        <v>0.68376916108244079</v>
      </c>
      <c r="F126" s="77">
        <f t="shared" si="114"/>
        <v>0.11019688386098825</v>
      </c>
      <c r="G126" s="77">
        <f t="shared" si="115"/>
        <v>1.7959914617747477</v>
      </c>
      <c r="H126" s="81">
        <f t="shared" si="116"/>
        <v>4.8688638182613264E-2</v>
      </c>
      <c r="I126" s="81">
        <f t="shared" si="117"/>
        <v>2.0375444768862061</v>
      </c>
      <c r="J126" s="77">
        <f t="shared" si="118"/>
        <v>-0.11448063190645132</v>
      </c>
      <c r="K126" s="77">
        <f t="shared" si="119"/>
        <v>0.12217037133432847</v>
      </c>
      <c r="L126" s="91">
        <f t="shared" si="120"/>
        <v>0.16742584840360855</v>
      </c>
    </row>
    <row r="127" spans="1:43">
      <c r="A127" s="20">
        <f t="shared" si="121"/>
        <v>2.362993443965677</v>
      </c>
      <c r="B127" s="26">
        <f t="shared" si="110"/>
        <v>-0.7118979872500526</v>
      </c>
      <c r="C127" s="26">
        <f t="shared" si="111"/>
        <v>6.0684652718792993</v>
      </c>
      <c r="D127" s="26">
        <f t="shared" si="112"/>
        <v>420.5025708913517</v>
      </c>
      <c r="E127" s="26">
        <f t="shared" si="113"/>
        <v>0.70228288869181765</v>
      </c>
      <c r="F127" s="77">
        <f t="shared" si="114"/>
        <v>8.3697415155607621E-2</v>
      </c>
      <c r="G127" s="77">
        <f t="shared" si="115"/>
        <v>1.849478372163355</v>
      </c>
      <c r="H127" s="81">
        <f t="shared" si="116"/>
        <v>4.3242680283582247E-2</v>
      </c>
      <c r="I127" s="81">
        <f t="shared" si="117"/>
        <v>2.0432227608740243</v>
      </c>
      <c r="J127" s="77">
        <f t="shared" si="118"/>
        <v>-8.9043363328415739E-2</v>
      </c>
      <c r="K127" s="77">
        <f t="shared" si="119"/>
        <v>9.0262474213993846E-2</v>
      </c>
      <c r="L127" s="91">
        <f t="shared" si="120"/>
        <v>0.12679130413426684</v>
      </c>
    </row>
    <row r="128" spans="1:43">
      <c r="A128" s="20">
        <f t="shared" si="121"/>
        <v>2.3373098195747457</v>
      </c>
      <c r="B128" s="26">
        <f t="shared" si="110"/>
        <v>-0.69362801195267987</v>
      </c>
      <c r="C128" s="26">
        <f t="shared" si="111"/>
        <v>6.086735247176672</v>
      </c>
      <c r="D128" s="26">
        <f t="shared" si="112"/>
        <v>329.18777033866877</v>
      </c>
      <c r="E128" s="26">
        <f t="shared" si="113"/>
        <v>0.72033338186882123</v>
      </c>
      <c r="F128" s="77">
        <f t="shared" si="114"/>
        <v>6.4072426132855534E-2</v>
      </c>
      <c r="G128" s="77">
        <f t="shared" si="115"/>
        <v>1.8890897334667685</v>
      </c>
      <c r="H128" s="81">
        <f t="shared" si="116"/>
        <v>4.0096903820881935E-2</v>
      </c>
      <c r="I128" s="81">
        <f t="shared" si="117"/>
        <v>2.0463382469177711</v>
      </c>
      <c r="J128" s="77">
        <f t="shared" si="118"/>
        <v>-6.9707032172011907E-2</v>
      </c>
      <c r="K128" s="77">
        <f t="shared" si="119"/>
        <v>6.7122739778009047E-2</v>
      </c>
      <c r="L128" s="91">
        <f t="shared" si="120"/>
        <v>9.6770514773541538E-2</v>
      </c>
    </row>
    <row r="129" spans="1:12">
      <c r="A129" s="20">
        <f t="shared" si="121"/>
        <v>2.3116261951838144</v>
      </c>
      <c r="B129" s="26">
        <f t="shared" si="110"/>
        <v>-0.67490051108609705</v>
      </c>
      <c r="C129" s="26">
        <f t="shared" si="111"/>
        <v>6.1054627480432551</v>
      </c>
      <c r="D129" s="26">
        <f t="shared" si="112"/>
        <v>259.24886540678114</v>
      </c>
      <c r="E129" s="26">
        <f t="shared" si="113"/>
        <v>0.73790873428610737</v>
      </c>
      <c r="F129" s="77">
        <f t="shared" si="114"/>
        <v>4.9409380147381284E-2</v>
      </c>
      <c r="G129" s="77">
        <f t="shared" si="115"/>
        <v>1.9186858372743081</v>
      </c>
      <c r="H129" s="81">
        <f t="shared" si="116"/>
        <v>3.825212574858261E-2</v>
      </c>
      <c r="I129" s="81">
        <f t="shared" si="117"/>
        <v>2.0480736012487495</v>
      </c>
      <c r="J129" s="77">
        <f t="shared" si="118"/>
        <v>-5.4897145731981858E-2</v>
      </c>
      <c r="K129" s="77">
        <f t="shared" si="119"/>
        <v>5.020961263932832E-2</v>
      </c>
      <c r="L129" s="91">
        <f t="shared" si="120"/>
        <v>7.4395576554724355E-2</v>
      </c>
    </row>
    <row r="130" spans="1:12">
      <c r="A130" s="20">
        <f t="shared" si="121"/>
        <v>2.2859425707928831</v>
      </c>
      <c r="B130" s="26">
        <f t="shared" si="110"/>
        <v>-0.65572783754024855</v>
      </c>
      <c r="C130" s="26">
        <f t="shared" si="111"/>
        <v>6.1246354215891037</v>
      </c>
      <c r="D130" s="26">
        <f t="shared" si="112"/>
        <v>205.30473387675809</v>
      </c>
      <c r="E130" s="26">
        <f t="shared" si="113"/>
        <v>0.7549973530250218</v>
      </c>
      <c r="F130" s="77">
        <f t="shared" si="114"/>
        <v>3.8362807488423287E-2</v>
      </c>
      <c r="G130" s="77">
        <f t="shared" si="115"/>
        <v>1.9409823990839024</v>
      </c>
      <c r="H130" s="81">
        <f t="shared" si="116"/>
        <v>3.7154968932377352E-2</v>
      </c>
      <c r="I130" s="81">
        <f t="shared" si="117"/>
        <v>2.049053746048767</v>
      </c>
      <c r="J130" s="77">
        <f t="shared" si="118"/>
        <v>-4.3474226502066442E-2</v>
      </c>
      <c r="K130" s="77">
        <f t="shared" si="119"/>
        <v>3.7758093347898425E-2</v>
      </c>
      <c r="L130" s="91">
        <f t="shared" si="120"/>
        <v>5.7581958834530697E-2</v>
      </c>
    </row>
    <row r="131" spans="1:12">
      <c r="A131" s="20">
        <f t="shared" si="121"/>
        <v>2.2602589464019518</v>
      </c>
      <c r="B131" s="26">
        <f t="shared" si="110"/>
        <v>-0.63612263784645384</v>
      </c>
      <c r="C131" s="26">
        <f t="shared" si="111"/>
        <v>6.1442406212828979</v>
      </c>
      <c r="D131" s="26">
        <f t="shared" si="112"/>
        <v>163.42434197693061</v>
      </c>
      <c r="E131" s="26">
        <f t="shared" si="113"/>
        <v>0.77158796622243231</v>
      </c>
      <c r="F131" s="77">
        <f t="shared" si="114"/>
        <v>2.9976168466446417E-2</v>
      </c>
      <c r="G131" s="77">
        <f t="shared" si="115"/>
        <v>1.9579101124209997</v>
      </c>
      <c r="H131" s="81">
        <f t="shared" si="116"/>
        <v>3.6493838759302455E-2</v>
      </c>
      <c r="I131" s="81">
        <f t="shared" si="117"/>
        <v>2.0496144801716607</v>
      </c>
      <c r="J131" s="77">
        <f t="shared" si="118"/>
        <v>-3.4605859908330899E-2</v>
      </c>
      <c r="K131" s="77">
        <f t="shared" si="119"/>
        <v>2.8530215417442432E-2</v>
      </c>
      <c r="L131" s="91">
        <f t="shared" si="120"/>
        <v>4.4850180955718494E-2</v>
      </c>
    </row>
    <row r="132" spans="1:12">
      <c r="A132" s="20">
        <f t="shared" si="121"/>
        <v>2.2345753220110205</v>
      </c>
      <c r="B132" s="26">
        <f t="shared" si="110"/>
        <v>-0.6160978438356004</v>
      </c>
      <c r="C132" s="26">
        <f t="shared" si="111"/>
        <v>6.1642654152937517</v>
      </c>
      <c r="D132" s="26">
        <f t="shared" si="112"/>
        <v>130.71067251015674</v>
      </c>
      <c r="E132" s="26">
        <f t="shared" si="113"/>
        <v>0.78766963050578775</v>
      </c>
      <c r="F132" s="77">
        <f t="shared" si="114"/>
        <v>2.3562690800404767E-2</v>
      </c>
      <c r="G132" s="77">
        <f t="shared" si="115"/>
        <v>1.9708551683772821</v>
      </c>
      <c r="H132" s="75">
        <f t="shared" si="116"/>
        <v>3.609054698900005E-2</v>
      </c>
      <c r="I132" s="75">
        <f t="shared" si="117"/>
        <v>2.0499390787806648</v>
      </c>
      <c r="J132" s="77">
        <f t="shared" si="118"/>
        <v>-2.767858916665383E-2</v>
      </c>
      <c r="K132" s="77">
        <f t="shared" si="119"/>
        <v>2.1649583080963448E-2</v>
      </c>
      <c r="L132" s="91">
        <f t="shared" si="120"/>
        <v>3.5139845557940995E-2</v>
      </c>
    </row>
    <row r="133" spans="1:12">
      <c r="A133" s="20">
        <f t="shared" si="121"/>
        <v>2.2088916976200892</v>
      </c>
      <c r="B133" s="26">
        <f t="shared" si="110"/>
        <v>-0.59566666410814884</v>
      </c>
      <c r="C133" s="26">
        <f t="shared" si="111"/>
        <v>6.1846965950212036</v>
      </c>
      <c r="D133" s="26">
        <f t="shared" si="112"/>
        <v>105.01109342263595</v>
      </c>
      <c r="E133" s="26">
        <f t="shared" si="113"/>
        <v>0.8032317382115014</v>
      </c>
      <c r="F133" s="77">
        <f t="shared" si="114"/>
        <v>1.8624701696634428E-2</v>
      </c>
      <c r="G133" s="77">
        <f t="shared" si="115"/>
        <v>1.9808220769077785</v>
      </c>
      <c r="H133" s="75">
        <f t="shared" si="116"/>
        <v>3.5841708690140694E-2</v>
      </c>
      <c r="I133" s="75">
        <f t="shared" si="117"/>
        <v>2.0501290316487459</v>
      </c>
      <c r="J133" s="77">
        <f t="shared" si="118"/>
        <v>-2.223658448823598E-2</v>
      </c>
      <c r="K133" s="77">
        <f t="shared" si="119"/>
        <v>1.6490374412693833E-2</v>
      </c>
      <c r="L133" s="91">
        <f t="shared" si="120"/>
        <v>2.7683896726676403E-2</v>
      </c>
    </row>
    <row r="134" spans="1:12">
      <c r="A134" s="20">
        <f t="shared" si="121"/>
        <v>2.1832080732291579</v>
      </c>
      <c r="B134" s="26">
        <f t="shared" si="110"/>
        <v>-0.57484257532157734</v>
      </c>
      <c r="C134" s="26">
        <f t="shared" si="111"/>
        <v>6.2055206838077748</v>
      </c>
      <c r="D134" s="26">
        <f t="shared" si="112"/>
        <v>84.713672010375433</v>
      </c>
      <c r="E134" s="26">
        <f t="shared" si="113"/>
        <v>0.81826402438189638</v>
      </c>
      <c r="F134" s="77">
        <f t="shared" si="114"/>
        <v>1.4798404136521849E-2</v>
      </c>
      <c r="G134" s="77">
        <f t="shared" si="115"/>
        <v>1.9885451311694788</v>
      </c>
      <c r="H134" s="75">
        <f t="shared" si="116"/>
        <v>3.568652024028407E-2</v>
      </c>
      <c r="I134" s="75">
        <f t="shared" si="117"/>
        <v>2.0502413019962424</v>
      </c>
      <c r="J134" s="77">
        <f t="shared" si="118"/>
        <v>-1.7938511671199964E-2</v>
      </c>
      <c r="K134" s="77">
        <f t="shared" si="119"/>
        <v>1.2602069673413962E-2</v>
      </c>
      <c r="L134" s="91">
        <f t="shared" si="120"/>
        <v>2.1922644936944933E-2</v>
      </c>
    </row>
    <row r="135" spans="1:12">
      <c r="A135" s="20">
        <f t="shared" si="121"/>
        <v>2.1575244488382266</v>
      </c>
      <c r="B135" s="26">
        <f t="shared" si="110"/>
        <v>-0.55363931330101301</v>
      </c>
      <c r="C135" s="26">
        <f t="shared" si="111"/>
        <v>6.226723945828339</v>
      </c>
      <c r="D135" s="26">
        <f t="shared" si="112"/>
        <v>68.602547117202818</v>
      </c>
      <c r="E135" s="26">
        <f t="shared" si="113"/>
        <v>0.83275657353609811</v>
      </c>
      <c r="F135" s="77">
        <f t="shared" si="114"/>
        <v>1.1815670998778656E-2</v>
      </c>
      <c r="G135" s="77">
        <f t="shared" si="115"/>
        <v>1.9945655228167729</v>
      </c>
      <c r="H135" s="75">
        <f t="shared" si="116"/>
        <v>3.5588762959861908E-2</v>
      </c>
      <c r="I135" s="75">
        <f t="shared" si="117"/>
        <v>2.0503082649339168</v>
      </c>
      <c r="J135" s="77">
        <f t="shared" si="118"/>
        <v>-1.4526906494919323E-2</v>
      </c>
      <c r="K135" s="77">
        <f t="shared" si="119"/>
        <v>9.6578841786669218E-3</v>
      </c>
      <c r="L135" s="91">
        <f t="shared" si="120"/>
        <v>1.7444361241406178E-2</v>
      </c>
    </row>
    <row r="136" spans="1:12">
      <c r="A136" s="20">
        <f t="shared" si="121"/>
        <v>2.1318408244472953</v>
      </c>
      <c r="B136" s="26">
        <f t="shared" si="110"/>
        <v>-0.53207086397891223</v>
      </c>
      <c r="C136" s="26">
        <f t="shared" si="111"/>
        <v>6.2482923951504397</v>
      </c>
      <c r="D136" s="26">
        <f t="shared" si="112"/>
        <v>55.754300695751581</v>
      </c>
      <c r="E136" s="26">
        <f t="shared" si="113"/>
        <v>0.84669982621040729</v>
      </c>
      <c r="F136" s="77">
        <f t="shared" si="114"/>
        <v>9.4773485559523241E-3</v>
      </c>
      <c r="G136" s="77">
        <f t="shared" si="115"/>
        <v>1.9992852266096919</v>
      </c>
      <c r="H136" s="75">
        <f t="shared" si="116"/>
        <v>3.5526602906767679E-2</v>
      </c>
      <c r="I136" s="75">
        <f t="shared" si="117"/>
        <v>2.0503485366530594</v>
      </c>
      <c r="J136" s="77">
        <f t="shared" si="118"/>
        <v>-1.1806230918993068E-2</v>
      </c>
      <c r="K136" s="77">
        <f t="shared" si="119"/>
        <v>7.4191009504732735E-3</v>
      </c>
      <c r="L136" s="91">
        <f t="shared" si="120"/>
        <v>1.3943821119976451E-2</v>
      </c>
    </row>
    <row r="137" spans="1:12">
      <c r="A137" s="20">
        <f t="shared" si="121"/>
        <v>2.106157200056364</v>
      </c>
      <c r="B137" s="26">
        <f t="shared" si="110"/>
        <v>-0.5101514541697677</v>
      </c>
      <c r="C137" s="26">
        <f t="shared" si="111"/>
        <v>6.2702118049595841</v>
      </c>
      <c r="D137" s="26">
        <f t="shared" si="112"/>
        <v>45.463068153494241</v>
      </c>
      <c r="E137" s="26">
        <f t="shared" si="113"/>
        <v>0.8600845852638398</v>
      </c>
      <c r="F137" s="77">
        <f t="shared" si="114"/>
        <v>7.6344260907769985E-3</v>
      </c>
      <c r="G137" s="77">
        <f t="shared" si="115"/>
        <v>2.0030050079322499</v>
      </c>
      <c r="H137" s="75">
        <f t="shared" si="116"/>
        <v>3.5486728828812764E-2</v>
      </c>
      <c r="I137" s="75">
        <f t="shared" si="117"/>
        <v>2.0503729383538967</v>
      </c>
      <c r="J137" s="77">
        <f t="shared" si="118"/>
        <v>-9.6270148528106708E-3</v>
      </c>
      <c r="K137" s="77">
        <f t="shared" si="119"/>
        <v>5.7101774762871073E-3</v>
      </c>
      <c r="L137" s="91">
        <f t="shared" si="120"/>
        <v>1.1193102420103814E-2</v>
      </c>
    </row>
    <row r="138" spans="1:12">
      <c r="A138" s="20">
        <f t="shared" si="121"/>
        <v>2.0804735756654327</v>
      </c>
      <c r="B138" s="26">
        <f t="shared" si="110"/>
        <v>-0.48789554218592701</v>
      </c>
      <c r="C138" s="26">
        <f t="shared" si="111"/>
        <v>6.2924677169434249</v>
      </c>
      <c r="D138" s="26">
        <f t="shared" si="112"/>
        <v>37.185977979528317</v>
      </c>
      <c r="E138" s="26">
        <f t="shared" si="113"/>
        <v>0.87290202194467414</v>
      </c>
      <c r="F138" s="77">
        <f t="shared" si="114"/>
        <v>6.1746352906351908E-3</v>
      </c>
      <c r="G138" s="77">
        <f t="shared" si="115"/>
        <v>2.0059514707682178</v>
      </c>
      <c r="H138" s="75">
        <f t="shared" si="116"/>
        <v>3.5460938977844636E-2</v>
      </c>
      <c r="I138" s="75">
        <f t="shared" si="117"/>
        <v>2.0503878237521711</v>
      </c>
      <c r="J138" s="77">
        <f t="shared" si="118"/>
        <v>-7.8743027442967455E-3</v>
      </c>
      <c r="K138" s="77">
        <f t="shared" si="119"/>
        <v>4.4012238603891038E-3</v>
      </c>
      <c r="L138" s="91">
        <f t="shared" si="120"/>
        <v>9.0208322885473053E-3</v>
      </c>
    </row>
    <row r="139" spans="1:12">
      <c r="A139" s="20">
        <f t="shared" si="121"/>
        <v>2.0547899512745014</v>
      </c>
      <c r="B139" s="26">
        <f t="shared" si="110"/>
        <v>-0.46531780830071123</v>
      </c>
      <c r="C139" s="26">
        <f t="shared" si="111"/>
        <v>6.3150454508286407</v>
      </c>
      <c r="D139" s="26">
        <f t="shared" si="112"/>
        <v>30.503096629141208</v>
      </c>
      <c r="E139" s="26">
        <f t="shared" si="113"/>
        <v>0.88514368171400426</v>
      </c>
      <c r="F139" s="77">
        <f t="shared" si="114"/>
        <v>5.0128330840572208E-3</v>
      </c>
      <c r="G139" s="77">
        <f t="shared" si="115"/>
        <v>2.0082964691228415</v>
      </c>
      <c r="H139" s="75">
        <f t="shared" si="116"/>
        <v>3.5444129142966019E-2</v>
      </c>
      <c r="I139" s="75">
        <f t="shared" si="117"/>
        <v>2.0503969583951243</v>
      </c>
      <c r="J139" s="77">
        <f t="shared" si="118"/>
        <v>-6.4591717240467771E-3</v>
      </c>
      <c r="K139" s="77">
        <f t="shared" si="119"/>
        <v>3.3955703375200632E-3</v>
      </c>
      <c r="L139" s="91">
        <f t="shared" si="120"/>
        <v>7.2973143880314985E-3</v>
      </c>
    </row>
    <row r="140" spans="1:12">
      <c r="A140" s="20">
        <f t="shared" si="121"/>
        <v>2.0291063268835701</v>
      </c>
      <c r="B140" s="26">
        <f t="shared" si="110"/>
        <v>-0.44243314506512643</v>
      </c>
      <c r="C140" s="26">
        <f t="shared" si="111"/>
        <v>6.3379301140642257</v>
      </c>
      <c r="D140" s="26">
        <f t="shared" si="112"/>
        <v>25.087808167483594</v>
      </c>
      <c r="E140" s="26">
        <f t="shared" si="113"/>
        <v>0.89680148982245833</v>
      </c>
      <c r="F140" s="77">
        <f t="shared" si="114"/>
        <v>4.0840443686471599E-3</v>
      </c>
      <c r="G140" s="77">
        <f t="shared" si="115"/>
        <v>2.0101711496812857</v>
      </c>
      <c r="H140" s="75">
        <f t="shared" si="116"/>
        <v>3.5433092776922304E-2</v>
      </c>
      <c r="I140" s="75">
        <f t="shared" si="117"/>
        <v>2.0504025932609875</v>
      </c>
      <c r="J140" s="77">
        <f t="shared" si="118"/>
        <v>-5.3124593579429689E-3</v>
      </c>
      <c r="K140" s="77">
        <f t="shared" si="119"/>
        <v>2.6208788995552238E-3</v>
      </c>
      <c r="L140" s="91">
        <f t="shared" si="120"/>
        <v>5.92378516118956E-3</v>
      </c>
    </row>
    <row r="141" spans="1:12">
      <c r="A141" s="20">
        <f t="shared" si="121"/>
        <v>2.0034227024926388</v>
      </c>
      <c r="B141" s="26">
        <f t="shared" si="110"/>
        <v>-0.41925664748455405</v>
      </c>
      <c r="C141" s="26">
        <f t="shared" si="111"/>
        <v>6.3611066116447983</v>
      </c>
      <c r="D141" s="26">
        <f t="shared" si="112"/>
        <v>20.684758953149107</v>
      </c>
      <c r="E141" s="26">
        <f t="shared" si="113"/>
        <v>0.90786775663640151</v>
      </c>
      <c r="F141" s="77">
        <f t="shared" si="114"/>
        <v>3.3383906304028273E-3</v>
      </c>
      <c r="G141" s="77">
        <f t="shared" si="115"/>
        <v>2.0116761879566498</v>
      </c>
      <c r="H141" s="75">
        <f t="shared" si="116"/>
        <v>3.5425797512477875E-2</v>
      </c>
      <c r="I141" s="75">
        <f t="shared" si="117"/>
        <v>2.0504060846762746</v>
      </c>
      <c r="J141" s="77">
        <f t="shared" si="118"/>
        <v>-4.3800933319426624E-3</v>
      </c>
      <c r="K141" s="77">
        <f t="shared" si="119"/>
        <v>2.0227431061363233E-3</v>
      </c>
      <c r="L141" s="91">
        <f t="shared" si="120"/>
        <v>4.8245940005300549E-3</v>
      </c>
    </row>
    <row r="142" spans="1:12">
      <c r="A142" s="20">
        <f t="shared" si="121"/>
        <v>1.9777390781017075</v>
      </c>
      <c r="B142" s="26">
        <f t="shared" si="110"/>
        <v>-0.39580360306189916</v>
      </c>
      <c r="C142" s="26">
        <f t="shared" si="111"/>
        <v>6.3845596560674531</v>
      </c>
      <c r="D142" s="26">
        <f t="shared" si="112"/>
        <v>17.093327461412354</v>
      </c>
      <c r="E142" s="26">
        <f t="shared" si="113"/>
        <v>0.91833518271011405</v>
      </c>
      <c r="F142" s="77">
        <f t="shared" si="114"/>
        <v>2.7373664818857932E-3</v>
      </c>
      <c r="G142" s="77">
        <f t="shared" si="115"/>
        <v>2.0128893037791036</v>
      </c>
      <c r="H142" s="75">
        <f t="shared" si="116"/>
        <v>3.5420944359855988E-2</v>
      </c>
      <c r="I142" s="75">
        <f t="shared" si="117"/>
        <v>2.0504082558748209</v>
      </c>
      <c r="J142" s="77">
        <f t="shared" si="118"/>
        <v>-3.6195911107316124E-3</v>
      </c>
      <c r="K142" s="77">
        <f t="shared" si="119"/>
        <v>1.5600482592973137E-3</v>
      </c>
      <c r="L142" s="91">
        <f t="shared" si="120"/>
        <v>3.9414705859899405E-3</v>
      </c>
    </row>
    <row r="143" spans="1:12">
      <c r="A143" s="20">
        <f t="shared" si="121"/>
        <v>1.9520554537107762</v>
      </c>
      <c r="B143" s="26">
        <f t="shared" si="110"/>
        <v>-0.37208948171376588</v>
      </c>
      <c r="C143" s="26">
        <f t="shared" si="111"/>
        <v>6.4082737774155865</v>
      </c>
      <c r="D143" s="26">
        <f t="shared" si="112"/>
        <v>14.155157809383379</v>
      </c>
      <c r="E143" s="26">
        <f t="shared" si="113"/>
        <v>0.92819686360059472</v>
      </c>
      <c r="F143" s="77">
        <f t="shared" si="114"/>
        <v>2.2510870150824727E-3</v>
      </c>
      <c r="G143" s="77">
        <f t="shared" si="115"/>
        <v>2.0138708172786348</v>
      </c>
      <c r="H143" s="75">
        <f t="shared" si="116"/>
        <v>3.5417696473713289E-2</v>
      </c>
      <c r="I143" s="75">
        <f t="shared" si="117"/>
        <v>2.0504096098602589</v>
      </c>
      <c r="J143" s="77">
        <f t="shared" si="118"/>
        <v>-2.9974201040441442E-3</v>
      </c>
      <c r="K143" s="77">
        <f t="shared" si="119"/>
        <v>1.2015861470009534E-3</v>
      </c>
      <c r="L143" s="91">
        <f t="shared" si="120"/>
        <v>3.2292935061391686E-3</v>
      </c>
    </row>
    <row r="144" spans="1:12">
      <c r="A144" s="20">
        <f t="shared" si="121"/>
        <v>1.9263718293198449</v>
      </c>
      <c r="B144" s="26">
        <f t="shared" si="110"/>
        <v>-0.34812992556631006</v>
      </c>
      <c r="C144" s="26">
        <f t="shared" si="111"/>
        <v>6.4322333335630422</v>
      </c>
      <c r="D144" s="26">
        <f t="shared" si="112"/>
        <v>11.744702134729888</v>
      </c>
      <c r="E144" s="26">
        <f t="shared" si="113"/>
        <v>0.93744629442181671</v>
      </c>
      <c r="F144" s="77">
        <f t="shared" si="114"/>
        <v>1.856239486155225E-3</v>
      </c>
      <c r="G144" s="77">
        <f t="shared" si="115"/>
        <v>2.0146677832341298</v>
      </c>
      <c r="H144" s="75">
        <f t="shared" si="116"/>
        <v>3.5415510691718222E-2</v>
      </c>
      <c r="I144" s="75">
        <f t="shared" si="117"/>
        <v>2.0504104558293128</v>
      </c>
      <c r="J144" s="77">
        <f t="shared" si="118"/>
        <v>-2.4869949716359316E-3</v>
      </c>
      <c r="K144" s="77">
        <f t="shared" si="119"/>
        <v>9.2357010690772103E-4</v>
      </c>
      <c r="L144" s="91">
        <f t="shared" si="120"/>
        <v>2.6529466129788493E-3</v>
      </c>
    </row>
    <row r="145" spans="1:16">
      <c r="A145" s="20">
        <f t="shared" si="121"/>
        <v>1.9006882049289135</v>
      </c>
      <c r="B145" s="26">
        <f t="shared" si="110"/>
        <v>-0.32394073863750011</v>
      </c>
      <c r="C145" s="26">
        <f t="shared" si="111"/>
        <v>6.4564225204918522</v>
      </c>
      <c r="D145" s="26">
        <f t="shared" si="112"/>
        <v>9.7620050216061394</v>
      </c>
      <c r="E145" s="26">
        <f t="shared" si="113"/>
        <v>0.94607737413543025</v>
      </c>
      <c r="F145" s="77">
        <f t="shared" si="114"/>
        <v>1.5345495652414366E-3</v>
      </c>
      <c r="G145" s="77">
        <f t="shared" si="115"/>
        <v>2.0153170868169346</v>
      </c>
      <c r="H145" s="75">
        <f t="shared" si="116"/>
        <v>3.5414031972395343E-2</v>
      </c>
      <c r="I145" s="75">
        <f t="shared" si="117"/>
        <v>2.050410984873956</v>
      </c>
      <c r="J145" s="77">
        <f t="shared" si="118"/>
        <v>-2.0671496921175463E-3</v>
      </c>
      <c r="K145" s="77">
        <f t="shared" si="119"/>
        <v>7.0780045738942003E-4</v>
      </c>
      <c r="L145" s="91">
        <f t="shared" si="120"/>
        <v>2.1849689556381205E-3</v>
      </c>
    </row>
    <row r="146" spans="1:16">
      <c r="A146" s="20">
        <f t="shared" si="121"/>
        <v>1.8750045805379822</v>
      </c>
      <c r="B146" s="26">
        <f t="shared" si="110"/>
        <v>-0.29953787641259277</v>
      </c>
      <c r="C146" s="26">
        <f t="shared" si="111"/>
        <v>6.480825382716759</v>
      </c>
      <c r="D146" s="26">
        <f t="shared" si="112"/>
        <v>8.1271687640589594</v>
      </c>
      <c r="E146" s="26">
        <f t="shared" si="113"/>
        <v>0.95408440957508278</v>
      </c>
      <c r="F146" s="77">
        <f t="shared" si="114"/>
        <v>1.2716260186319886E-3</v>
      </c>
      <c r="G146" s="77">
        <f t="shared" si="115"/>
        <v>2.0158477755010327</v>
      </c>
      <c r="H146" s="75">
        <f t="shared" si="116"/>
        <v>3.5413026688473348E-2</v>
      </c>
      <c r="I146" s="75">
        <f t="shared" si="117"/>
        <v>2.0504113156583341</v>
      </c>
      <c r="J146" s="77">
        <f t="shared" si="118"/>
        <v>-1.7209655568941413E-3</v>
      </c>
      <c r="K146" s="77">
        <f t="shared" si="119"/>
        <v>5.4030268508513846E-4</v>
      </c>
      <c r="L146" s="91">
        <f t="shared" si="120"/>
        <v>1.8037875261588245E-3</v>
      </c>
    </row>
    <row r="147" spans="1:16">
      <c r="A147" s="20">
        <f t="shared" si="121"/>
        <v>1.8493209561470509</v>
      </c>
      <c r="B147" s="26">
        <f t="shared" si="110"/>
        <v>-0.27493743531969855</v>
      </c>
      <c r="C147" s="26">
        <f t="shared" si="111"/>
        <v>6.5054258238096532</v>
      </c>
      <c r="D147" s="26">
        <f t="shared" si="112"/>
        <v>6.7760860620391776</v>
      </c>
      <c r="E147" s="26">
        <f t="shared" si="113"/>
        <v>0.96146211920170133</v>
      </c>
      <c r="F147" s="77">
        <f t="shared" si="114"/>
        <v>1.0560854781988807E-3</v>
      </c>
      <c r="G147" s="77">
        <f t="shared" si="115"/>
        <v>2.0162828256410728</v>
      </c>
      <c r="H147" s="75">
        <f t="shared" si="116"/>
        <v>3.5412340135784426E-2</v>
      </c>
      <c r="I147" s="75">
        <f t="shared" si="117"/>
        <v>2.0504115221746337</v>
      </c>
      <c r="J147" s="77">
        <f t="shared" si="118"/>
        <v>-1.4348675488185401E-3</v>
      </c>
      <c r="K147" s="77">
        <f t="shared" si="119"/>
        <v>4.1031133314246729E-4</v>
      </c>
      <c r="L147" s="91">
        <f t="shared" si="120"/>
        <v>1.4923807398776207E-3</v>
      </c>
    </row>
    <row r="148" spans="1:16">
      <c r="A148" s="20">
        <f t="shared" si="121"/>
        <v>1.8236373317561196</v>
      </c>
      <c r="B148" s="26">
        <f t="shared" si="110"/>
        <v>-0.25015564211237962</v>
      </c>
      <c r="C148" s="26">
        <f t="shared" si="111"/>
        <v>6.5302076170169725</v>
      </c>
      <c r="D148" s="26">
        <f t="shared" si="112"/>
        <v>5.6571337332768961</v>
      </c>
      <c r="E148" s="26">
        <f t="shared" si="113"/>
        <v>0.96820563658726089</v>
      </c>
      <c r="F148" s="77">
        <f t="shared" si="114"/>
        <v>8.788857729577187E-4</v>
      </c>
      <c r="G148" s="77">
        <f t="shared" si="115"/>
        <v>2.0166404880855726</v>
      </c>
      <c r="H148" s="75">
        <f t="shared" si="116"/>
        <v>3.5411869261066209E-2</v>
      </c>
      <c r="I148" s="75">
        <f t="shared" si="117"/>
        <v>2.0504116507196546</v>
      </c>
      <c r="J148" s="77">
        <f t="shared" si="118"/>
        <v>-1.1979242203961793E-3</v>
      </c>
      <c r="K148" s="77">
        <f t="shared" si="119"/>
        <v>3.0950811607691973E-4</v>
      </c>
      <c r="L148" s="91">
        <f t="shared" si="120"/>
        <v>1.2372621839081958E-3</v>
      </c>
    </row>
    <row r="149" spans="1:16">
      <c r="A149" s="20">
        <f t="shared" si="121"/>
        <v>1.7979537073651883</v>
      </c>
      <c r="B149" s="26">
        <f t="shared" si="110"/>
        <v>-0.2252088431662839</v>
      </c>
      <c r="C149" s="26">
        <f t="shared" si="111"/>
        <v>6.5551544159630684</v>
      </c>
      <c r="D149" s="26">
        <f t="shared" si="112"/>
        <v>4.7285989762565253</v>
      </c>
      <c r="E149" s="26">
        <f t="shared" si="113"/>
        <v>0.97431051362473975</v>
      </c>
      <c r="F149" s="77">
        <f t="shared" si="114"/>
        <v>7.3281546820224005E-4</v>
      </c>
      <c r="G149" s="77">
        <f t="shared" si="115"/>
        <v>2.016935318498505</v>
      </c>
      <c r="H149" s="113">
        <f t="shared" si="116"/>
        <v>3.5411545031216018E-2</v>
      </c>
      <c r="I149" s="113">
        <f t="shared" si="117"/>
        <v>2.0504117303408798</v>
      </c>
      <c r="J149" s="77">
        <f t="shared" si="118"/>
        <v>-1.0013026930719392E-3</v>
      </c>
      <c r="K149" s="77">
        <f t="shared" si="119"/>
        <v>2.314480014457375E-4</v>
      </c>
      <c r="L149" s="91">
        <f t="shared" si="120"/>
        <v>1.027703877839499E-3</v>
      </c>
    </row>
    <row r="150" spans="1:16">
      <c r="G150" s="70" t="s">
        <v>67</v>
      </c>
      <c r="H150" s="365">
        <f>SQRT(H149*H149+POWER((I149-Yloch),2))</f>
        <v>6.1606169150982083E-2</v>
      </c>
      <c r="I150" s="365"/>
    </row>
    <row r="151" spans="1:16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</row>
  </sheetData>
  <mergeCells count="2">
    <mergeCell ref="A1:C1"/>
    <mergeCell ref="H150:I150"/>
  </mergeCells>
  <conditionalFormatting sqref="AB36:AF36">
    <cfRule type="cellIs" dxfId="3" priority="1" operator="greaterThan">
      <formula>0.01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22</vt:i4>
      </vt:variant>
    </vt:vector>
  </HeadingPairs>
  <TitlesOfParts>
    <vt:vector size="37" baseType="lpstr">
      <vt:lpstr>Stufengrün</vt:lpstr>
      <vt:lpstr>Do-1</vt:lpstr>
      <vt:lpstr>Do-3</vt:lpstr>
      <vt:lpstr>Do-5</vt:lpstr>
      <vt:lpstr>Do-9</vt:lpstr>
      <vt:lpstr>Do-17</vt:lpstr>
      <vt:lpstr>Up-1</vt:lpstr>
      <vt:lpstr>Up-3</vt:lpstr>
      <vt:lpstr>Up-5</vt:lpstr>
      <vt:lpstr>Up-9</vt:lpstr>
      <vt:lpstr>Up-17</vt:lpstr>
      <vt:lpstr>Alpha-Up</vt:lpstr>
      <vt:lpstr>Alpha-Down</vt:lpstr>
      <vt:lpstr>Down-Auswert</vt:lpstr>
      <vt:lpstr>Up-Auswert</vt:lpstr>
      <vt:lpstr>delYL</vt:lpstr>
      <vt:lpstr>delYS</vt:lpstr>
      <vt:lpstr>'Do-17'!eps</vt:lpstr>
      <vt:lpstr>'Do-3'!eps</vt:lpstr>
      <vt:lpstr>'Do-5'!eps</vt:lpstr>
      <vt:lpstr>'Do-9'!eps</vt:lpstr>
      <vt:lpstr>'Up-17'!eps</vt:lpstr>
      <vt:lpstr>'Up-3'!eps</vt:lpstr>
      <vt:lpstr>'Up-5'!eps</vt:lpstr>
      <vt:lpstr>'Up-9'!eps</vt:lpstr>
      <vt:lpstr>eps</vt:lpstr>
      <vt:lpstr>eps0</vt:lpstr>
      <vt:lpstr>Höhe</vt:lpstr>
      <vt:lpstr>HSteigung</vt:lpstr>
      <vt:lpstr>Mü</vt:lpstr>
      <vt:lpstr>Yloch</vt:lpstr>
      <vt:lpstr>Ystart</vt:lpstr>
      <vt:lpstr>'Do-1'!Yzieldown</vt:lpstr>
      <vt:lpstr>Yzieldown</vt:lpstr>
      <vt:lpstr>Yzielup</vt:lpstr>
      <vt:lpstr>Zloch</vt:lpstr>
      <vt:lpstr>Zstart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Michael_2</dc:creator>
  <cp:lastModifiedBy>Michael_2</cp:lastModifiedBy>
  <cp:lastPrinted>2016-02-20T11:44:08Z</cp:lastPrinted>
  <dcterms:created xsi:type="dcterms:W3CDTF">2015-08-19T15:29:45Z</dcterms:created>
  <dcterms:modified xsi:type="dcterms:W3CDTF">2016-03-09T08:28:39Z</dcterms:modified>
</cp:coreProperties>
</file>